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slicerCaches/slicerCache2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pivotTables/pivotTable2.xml" ContentType="application/vnd.openxmlformats-officedocument.spreadsheetml.pivotTable+xml"/>
  <Override PartName="/xl/drawings/drawing2.xml" ContentType="application/vnd.openxmlformats-officedocument.drawing+xml"/>
  <Override PartName="/xl/tables/table6.xml" ContentType="application/vnd.openxmlformats-officedocument.spreadsheetml.table+xml"/>
  <Override PartName="/xl/slicers/slicer1.xml" ContentType="application/vnd.ms-excel.slicer+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6.xml" ContentType="application/vnd.openxmlformats-officedocument.drawingml.chart+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charts/chart18.xml" ContentType="application/vnd.openxmlformats-officedocument.drawingml.chart+xml"/>
  <Override PartName="/xl/charts/style16.xml" ContentType="application/vnd.ms-office.chartstyle+xml"/>
  <Override PartName="/xl/charts/colors16.xml" ContentType="application/vnd.ms-office.chartcolorstyle+xml"/>
  <Override PartName="/xl/charts/chart19.xml" ContentType="application/vnd.openxmlformats-officedocument.drawingml.chart+xml"/>
  <Override PartName="/xl/charts/style17.xml" ContentType="application/vnd.ms-office.chartstyle+xml"/>
  <Override PartName="/xl/charts/colors17.xml" ContentType="application/vnd.ms-office.chartcolorstyle+xml"/>
  <Override PartName="/xl/charts/chart20.xml" ContentType="application/vnd.openxmlformats-officedocument.drawingml.chart+xml"/>
  <Override PartName="/xl/charts/style18.xml" ContentType="application/vnd.ms-office.chartstyle+xml"/>
  <Override PartName="/xl/charts/colors18.xml" ContentType="application/vnd.ms-office.chartcolorstyle+xml"/>
  <Override PartName="/xl/charts/chart21.xml" ContentType="application/vnd.openxmlformats-officedocument.drawingml.chart+xml"/>
  <Override PartName="/xl/charts/style19.xml" ContentType="application/vnd.ms-office.chartstyle+xml"/>
  <Override PartName="/xl/charts/colors19.xml" ContentType="application/vnd.ms-office.chartcolorstyle+xml"/>
  <Override PartName="/xl/charts/chart22.xml" ContentType="application/vnd.openxmlformats-officedocument.drawingml.chart+xml"/>
  <Override PartName="/xl/charts/style20.xml" ContentType="application/vnd.ms-office.chartstyle+xml"/>
  <Override PartName="/xl/charts/colors20.xml" ContentType="application/vnd.ms-office.chartcolorstyle+xml"/>
  <Override PartName="/xl/charts/chart23.xml" ContentType="application/vnd.openxmlformats-officedocument.drawingml.chart+xml"/>
  <Override PartName="/xl/charts/style21.xml" ContentType="application/vnd.ms-office.chartstyle+xml"/>
  <Override PartName="/xl/charts/colors21.xml" ContentType="application/vnd.ms-office.chartcolorstyle+xml"/>
  <Override PartName="/xl/charts/chart24.xml" ContentType="application/vnd.openxmlformats-officedocument.drawingml.chart+xml"/>
  <Override PartName="/xl/charts/style22.xml" ContentType="application/vnd.ms-office.chartstyle+xml"/>
  <Override PartName="/xl/charts/colors22.xml" ContentType="application/vnd.ms-office.chartcolorstyle+xml"/>
  <Override PartName="/xl/charts/chart25.xml" ContentType="application/vnd.openxmlformats-officedocument.drawingml.chart+xml"/>
  <Override PartName="/xl/charts/style23.xml" ContentType="application/vnd.ms-office.chartstyle+xml"/>
  <Override PartName="/xl/charts/colors23.xml" ContentType="application/vnd.ms-office.chartcolorstyle+xml"/>
  <Override PartName="/xl/charts/chart26.xml" ContentType="application/vnd.openxmlformats-officedocument.drawingml.chart+xml"/>
  <Override PartName="/xl/charts/style24.xml" ContentType="application/vnd.ms-office.chartstyle+xml"/>
  <Override PartName="/xl/charts/colors24.xml" ContentType="application/vnd.ms-office.chartcolorstyle+xml"/>
  <Override PartName="/xl/charts/chart27.xml" ContentType="application/vnd.openxmlformats-officedocument.drawingml.chart+xml"/>
  <Override PartName="/xl/charts/style25.xml" ContentType="application/vnd.ms-office.chartstyle+xml"/>
  <Override PartName="/xl/charts/colors2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C:\Users\lisak\Documents\Uni\Master\Masterarbeit\"/>
    </mc:Choice>
  </mc:AlternateContent>
  <xr:revisionPtr revIDLastSave="0" documentId="13_ncr:1_{E761A32F-20D5-4416-9460-4B4C35B56121}" xr6:coauthVersionLast="47" xr6:coauthVersionMax="47" xr10:uidLastSave="{00000000-0000-0000-0000-000000000000}"/>
  <bookViews>
    <workbookView xWindow="-108" yWindow="-108" windowWidth="23256" windowHeight="12456" xr2:uid="{00000000-000D-0000-FFFF-FFFF00000000}"/>
  </bookViews>
  <sheets>
    <sheet name="Korpus" sheetId="23" r:id="rId1"/>
    <sheet name="Korpuszusammensetzung" sheetId="24" r:id="rId2"/>
    <sheet name="Werte" sheetId="16" r:id="rId3"/>
    <sheet name="Durchschnitt" sheetId="22" state="hidden" r:id="rId4"/>
    <sheet name="Figuren" sheetId="2" r:id="rId5"/>
    <sheet name="Adam_und_Eva_metrics" sheetId="15" state="hidden" r:id="rId6"/>
    <sheet name="Geschlecht" sheetId="4" r:id="rId7"/>
    <sheet name="Alter" sheetId="5" r:id="rId8"/>
    <sheet name="Adam_und_Eva" sheetId="1" state="hidden" r:id="rId9"/>
    <sheet name="Stand" sheetId="14" r:id="rId10"/>
    <sheet name="Bezeichnung" sheetId="20" r:id="rId11"/>
    <sheet name="Rolle" sheetId="6" r:id="rId12"/>
    <sheet name="Centrality" sheetId="19" r:id="rId13"/>
  </sheets>
  <definedNames>
    <definedName name="Datenschnitt_Alter">#N/A</definedName>
    <definedName name="Datenschnitt_Alter1">#N/A</definedName>
    <definedName name="Datenschnitt_Alter2">#N/A</definedName>
    <definedName name="Datenschnitt_Bezeichnung2">#N/A</definedName>
    <definedName name="Datenschnitt_Bezeichnung21">#N/A</definedName>
    <definedName name="Datenschnitt_Bezeichnung22">#N/A</definedName>
    <definedName name="Datenschnitt_Bezeichnung23">#N/A</definedName>
    <definedName name="Datenschnitt_Figurenkonstellation">#N/A</definedName>
    <definedName name="Datenschnitt_Figurenkonstellation1">#N/A</definedName>
    <definedName name="Datenschnitt_Figurenkonstellation2">#N/A</definedName>
    <definedName name="Datenschnitt_Figurenkonstellation3">#N/A</definedName>
    <definedName name="Datenschnitt_Geschlecht">#N/A</definedName>
    <definedName name="Datenschnitt_Geschlecht1">#N/A</definedName>
    <definedName name="Datenschnitt_Geschlecht2">#N/A</definedName>
    <definedName name="Datenschnitt_Rolle">#N/A</definedName>
    <definedName name="Datenschnitt_Rolle1">#N/A</definedName>
    <definedName name="Datenschnitt_Rolle2">#N/A</definedName>
    <definedName name="Datenschnitt_Stand">#N/A</definedName>
    <definedName name="Datenschnitt_Stand1">#N/A</definedName>
    <definedName name="Datenschnitt_Stand2">#N/A</definedName>
    <definedName name="ExternalData_1" localSheetId="5" hidden="1">Adam_und_Eva_metrics!$A$1:$F$4</definedName>
    <definedName name="ExternalData_1" localSheetId="2" hidden="1">Werte!$A$1:$F$568</definedName>
    <definedName name="ExterneDaten_1" localSheetId="4" hidden="1">Figuren!$A$1:$G$568</definedName>
    <definedName name="Slicer_Alter">#N/A</definedName>
    <definedName name="Slicer_Geschlecht">#N/A</definedName>
    <definedName name="Slicer_Konstellation">#N/A</definedName>
    <definedName name="Slicer_Rolle">#N/A</definedName>
    <definedName name="Slicer_Stand">#N/A</definedName>
  </definedNames>
  <calcPr calcId="191029"/>
  <pivotCaches>
    <pivotCache cacheId="0" r:id="rId14"/>
    <pivotCache cacheId="1" r:id="rId15"/>
    <pivotCache cacheId="2" r:id="rId16"/>
    <pivotCache cacheId="3" r:id="rId17"/>
    <pivotCache cacheId="4" r:id="rId18"/>
    <pivotCache cacheId="5" r:id="rId19"/>
  </pivotCaches>
  <extLst>
    <ext xmlns:x14="http://schemas.microsoft.com/office/spreadsheetml/2009/9/main" uri="{BBE1A952-AA13-448e-AADC-164F8A28A991}">
      <x14:slicerCaches>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 r:id="rId39"/>
        <x14:slicerCache r:id="rId40"/>
        <x14:slicerCache r:id="rId41"/>
        <x14:slicerCache r:id="rId42"/>
        <x14:slicerCache r:id="rId43"/>
        <x14:slicerCache r:id="rId4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2" i="2" l="1" a="1"/>
  <c r="O2" i="2" s="1"/>
  <c r="O3" i="2" a="1"/>
  <c r="O3" i="2" s="1"/>
  <c r="O4" i="2" a="1"/>
  <c r="O4" i="2" s="1"/>
  <c r="O5" i="2" a="1"/>
  <c r="O5" i="2" s="1"/>
  <c r="O6" i="2" a="1"/>
  <c r="O6" i="2" s="1"/>
  <c r="O7" i="2" a="1"/>
  <c r="O7" i="2" s="1"/>
  <c r="O8" i="2" a="1"/>
  <c r="O8" i="2" s="1"/>
  <c r="O9" i="2" a="1"/>
  <c r="O9" i="2" s="1"/>
  <c r="O10" i="2" a="1"/>
  <c r="O10" i="2" s="1"/>
  <c r="O11" i="2" a="1"/>
  <c r="O11" i="2" s="1"/>
  <c r="O12" i="2" a="1"/>
  <c r="O12" i="2" s="1"/>
  <c r="O13" i="2" a="1"/>
  <c r="O13" i="2" s="1"/>
  <c r="O14" i="2" a="1"/>
  <c r="O14" i="2" s="1"/>
  <c r="O15" i="2" a="1"/>
  <c r="O15" i="2" s="1"/>
  <c r="O16" i="2" a="1"/>
  <c r="O16" i="2" s="1"/>
  <c r="O17" i="2" a="1"/>
  <c r="O17" i="2" s="1"/>
  <c r="O18" i="2" a="1"/>
  <c r="O18" i="2" s="1"/>
  <c r="O19" i="2" a="1"/>
  <c r="O19" i="2" s="1"/>
  <c r="O20" i="2" a="1"/>
  <c r="O20" i="2" s="1"/>
  <c r="O21" i="2" a="1"/>
  <c r="O21" i="2" s="1"/>
  <c r="O22" i="2" a="1"/>
  <c r="O22" i="2" s="1"/>
  <c r="O23" i="2" a="1"/>
  <c r="O23" i="2" s="1"/>
  <c r="O24" i="2" a="1"/>
  <c r="O24" i="2" s="1"/>
  <c r="O25" i="2" a="1"/>
  <c r="O25" i="2" s="1"/>
  <c r="O26" i="2" a="1"/>
  <c r="O26" i="2" s="1"/>
  <c r="O27" i="2" a="1"/>
  <c r="O27" i="2" s="1"/>
  <c r="O28" i="2" a="1"/>
  <c r="O28" i="2" s="1"/>
  <c r="O29" i="2" a="1"/>
  <c r="O29" i="2" s="1"/>
  <c r="O30" i="2" a="1"/>
  <c r="O30" i="2" s="1"/>
  <c r="O31" i="2" a="1"/>
  <c r="O31" i="2" s="1"/>
  <c r="O32" i="2" a="1"/>
  <c r="O32" i="2" s="1"/>
  <c r="O33" i="2" a="1"/>
  <c r="O33" i="2" s="1"/>
  <c r="O34" i="2" a="1"/>
  <c r="O34" i="2" s="1"/>
  <c r="O35" i="2" a="1"/>
  <c r="O35" i="2" s="1"/>
  <c r="O36" i="2" a="1"/>
  <c r="O36" i="2" s="1"/>
  <c r="O37" i="2" a="1"/>
  <c r="O37" i="2" s="1"/>
  <c r="O38" i="2" a="1"/>
  <c r="O38" i="2" s="1"/>
  <c r="O39" i="2" a="1"/>
  <c r="O39" i="2" s="1"/>
  <c r="O40" i="2" a="1"/>
  <c r="O40" i="2" s="1"/>
  <c r="O41" i="2" a="1"/>
  <c r="O41" i="2" s="1"/>
  <c r="O42" i="2" a="1"/>
  <c r="O42" i="2" s="1"/>
  <c r="O43" i="2" a="1"/>
  <c r="O43" i="2" s="1"/>
  <c r="O44" i="2" a="1"/>
  <c r="O44" i="2" s="1"/>
  <c r="O45" i="2" a="1"/>
  <c r="O45" i="2" s="1"/>
  <c r="O46" i="2" a="1"/>
  <c r="O46" i="2" s="1"/>
  <c r="O47" i="2" a="1"/>
  <c r="O47" i="2" s="1"/>
  <c r="O48" i="2" a="1"/>
  <c r="O48" i="2" s="1"/>
  <c r="O49" i="2" a="1"/>
  <c r="O49" i="2" s="1"/>
  <c r="O50" i="2" a="1"/>
  <c r="O50" i="2" s="1"/>
  <c r="O51" i="2" a="1"/>
  <c r="O51" i="2" s="1"/>
  <c r="O52" i="2" a="1"/>
  <c r="O52" i="2" s="1"/>
  <c r="O53" i="2" a="1"/>
  <c r="O53" i="2" s="1"/>
  <c r="O54" i="2" a="1"/>
  <c r="O54" i="2" s="1"/>
  <c r="O55" i="2" a="1"/>
  <c r="O55" i="2" s="1"/>
  <c r="O56" i="2" a="1"/>
  <c r="O56" i="2" s="1"/>
  <c r="O57" i="2" a="1"/>
  <c r="O57" i="2" s="1"/>
  <c r="O58" i="2" a="1"/>
  <c r="O58" i="2" s="1"/>
  <c r="O59" i="2" a="1"/>
  <c r="O59" i="2" s="1"/>
  <c r="O60" i="2" a="1"/>
  <c r="O60" i="2" s="1"/>
  <c r="O61" i="2" a="1"/>
  <c r="O61" i="2" s="1"/>
  <c r="O62" i="2" a="1"/>
  <c r="O62" i="2" s="1"/>
  <c r="O63" i="2" a="1"/>
  <c r="O63" i="2" s="1"/>
  <c r="O64" i="2" a="1"/>
  <c r="O64" i="2" s="1"/>
  <c r="O65" i="2" a="1"/>
  <c r="O65" i="2" s="1"/>
  <c r="O66" i="2" a="1"/>
  <c r="O66" i="2" s="1"/>
  <c r="O67" i="2" a="1"/>
  <c r="O67" i="2" s="1"/>
  <c r="O68" i="2" a="1"/>
  <c r="O68" i="2" s="1"/>
  <c r="O69" i="2" a="1"/>
  <c r="O69" i="2" s="1"/>
  <c r="O70" i="2" a="1"/>
  <c r="O70" i="2" s="1"/>
  <c r="O71" i="2" a="1"/>
  <c r="O71" i="2" s="1"/>
  <c r="O72" i="2" a="1"/>
  <c r="O72" i="2" s="1"/>
  <c r="O73" i="2" a="1"/>
  <c r="O73" i="2" s="1"/>
  <c r="O74" i="2" a="1"/>
  <c r="O74" i="2" s="1"/>
  <c r="O75" i="2" a="1"/>
  <c r="O75" i="2" s="1"/>
  <c r="O76" i="2" a="1"/>
  <c r="O76" i="2" s="1"/>
  <c r="O77" i="2" a="1"/>
  <c r="O77" i="2" s="1"/>
  <c r="O78" i="2" a="1"/>
  <c r="O78" i="2" s="1"/>
  <c r="O79" i="2" a="1"/>
  <c r="O79" i="2" s="1"/>
  <c r="O80" i="2" a="1"/>
  <c r="O80" i="2" s="1"/>
  <c r="O81" i="2" a="1"/>
  <c r="O81" i="2" s="1"/>
  <c r="O82" i="2" a="1"/>
  <c r="O82" i="2" s="1"/>
  <c r="O83" i="2" a="1"/>
  <c r="O83" i="2" s="1"/>
  <c r="O84" i="2" a="1"/>
  <c r="O84" i="2" s="1"/>
  <c r="O85" i="2" a="1"/>
  <c r="O85" i="2" s="1"/>
  <c r="O86" i="2" a="1"/>
  <c r="O86" i="2" s="1"/>
  <c r="O87" i="2" a="1"/>
  <c r="O87" i="2" s="1"/>
  <c r="O88" i="2" a="1"/>
  <c r="O88" i="2" s="1"/>
  <c r="O89" i="2" a="1"/>
  <c r="O89" i="2" s="1"/>
  <c r="O90" i="2" a="1"/>
  <c r="O90" i="2" s="1"/>
  <c r="O91" i="2" a="1"/>
  <c r="O91" i="2" s="1"/>
  <c r="O92" i="2" a="1"/>
  <c r="O92" i="2" s="1"/>
  <c r="O93" i="2" a="1"/>
  <c r="O93" i="2" s="1"/>
  <c r="O94" i="2" a="1"/>
  <c r="O94" i="2" s="1"/>
  <c r="O95" i="2" a="1"/>
  <c r="O95" i="2" s="1"/>
  <c r="O96" i="2" a="1"/>
  <c r="O96" i="2" s="1"/>
  <c r="O97" i="2" a="1"/>
  <c r="O97" i="2" s="1"/>
  <c r="O98" i="2" a="1"/>
  <c r="O98" i="2" s="1"/>
  <c r="O99" i="2" a="1"/>
  <c r="O99" i="2" s="1"/>
  <c r="O100" i="2" a="1"/>
  <c r="O100" i="2" s="1"/>
  <c r="O101" i="2" a="1"/>
  <c r="O101" i="2" s="1"/>
  <c r="O102" i="2" a="1"/>
  <c r="O102" i="2" s="1"/>
  <c r="O103" i="2" a="1"/>
  <c r="O103" i="2" s="1"/>
  <c r="O104" i="2" a="1"/>
  <c r="O104" i="2" s="1"/>
  <c r="O105" i="2" a="1"/>
  <c r="O105" i="2" s="1"/>
  <c r="O106" i="2" a="1"/>
  <c r="O106" i="2" s="1"/>
  <c r="O107" i="2" a="1"/>
  <c r="O107" i="2" s="1"/>
  <c r="O108" i="2" a="1"/>
  <c r="O108" i="2" s="1"/>
  <c r="O109" i="2" a="1"/>
  <c r="O109" i="2" s="1"/>
  <c r="O110" i="2" a="1"/>
  <c r="O110" i="2" s="1"/>
  <c r="O111" i="2" a="1"/>
  <c r="O111" i="2" s="1"/>
  <c r="O112" i="2" a="1"/>
  <c r="O112" i="2" s="1"/>
  <c r="O113" i="2" a="1"/>
  <c r="O113" i="2" s="1"/>
  <c r="O114" i="2" a="1"/>
  <c r="O114" i="2" s="1"/>
  <c r="O115" i="2" a="1"/>
  <c r="O115" i="2" s="1"/>
  <c r="O116" i="2" a="1"/>
  <c r="O116" i="2" s="1"/>
  <c r="O117" i="2" a="1"/>
  <c r="O117" i="2" s="1"/>
  <c r="O118" i="2" a="1"/>
  <c r="O118" i="2" s="1"/>
  <c r="O119" i="2" a="1"/>
  <c r="O119" i="2" s="1"/>
  <c r="O120" i="2" a="1"/>
  <c r="O120" i="2" s="1"/>
  <c r="O121" i="2" a="1"/>
  <c r="O121" i="2" s="1"/>
  <c r="O122" i="2" a="1"/>
  <c r="O122" i="2" s="1"/>
  <c r="O123" i="2" a="1"/>
  <c r="O123" i="2" s="1"/>
  <c r="O124" i="2" a="1"/>
  <c r="O124" i="2" s="1"/>
  <c r="O125" i="2" a="1"/>
  <c r="O125" i="2" s="1"/>
  <c r="O126" i="2" a="1"/>
  <c r="O126" i="2" s="1"/>
  <c r="O127" i="2" a="1"/>
  <c r="O127" i="2" s="1"/>
  <c r="O128" i="2" a="1"/>
  <c r="O128" i="2" s="1"/>
  <c r="O129" i="2" a="1"/>
  <c r="O129" i="2" s="1"/>
  <c r="O130" i="2" a="1"/>
  <c r="O130" i="2" s="1"/>
  <c r="O131" i="2" a="1"/>
  <c r="O131" i="2" s="1"/>
  <c r="O132" i="2" a="1"/>
  <c r="O132" i="2" s="1"/>
  <c r="O133" i="2" a="1"/>
  <c r="O133" i="2" s="1"/>
  <c r="O134" i="2" a="1"/>
  <c r="O134" i="2" s="1"/>
  <c r="O135" i="2" a="1"/>
  <c r="O135" i="2" s="1"/>
  <c r="O136" i="2" a="1"/>
  <c r="O136" i="2" s="1"/>
  <c r="O137" i="2" a="1"/>
  <c r="O137" i="2" s="1"/>
  <c r="O138" i="2" a="1"/>
  <c r="O138" i="2" s="1"/>
  <c r="O139" i="2" a="1"/>
  <c r="O139" i="2" s="1"/>
  <c r="O140" i="2" a="1"/>
  <c r="O140" i="2" s="1"/>
  <c r="O141" i="2" a="1"/>
  <c r="O141" i="2" s="1"/>
  <c r="O142" i="2" a="1"/>
  <c r="O142" i="2" s="1"/>
  <c r="O143" i="2" a="1"/>
  <c r="O143" i="2" s="1"/>
  <c r="O144" i="2" a="1"/>
  <c r="O144" i="2" s="1"/>
  <c r="O145" i="2" a="1"/>
  <c r="O145" i="2" s="1"/>
  <c r="O146" i="2" a="1"/>
  <c r="O146" i="2" s="1"/>
  <c r="O147" i="2" a="1"/>
  <c r="O147" i="2" s="1"/>
  <c r="O148" i="2" a="1"/>
  <c r="O148" i="2" s="1"/>
  <c r="O149" i="2" a="1"/>
  <c r="O149" i="2" s="1"/>
  <c r="O150" i="2" a="1"/>
  <c r="O150" i="2" s="1"/>
  <c r="O151" i="2" a="1"/>
  <c r="O151" i="2" s="1"/>
  <c r="O152" i="2" a="1"/>
  <c r="O152" i="2" s="1"/>
  <c r="O153" i="2" a="1"/>
  <c r="O153" i="2" s="1"/>
  <c r="O154" i="2" a="1"/>
  <c r="O154" i="2" s="1"/>
  <c r="O155" i="2" a="1"/>
  <c r="O155" i="2" s="1"/>
  <c r="O156" i="2" a="1"/>
  <c r="O156" i="2" s="1"/>
  <c r="O157" i="2" a="1"/>
  <c r="O157" i="2" s="1"/>
  <c r="O158" i="2" a="1"/>
  <c r="O158" i="2" s="1"/>
  <c r="O159" i="2" a="1"/>
  <c r="O159" i="2" s="1"/>
  <c r="O160" i="2" a="1"/>
  <c r="O160" i="2" s="1"/>
  <c r="O161" i="2" a="1"/>
  <c r="O161" i="2" s="1"/>
  <c r="O162" i="2" a="1"/>
  <c r="O162" i="2" s="1"/>
  <c r="O163" i="2" a="1"/>
  <c r="O163" i="2" s="1"/>
  <c r="O164" i="2" a="1"/>
  <c r="O164" i="2" s="1"/>
  <c r="O165" i="2" a="1"/>
  <c r="O165" i="2" s="1"/>
  <c r="O166" i="2" a="1"/>
  <c r="O166" i="2" s="1"/>
  <c r="O167" i="2" a="1"/>
  <c r="O167" i="2" s="1"/>
  <c r="O168" i="2" a="1"/>
  <c r="O168" i="2" s="1"/>
  <c r="O169" i="2" a="1"/>
  <c r="O169" i="2" s="1"/>
  <c r="O170" i="2" a="1"/>
  <c r="O170" i="2" s="1"/>
  <c r="O171" i="2" a="1"/>
  <c r="O171" i="2" s="1"/>
  <c r="O172" i="2" a="1"/>
  <c r="O172" i="2" s="1"/>
  <c r="O173" i="2" a="1"/>
  <c r="O173" i="2" s="1"/>
  <c r="O174" i="2" a="1"/>
  <c r="O174" i="2" s="1"/>
  <c r="O175" i="2" a="1"/>
  <c r="O175" i="2" s="1"/>
  <c r="O176" i="2" a="1"/>
  <c r="O176" i="2" s="1"/>
  <c r="O177" i="2" a="1"/>
  <c r="O177" i="2" s="1"/>
  <c r="O178" i="2" a="1"/>
  <c r="O178" i="2" s="1"/>
  <c r="O179" i="2" a="1"/>
  <c r="O179" i="2" s="1"/>
  <c r="O180" i="2" a="1"/>
  <c r="O180" i="2" s="1"/>
  <c r="O181" i="2" a="1"/>
  <c r="O181" i="2" s="1"/>
  <c r="O182" i="2" a="1"/>
  <c r="O182" i="2" s="1"/>
  <c r="O183" i="2" a="1"/>
  <c r="O183" i="2" s="1"/>
  <c r="O184" i="2" a="1"/>
  <c r="O184" i="2" s="1"/>
  <c r="O185" i="2" a="1"/>
  <c r="O185" i="2" s="1"/>
  <c r="O186" i="2" a="1"/>
  <c r="O186" i="2" s="1"/>
  <c r="O187" i="2" a="1"/>
  <c r="O187" i="2" s="1"/>
  <c r="O188" i="2" a="1"/>
  <c r="O188" i="2" s="1"/>
  <c r="O189" i="2" a="1"/>
  <c r="O189" i="2" s="1"/>
  <c r="O190" i="2" a="1"/>
  <c r="O190" i="2" s="1"/>
  <c r="O191" i="2" a="1"/>
  <c r="O191" i="2" s="1"/>
  <c r="O192" i="2" a="1"/>
  <c r="O192" i="2" s="1"/>
  <c r="O193" i="2" a="1"/>
  <c r="O193" i="2" s="1"/>
  <c r="O194" i="2" a="1"/>
  <c r="O194" i="2" s="1"/>
  <c r="O195" i="2" a="1"/>
  <c r="O195" i="2" s="1"/>
  <c r="O196" i="2" a="1"/>
  <c r="O196" i="2" s="1"/>
  <c r="O197" i="2" a="1"/>
  <c r="O197" i="2" s="1"/>
  <c r="O198" i="2" a="1"/>
  <c r="O198" i="2" s="1"/>
  <c r="O199" i="2" a="1"/>
  <c r="O199" i="2" s="1"/>
  <c r="O200" i="2" a="1"/>
  <c r="O200" i="2" s="1"/>
  <c r="O201" i="2" a="1"/>
  <c r="O201" i="2" s="1"/>
  <c r="O202" i="2" a="1"/>
  <c r="O202" i="2" s="1"/>
  <c r="O203" i="2" a="1"/>
  <c r="O203" i="2" s="1"/>
  <c r="O204" i="2" a="1"/>
  <c r="O204" i="2" s="1"/>
  <c r="O205" i="2" a="1"/>
  <c r="O205" i="2" s="1"/>
  <c r="O206" i="2" a="1"/>
  <c r="O206" i="2" s="1"/>
  <c r="O207" i="2" a="1"/>
  <c r="O207" i="2" s="1"/>
  <c r="O208" i="2" a="1"/>
  <c r="O208" i="2" s="1"/>
  <c r="O209" i="2" a="1"/>
  <c r="O209" i="2" s="1"/>
  <c r="O210" i="2" a="1"/>
  <c r="O210" i="2" s="1"/>
  <c r="O211" i="2" a="1"/>
  <c r="O211" i="2" s="1"/>
  <c r="O212" i="2" a="1"/>
  <c r="O212" i="2" s="1"/>
  <c r="O213" i="2" a="1"/>
  <c r="O213" i="2" s="1"/>
  <c r="O214" i="2" a="1"/>
  <c r="O214" i="2" s="1"/>
  <c r="O215" i="2" a="1"/>
  <c r="O215" i="2" s="1"/>
  <c r="O216" i="2" a="1"/>
  <c r="O216" i="2" s="1"/>
  <c r="O217" i="2" a="1"/>
  <c r="O217" i="2" s="1"/>
  <c r="O218" i="2" a="1"/>
  <c r="O218" i="2" s="1"/>
  <c r="O219" i="2" a="1"/>
  <c r="O219" i="2" s="1"/>
  <c r="O220" i="2" a="1"/>
  <c r="O220" i="2" s="1"/>
  <c r="O221" i="2" a="1"/>
  <c r="O221" i="2" s="1"/>
  <c r="O222" i="2" a="1"/>
  <c r="O222" i="2" s="1"/>
  <c r="O223" i="2" a="1"/>
  <c r="O223" i="2" s="1"/>
  <c r="O224" i="2" a="1"/>
  <c r="O224" i="2" s="1"/>
  <c r="O225" i="2" a="1"/>
  <c r="O225" i="2" s="1"/>
  <c r="O226" i="2" a="1"/>
  <c r="O226" i="2" s="1"/>
  <c r="O227" i="2" a="1"/>
  <c r="O227" i="2" s="1"/>
  <c r="O228" i="2" a="1"/>
  <c r="O228" i="2" s="1"/>
  <c r="O229" i="2" a="1"/>
  <c r="O229" i="2" s="1"/>
  <c r="O230" i="2" a="1"/>
  <c r="O230" i="2" s="1"/>
  <c r="O231" i="2" a="1"/>
  <c r="O231" i="2" s="1"/>
  <c r="O232" i="2" a="1"/>
  <c r="O232" i="2" s="1"/>
  <c r="O233" i="2" a="1"/>
  <c r="O233" i="2" s="1"/>
  <c r="O234" i="2" a="1"/>
  <c r="O234" i="2" s="1"/>
  <c r="O235" i="2" a="1"/>
  <c r="O235" i="2" s="1"/>
  <c r="O236" i="2" a="1"/>
  <c r="O236" i="2" s="1"/>
  <c r="O237" i="2" a="1"/>
  <c r="O237" i="2" s="1"/>
  <c r="O238" i="2" a="1"/>
  <c r="O238" i="2" s="1"/>
  <c r="O239" i="2" a="1"/>
  <c r="O239" i="2" s="1"/>
  <c r="O240" i="2" a="1"/>
  <c r="O240" i="2" s="1"/>
  <c r="O241" i="2" a="1"/>
  <c r="O241" i="2" s="1"/>
  <c r="O242" i="2" a="1"/>
  <c r="O242" i="2" s="1"/>
  <c r="O243" i="2" a="1"/>
  <c r="O243" i="2" s="1"/>
  <c r="O244" i="2" a="1"/>
  <c r="O244" i="2" s="1"/>
  <c r="O245" i="2" a="1"/>
  <c r="O245" i="2" s="1"/>
  <c r="O246" i="2" a="1"/>
  <c r="O246" i="2" s="1"/>
  <c r="O247" i="2" a="1"/>
  <c r="O247" i="2" s="1"/>
  <c r="O248" i="2" a="1"/>
  <c r="O248" i="2" s="1"/>
  <c r="O249" i="2" a="1"/>
  <c r="O249" i="2" s="1"/>
  <c r="O250" i="2" a="1"/>
  <c r="O250" i="2" s="1"/>
  <c r="O251" i="2" a="1"/>
  <c r="O251" i="2" s="1"/>
  <c r="O252" i="2" a="1"/>
  <c r="O252" i="2" s="1"/>
  <c r="O253" i="2" a="1"/>
  <c r="O253" i="2" s="1"/>
  <c r="O254" i="2" a="1"/>
  <c r="O254" i="2" s="1"/>
  <c r="O255" i="2" a="1"/>
  <c r="O255" i="2" s="1"/>
  <c r="O256" i="2" a="1"/>
  <c r="O256" i="2" s="1"/>
  <c r="O257" i="2" a="1"/>
  <c r="O257" i="2" s="1"/>
  <c r="O258" i="2" a="1"/>
  <c r="O258" i="2" s="1"/>
  <c r="O259" i="2" a="1"/>
  <c r="O259" i="2" s="1"/>
  <c r="O260" i="2" a="1"/>
  <c r="O260" i="2" s="1"/>
  <c r="O261" i="2" a="1"/>
  <c r="O261" i="2" s="1"/>
  <c r="O262" i="2" a="1"/>
  <c r="O262" i="2" s="1"/>
  <c r="O263" i="2" a="1"/>
  <c r="O263" i="2" s="1"/>
  <c r="O264" i="2" a="1"/>
  <c r="O264" i="2" s="1"/>
  <c r="O265" i="2" a="1"/>
  <c r="O265" i="2" s="1"/>
  <c r="O266" i="2" a="1"/>
  <c r="O266" i="2" s="1"/>
  <c r="O267" i="2" a="1"/>
  <c r="O267" i="2" s="1"/>
  <c r="O268" i="2" a="1"/>
  <c r="O268" i="2" s="1"/>
  <c r="O269" i="2" a="1"/>
  <c r="O269" i="2" s="1"/>
  <c r="O270" i="2" a="1"/>
  <c r="O270" i="2" s="1"/>
  <c r="O271" i="2" a="1"/>
  <c r="O271" i="2" s="1"/>
  <c r="O272" i="2" a="1"/>
  <c r="O272" i="2" s="1"/>
  <c r="O273" i="2" a="1"/>
  <c r="O273" i="2" s="1"/>
  <c r="O274" i="2" a="1"/>
  <c r="O274" i="2" s="1"/>
  <c r="O275" i="2" a="1"/>
  <c r="O275" i="2" s="1"/>
  <c r="O276" i="2" a="1"/>
  <c r="O276" i="2" s="1"/>
  <c r="O277" i="2" a="1"/>
  <c r="O277" i="2" s="1"/>
  <c r="O278" i="2" a="1"/>
  <c r="O278" i="2" s="1"/>
  <c r="O279" i="2" a="1"/>
  <c r="O279" i="2" s="1"/>
  <c r="O280" i="2" a="1"/>
  <c r="O280" i="2" s="1"/>
  <c r="O281" i="2" a="1"/>
  <c r="O281" i="2" s="1"/>
  <c r="O282" i="2" a="1"/>
  <c r="O282" i="2" s="1"/>
  <c r="O283" i="2" a="1"/>
  <c r="O283" i="2" s="1"/>
  <c r="O284" i="2" a="1"/>
  <c r="O284" i="2" s="1"/>
  <c r="O285" i="2" a="1"/>
  <c r="O285" i="2" s="1"/>
  <c r="O286" i="2" a="1"/>
  <c r="O286" i="2" s="1"/>
  <c r="O287" i="2" a="1"/>
  <c r="O287" i="2" s="1"/>
  <c r="O288" i="2" a="1"/>
  <c r="O288" i="2" s="1"/>
  <c r="O289" i="2" a="1"/>
  <c r="O289" i="2" s="1"/>
  <c r="O290" i="2" a="1"/>
  <c r="O290" i="2" s="1"/>
  <c r="O291" i="2" a="1"/>
  <c r="O291" i="2" s="1"/>
  <c r="O292" i="2" a="1"/>
  <c r="O292" i="2" s="1"/>
  <c r="O293" i="2" a="1"/>
  <c r="O293" i="2" s="1"/>
  <c r="O294" i="2" a="1"/>
  <c r="O294" i="2" s="1"/>
  <c r="O295" i="2" a="1"/>
  <c r="O295" i="2" s="1"/>
  <c r="O296" i="2" a="1"/>
  <c r="O296" i="2" s="1"/>
  <c r="O297" i="2" a="1"/>
  <c r="O297" i="2" s="1"/>
  <c r="O298" i="2" a="1"/>
  <c r="O298" i="2" s="1"/>
  <c r="O299" i="2" a="1"/>
  <c r="O299" i="2" s="1"/>
  <c r="O300" i="2" a="1"/>
  <c r="O300" i="2" s="1"/>
  <c r="O301" i="2" a="1"/>
  <c r="O301" i="2" s="1"/>
  <c r="O302" i="2" a="1"/>
  <c r="O302" i="2" s="1"/>
  <c r="O303" i="2" a="1"/>
  <c r="O303" i="2" s="1"/>
  <c r="O304" i="2" a="1"/>
  <c r="O304" i="2" s="1"/>
  <c r="O305" i="2" a="1"/>
  <c r="O305" i="2" s="1"/>
  <c r="O306" i="2" a="1"/>
  <c r="O306" i="2" s="1"/>
  <c r="O307" i="2" a="1"/>
  <c r="O307" i="2" s="1"/>
  <c r="O308" i="2" a="1"/>
  <c r="O308" i="2" s="1"/>
  <c r="O309" i="2" a="1"/>
  <c r="O309" i="2" s="1"/>
  <c r="O310" i="2" a="1"/>
  <c r="O310" i="2" s="1"/>
  <c r="O311" i="2" a="1"/>
  <c r="O311" i="2" s="1"/>
  <c r="O312" i="2" a="1"/>
  <c r="O312" i="2" s="1"/>
  <c r="O313" i="2" a="1"/>
  <c r="O313" i="2" s="1"/>
  <c r="O314" i="2" a="1"/>
  <c r="O314" i="2" s="1"/>
  <c r="O315" i="2" a="1"/>
  <c r="O315" i="2" s="1"/>
  <c r="O316" i="2" a="1"/>
  <c r="O316" i="2" s="1"/>
  <c r="O317" i="2" a="1"/>
  <c r="O317" i="2" s="1"/>
  <c r="O318" i="2" a="1"/>
  <c r="O318" i="2" s="1"/>
  <c r="O319" i="2" a="1"/>
  <c r="O319" i="2" s="1"/>
  <c r="O320" i="2" a="1"/>
  <c r="O320" i="2" s="1"/>
  <c r="O321" i="2" a="1"/>
  <c r="O321" i="2" s="1"/>
  <c r="O322" i="2" a="1"/>
  <c r="O322" i="2" s="1"/>
  <c r="O323" i="2" a="1"/>
  <c r="O323" i="2" s="1"/>
  <c r="O324" i="2" a="1"/>
  <c r="O324" i="2" s="1"/>
  <c r="O325" i="2" a="1"/>
  <c r="O325" i="2" s="1"/>
  <c r="O326" i="2" a="1"/>
  <c r="O326" i="2" s="1"/>
  <c r="O327" i="2" a="1"/>
  <c r="O327" i="2" s="1"/>
  <c r="O328" i="2" a="1"/>
  <c r="O328" i="2" s="1"/>
  <c r="O329" i="2" a="1"/>
  <c r="O329" i="2" s="1"/>
  <c r="O330" i="2" a="1"/>
  <c r="O330" i="2" s="1"/>
  <c r="O331" i="2" a="1"/>
  <c r="O331" i="2" s="1"/>
  <c r="O332" i="2" a="1"/>
  <c r="O332" i="2" s="1"/>
  <c r="O333" i="2" a="1"/>
  <c r="O333" i="2" s="1"/>
  <c r="O334" i="2" a="1"/>
  <c r="O334" i="2" s="1"/>
  <c r="O335" i="2" a="1"/>
  <c r="O335" i="2" s="1"/>
  <c r="O336" i="2" a="1"/>
  <c r="O336" i="2" s="1"/>
  <c r="O337" i="2" a="1"/>
  <c r="O337" i="2" s="1"/>
  <c r="O338" i="2" a="1"/>
  <c r="O338" i="2" s="1"/>
  <c r="O339" i="2" a="1"/>
  <c r="O339" i="2" s="1"/>
  <c r="O340" i="2" a="1"/>
  <c r="O340" i="2" s="1"/>
  <c r="O341" i="2" a="1"/>
  <c r="O341" i="2" s="1"/>
  <c r="O342" i="2" a="1"/>
  <c r="O342" i="2" s="1"/>
  <c r="O343" i="2" a="1"/>
  <c r="O343" i="2" s="1"/>
  <c r="O344" i="2" a="1"/>
  <c r="O344" i="2" s="1"/>
  <c r="O345" i="2" a="1"/>
  <c r="O345" i="2" s="1"/>
  <c r="O346" i="2" a="1"/>
  <c r="O346" i="2" s="1"/>
  <c r="O347" i="2" a="1"/>
  <c r="O347" i="2" s="1"/>
  <c r="O348" i="2" a="1"/>
  <c r="O348" i="2" s="1"/>
  <c r="O349" i="2" a="1"/>
  <c r="O349" i="2" s="1"/>
  <c r="O350" i="2" a="1"/>
  <c r="O350" i="2" s="1"/>
  <c r="O351" i="2" a="1"/>
  <c r="O351" i="2" s="1"/>
  <c r="O352" i="2" a="1"/>
  <c r="O352" i="2" s="1"/>
  <c r="O353" i="2" a="1"/>
  <c r="O353" i="2" s="1"/>
  <c r="O354" i="2" a="1"/>
  <c r="O354" i="2" s="1"/>
  <c r="O355" i="2" a="1"/>
  <c r="O355" i="2" s="1"/>
  <c r="O356" i="2" a="1"/>
  <c r="O356" i="2" s="1"/>
  <c r="O357" i="2" a="1"/>
  <c r="O357" i="2" s="1"/>
  <c r="O358" i="2" a="1"/>
  <c r="O358" i="2" s="1"/>
  <c r="O359" i="2" a="1"/>
  <c r="O359" i="2" s="1"/>
  <c r="O360" i="2" a="1"/>
  <c r="O360" i="2" s="1"/>
  <c r="O361" i="2" a="1"/>
  <c r="O361" i="2" s="1"/>
  <c r="O362" i="2" a="1"/>
  <c r="O362" i="2" s="1"/>
  <c r="O363" i="2" a="1"/>
  <c r="O363" i="2" s="1"/>
  <c r="O364" i="2" a="1"/>
  <c r="O364" i="2" s="1"/>
  <c r="O365" i="2" a="1"/>
  <c r="O365" i="2" s="1"/>
  <c r="O366" i="2" a="1"/>
  <c r="O366" i="2" s="1"/>
  <c r="O367" i="2" a="1"/>
  <c r="O367" i="2" s="1"/>
  <c r="O368" i="2" a="1"/>
  <c r="O368" i="2" s="1"/>
  <c r="O369" i="2" a="1"/>
  <c r="O369" i="2" s="1"/>
  <c r="O370" i="2" a="1"/>
  <c r="O370" i="2" s="1"/>
  <c r="O371" i="2" a="1"/>
  <c r="O371" i="2" s="1"/>
  <c r="O372" i="2" a="1"/>
  <c r="O372" i="2" s="1"/>
  <c r="O373" i="2" a="1"/>
  <c r="O373" i="2" s="1"/>
  <c r="O374" i="2" a="1"/>
  <c r="O374" i="2" s="1"/>
  <c r="O375" i="2" a="1"/>
  <c r="O375" i="2" s="1"/>
  <c r="O376" i="2" a="1"/>
  <c r="O376" i="2" s="1"/>
  <c r="O377" i="2" a="1"/>
  <c r="O377" i="2" s="1"/>
  <c r="O378" i="2" a="1"/>
  <c r="O378" i="2" s="1"/>
  <c r="O379" i="2" a="1"/>
  <c r="O379" i="2" s="1"/>
  <c r="O380" i="2" a="1"/>
  <c r="O380" i="2" s="1"/>
  <c r="O381" i="2" a="1"/>
  <c r="O381" i="2" s="1"/>
  <c r="O382" i="2" a="1"/>
  <c r="O382" i="2" s="1"/>
  <c r="O383" i="2" a="1"/>
  <c r="O383" i="2" s="1"/>
  <c r="O384" i="2" a="1"/>
  <c r="O384" i="2" s="1"/>
  <c r="O385" i="2" a="1"/>
  <c r="O385" i="2" s="1"/>
  <c r="O386" i="2" a="1"/>
  <c r="O386" i="2" s="1"/>
  <c r="O387" i="2" a="1"/>
  <c r="O387" i="2" s="1"/>
  <c r="O388" i="2" a="1"/>
  <c r="O388" i="2" s="1"/>
  <c r="O389" i="2" a="1"/>
  <c r="O389" i="2" s="1"/>
  <c r="O390" i="2" a="1"/>
  <c r="O390" i="2" s="1"/>
  <c r="O391" i="2" a="1"/>
  <c r="O391" i="2" s="1"/>
  <c r="O392" i="2" a="1"/>
  <c r="O392" i="2" s="1"/>
  <c r="O393" i="2" a="1"/>
  <c r="O393" i="2" s="1"/>
  <c r="O394" i="2" a="1"/>
  <c r="O394" i="2" s="1"/>
  <c r="O395" i="2" a="1"/>
  <c r="O395" i="2" s="1"/>
  <c r="O396" i="2" a="1"/>
  <c r="O396" i="2" s="1"/>
  <c r="O397" i="2" a="1"/>
  <c r="O397" i="2" s="1"/>
  <c r="O398" i="2" a="1"/>
  <c r="O398" i="2" s="1"/>
  <c r="O399" i="2" a="1"/>
  <c r="O399" i="2" s="1"/>
  <c r="O400" i="2" a="1"/>
  <c r="O400" i="2" s="1"/>
  <c r="O401" i="2" a="1"/>
  <c r="O401" i="2" s="1"/>
  <c r="O402" i="2" a="1"/>
  <c r="O402" i="2" s="1"/>
  <c r="O403" i="2" a="1"/>
  <c r="O403" i="2" s="1"/>
  <c r="O404" i="2" a="1"/>
  <c r="O404" i="2" s="1"/>
  <c r="O405" i="2" a="1"/>
  <c r="O405" i="2" s="1"/>
  <c r="O406" i="2" a="1"/>
  <c r="O406" i="2" s="1"/>
  <c r="O407" i="2" a="1"/>
  <c r="O407" i="2" s="1"/>
  <c r="O408" i="2" a="1"/>
  <c r="O408" i="2" s="1"/>
  <c r="O409" i="2" a="1"/>
  <c r="O409" i="2" s="1"/>
  <c r="O410" i="2" a="1"/>
  <c r="O410" i="2" s="1"/>
  <c r="O411" i="2" a="1"/>
  <c r="O411" i="2" s="1"/>
  <c r="O412" i="2" a="1"/>
  <c r="O412" i="2" s="1"/>
  <c r="O413" i="2" a="1"/>
  <c r="O413" i="2" s="1"/>
  <c r="O414" i="2" a="1"/>
  <c r="O414" i="2" s="1"/>
  <c r="O415" i="2" a="1"/>
  <c r="O415" i="2" s="1"/>
  <c r="O416" i="2" a="1"/>
  <c r="O416" i="2" s="1"/>
  <c r="O417" i="2" a="1"/>
  <c r="O417" i="2" s="1"/>
  <c r="O418" i="2" a="1"/>
  <c r="O418" i="2" s="1"/>
  <c r="O419" i="2" a="1"/>
  <c r="O419" i="2" s="1"/>
  <c r="O420" i="2" a="1"/>
  <c r="O420" i="2" s="1"/>
  <c r="O421" i="2" a="1"/>
  <c r="O421" i="2" s="1"/>
  <c r="O422" i="2" a="1"/>
  <c r="O422" i="2" s="1"/>
  <c r="O423" i="2" a="1"/>
  <c r="O423" i="2" s="1"/>
  <c r="O424" i="2" a="1"/>
  <c r="O424" i="2" s="1"/>
  <c r="O425" i="2" a="1"/>
  <c r="O425" i="2" s="1"/>
  <c r="O426" i="2" a="1"/>
  <c r="O426" i="2" s="1"/>
  <c r="O427" i="2" a="1"/>
  <c r="O427" i="2" s="1"/>
  <c r="O428" i="2" a="1"/>
  <c r="O428" i="2" s="1"/>
  <c r="O429" i="2" a="1"/>
  <c r="O429" i="2" s="1"/>
  <c r="O430" i="2" a="1"/>
  <c r="O430" i="2" s="1"/>
  <c r="O431" i="2" a="1"/>
  <c r="O431" i="2" s="1"/>
  <c r="O432" i="2" a="1"/>
  <c r="O432" i="2" s="1"/>
  <c r="O433" i="2" a="1"/>
  <c r="O433" i="2" s="1"/>
  <c r="O434" i="2" a="1"/>
  <c r="O434" i="2" s="1"/>
  <c r="O435" i="2" a="1"/>
  <c r="O435" i="2" s="1"/>
  <c r="O436" i="2" a="1"/>
  <c r="O436" i="2" s="1"/>
  <c r="O437" i="2" a="1"/>
  <c r="O437" i="2" s="1"/>
  <c r="O438" i="2" a="1"/>
  <c r="O438" i="2" s="1"/>
  <c r="O439" i="2" a="1"/>
  <c r="O439" i="2" s="1"/>
  <c r="O440" i="2" a="1"/>
  <c r="O440" i="2" s="1"/>
  <c r="O441" i="2" a="1"/>
  <c r="O441" i="2" s="1"/>
  <c r="O442" i="2" a="1"/>
  <c r="O442" i="2" s="1"/>
  <c r="O443" i="2" a="1"/>
  <c r="O443" i="2" s="1"/>
  <c r="O444" i="2" a="1"/>
  <c r="O444" i="2" s="1"/>
  <c r="O445" i="2" a="1"/>
  <c r="O445" i="2" s="1"/>
  <c r="O446" i="2" a="1"/>
  <c r="O446" i="2" s="1"/>
  <c r="O447" i="2" a="1"/>
  <c r="O447" i="2" s="1"/>
  <c r="O448" i="2" a="1"/>
  <c r="O448" i="2" s="1"/>
  <c r="O449" i="2" a="1"/>
  <c r="O449" i="2" s="1"/>
  <c r="O450" i="2" a="1"/>
  <c r="O450" i="2" s="1"/>
  <c r="O451" i="2" a="1"/>
  <c r="O451" i="2" s="1"/>
  <c r="O452" i="2" a="1"/>
  <c r="O452" i="2" s="1"/>
  <c r="O453" i="2" a="1"/>
  <c r="O453" i="2" s="1"/>
  <c r="O454" i="2" a="1"/>
  <c r="O454" i="2" s="1"/>
  <c r="O455" i="2" a="1"/>
  <c r="O455" i="2" s="1"/>
  <c r="O456" i="2" a="1"/>
  <c r="O456" i="2" s="1"/>
  <c r="O457" i="2" a="1"/>
  <c r="O457" i="2" s="1"/>
  <c r="O458" i="2" a="1"/>
  <c r="O458" i="2" s="1"/>
  <c r="O459" i="2" a="1"/>
  <c r="O459" i="2" s="1"/>
  <c r="O460" i="2" a="1"/>
  <c r="O460" i="2" s="1"/>
  <c r="O461" i="2" a="1"/>
  <c r="O461" i="2" s="1"/>
  <c r="O462" i="2" a="1"/>
  <c r="O462" i="2" s="1"/>
  <c r="O463" i="2" a="1"/>
  <c r="O463" i="2" s="1"/>
  <c r="O464" i="2" a="1"/>
  <c r="O464" i="2" s="1"/>
  <c r="O465" i="2" a="1"/>
  <c r="O465" i="2" s="1"/>
  <c r="O466" i="2" a="1"/>
  <c r="O466" i="2" s="1"/>
  <c r="O467" i="2" a="1"/>
  <c r="O467" i="2" s="1"/>
  <c r="O468" i="2" a="1"/>
  <c r="O468" i="2" s="1"/>
  <c r="O469" i="2" a="1"/>
  <c r="O469" i="2" s="1"/>
  <c r="O470" i="2" a="1"/>
  <c r="O470" i="2" s="1"/>
  <c r="O471" i="2" a="1"/>
  <c r="O471" i="2" s="1"/>
  <c r="O472" i="2" a="1"/>
  <c r="O472" i="2" s="1"/>
  <c r="O473" i="2" a="1"/>
  <c r="O473" i="2" s="1"/>
  <c r="O474" i="2" a="1"/>
  <c r="O474" i="2" s="1"/>
  <c r="O475" i="2" a="1"/>
  <c r="O475" i="2" s="1"/>
  <c r="O476" i="2" a="1"/>
  <c r="O476" i="2" s="1"/>
  <c r="O477" i="2" a="1"/>
  <c r="O477" i="2" s="1"/>
  <c r="O478" i="2" a="1"/>
  <c r="O478" i="2" s="1"/>
  <c r="O479" i="2" a="1"/>
  <c r="O479" i="2" s="1"/>
  <c r="O480" i="2" a="1"/>
  <c r="O480" i="2" s="1"/>
  <c r="O481" i="2" a="1"/>
  <c r="O481" i="2" s="1"/>
  <c r="O482" i="2" a="1"/>
  <c r="O482" i="2" s="1"/>
  <c r="O483" i="2" a="1"/>
  <c r="O483" i="2" s="1"/>
  <c r="O484" i="2" a="1"/>
  <c r="O484" i="2" s="1"/>
  <c r="O485" i="2" a="1"/>
  <c r="O485" i="2" s="1"/>
  <c r="O486" i="2" a="1"/>
  <c r="O486" i="2" s="1"/>
  <c r="O487" i="2" a="1"/>
  <c r="O487" i="2" s="1"/>
  <c r="O488" i="2" a="1"/>
  <c r="O488" i="2" s="1"/>
  <c r="O489" i="2" a="1"/>
  <c r="O489" i="2" s="1"/>
  <c r="O490" i="2" a="1"/>
  <c r="O490" i="2" s="1"/>
  <c r="O491" i="2" a="1"/>
  <c r="O491" i="2" s="1"/>
  <c r="O492" i="2" a="1"/>
  <c r="O492" i="2" s="1"/>
  <c r="O493" i="2" a="1"/>
  <c r="O493" i="2" s="1"/>
  <c r="O494" i="2" a="1"/>
  <c r="O494" i="2" s="1"/>
  <c r="O495" i="2" a="1"/>
  <c r="O495" i="2" s="1"/>
  <c r="O496" i="2" a="1"/>
  <c r="O496" i="2" s="1"/>
  <c r="O497" i="2" a="1"/>
  <c r="O497" i="2" s="1"/>
  <c r="O498" i="2" a="1"/>
  <c r="O498" i="2" s="1"/>
  <c r="O499" i="2" a="1"/>
  <c r="O499" i="2" s="1"/>
  <c r="O500" i="2" a="1"/>
  <c r="O500" i="2" s="1"/>
  <c r="O501" i="2" a="1"/>
  <c r="O501" i="2" s="1"/>
  <c r="O502" i="2" a="1"/>
  <c r="O502" i="2" s="1"/>
  <c r="O503" i="2" a="1"/>
  <c r="O503" i="2" s="1"/>
  <c r="O504" i="2" a="1"/>
  <c r="O504" i="2" s="1"/>
  <c r="O505" i="2" a="1"/>
  <c r="O505" i="2" s="1"/>
  <c r="O506" i="2" a="1"/>
  <c r="O506" i="2" s="1"/>
  <c r="O507" i="2" a="1"/>
  <c r="O507" i="2" s="1"/>
  <c r="O508" i="2" a="1"/>
  <c r="O508" i="2" s="1"/>
  <c r="O509" i="2" a="1"/>
  <c r="O509" i="2" s="1"/>
  <c r="O510" i="2" a="1"/>
  <c r="O510" i="2" s="1"/>
  <c r="O511" i="2" a="1"/>
  <c r="O511" i="2" s="1"/>
  <c r="O512" i="2" a="1"/>
  <c r="O512" i="2" s="1"/>
  <c r="O513" i="2" a="1"/>
  <c r="O513" i="2" s="1"/>
  <c r="O514" i="2" a="1"/>
  <c r="O514" i="2" s="1"/>
  <c r="O515" i="2" a="1"/>
  <c r="O515" i="2" s="1"/>
  <c r="O516" i="2" a="1"/>
  <c r="O516" i="2" s="1"/>
  <c r="O517" i="2" a="1"/>
  <c r="O517" i="2" s="1"/>
  <c r="O518" i="2" a="1"/>
  <c r="O518" i="2" s="1"/>
  <c r="O519" i="2" a="1"/>
  <c r="O519" i="2" s="1"/>
  <c r="O520" i="2" a="1"/>
  <c r="O520" i="2" s="1"/>
  <c r="O521" i="2" a="1"/>
  <c r="O521" i="2" s="1"/>
  <c r="O522" i="2" a="1"/>
  <c r="O522" i="2" s="1"/>
  <c r="O523" i="2" a="1"/>
  <c r="O523" i="2" s="1"/>
  <c r="O524" i="2" a="1"/>
  <c r="O524" i="2" s="1"/>
  <c r="O525" i="2" a="1"/>
  <c r="O525" i="2" s="1"/>
  <c r="O526" i="2" a="1"/>
  <c r="O526" i="2" s="1"/>
  <c r="O527" i="2" a="1"/>
  <c r="O527" i="2" s="1"/>
  <c r="O528" i="2" a="1"/>
  <c r="O528" i="2" s="1"/>
  <c r="O529" i="2" a="1"/>
  <c r="O529" i="2" s="1"/>
  <c r="O530" i="2" a="1"/>
  <c r="O530" i="2" s="1"/>
  <c r="O531" i="2" a="1"/>
  <c r="O531" i="2" s="1"/>
  <c r="O532" i="2" a="1"/>
  <c r="O532" i="2" s="1"/>
  <c r="O533" i="2" a="1"/>
  <c r="O533" i="2" s="1"/>
  <c r="O534" i="2" a="1"/>
  <c r="O534" i="2" s="1"/>
  <c r="O535" i="2" a="1"/>
  <c r="O535" i="2" s="1"/>
  <c r="O536" i="2" a="1"/>
  <c r="O536" i="2" s="1"/>
  <c r="O537" i="2" a="1"/>
  <c r="O537" i="2" s="1"/>
  <c r="O538" i="2" a="1"/>
  <c r="O538" i="2" s="1"/>
  <c r="O539" i="2" a="1"/>
  <c r="O539" i="2" s="1"/>
  <c r="O540" i="2" a="1"/>
  <c r="O540" i="2" s="1"/>
  <c r="O541" i="2" a="1"/>
  <c r="O541" i="2" s="1"/>
  <c r="O542" i="2" a="1"/>
  <c r="O542" i="2" s="1"/>
  <c r="O543" i="2" a="1"/>
  <c r="O543" i="2" s="1"/>
  <c r="O544" i="2" a="1"/>
  <c r="O544" i="2" s="1"/>
  <c r="O545" i="2" a="1"/>
  <c r="O545" i="2" s="1"/>
  <c r="O546" i="2" a="1"/>
  <c r="O546" i="2" s="1"/>
  <c r="O547" i="2" a="1"/>
  <c r="O547" i="2" s="1"/>
  <c r="O548" i="2" a="1"/>
  <c r="O548" i="2" s="1"/>
  <c r="O549" i="2" a="1"/>
  <c r="O549" i="2" s="1"/>
  <c r="O550" i="2" a="1"/>
  <c r="O550" i="2" s="1"/>
  <c r="O551" i="2" a="1"/>
  <c r="O551" i="2" s="1"/>
  <c r="O552" i="2" a="1"/>
  <c r="O552" i="2" s="1"/>
  <c r="O553" i="2" a="1"/>
  <c r="O553" i="2" s="1"/>
  <c r="O554" i="2" a="1"/>
  <c r="O554" i="2" s="1"/>
  <c r="O555" i="2" a="1"/>
  <c r="O555" i="2" s="1"/>
  <c r="O556" i="2" a="1"/>
  <c r="O556" i="2" s="1"/>
  <c r="O557" i="2" a="1"/>
  <c r="O557" i="2" s="1"/>
  <c r="O558" i="2" a="1"/>
  <c r="O558" i="2" s="1"/>
  <c r="O559" i="2" a="1"/>
  <c r="O559" i="2" s="1"/>
  <c r="O560" i="2" a="1"/>
  <c r="O560" i="2" s="1"/>
  <c r="O561" i="2" a="1"/>
  <c r="O561" i="2" s="1"/>
  <c r="O562" i="2" a="1"/>
  <c r="O562" i="2" s="1"/>
  <c r="O563" i="2" a="1"/>
  <c r="O563" i="2" s="1"/>
  <c r="O564" i="2" a="1"/>
  <c r="O564" i="2" s="1"/>
  <c r="O565" i="2" a="1"/>
  <c r="O565" i="2" s="1"/>
  <c r="O566" i="2" a="1"/>
  <c r="O566" i="2" s="1"/>
  <c r="O567" i="2" a="1"/>
  <c r="O567" i="2" s="1"/>
  <c r="O568" i="2" a="1"/>
  <c r="O568" i="2" s="1"/>
  <c r="H470" i="2"/>
  <c r="B83" i="23"/>
  <c r="C83" i="23"/>
  <c r="D83" i="23"/>
  <c r="E83" i="23"/>
  <c r="D82" i="23"/>
  <c r="B82" i="23"/>
  <c r="C82" i="23"/>
  <c r="E82" i="23"/>
  <c r="C81" i="23"/>
  <c r="D81" i="23"/>
  <c r="E81" i="23"/>
  <c r="B81" i="23"/>
  <c r="C80" i="23"/>
  <c r="D80" i="23"/>
  <c r="E80" i="23"/>
  <c r="B80" i="23"/>
  <c r="C79" i="23"/>
  <c r="D79" i="23"/>
  <c r="E79" i="23"/>
  <c r="B79" i="23"/>
  <c r="C78" i="23"/>
  <c r="D78" i="23"/>
  <c r="E78" i="23"/>
  <c r="B78" i="23"/>
  <c r="C77" i="23"/>
  <c r="D77" i="23"/>
  <c r="E77" i="23"/>
  <c r="B77" i="23"/>
  <c r="C76" i="23"/>
  <c r="D76" i="23"/>
  <c r="E76" i="23"/>
  <c r="B76" i="23"/>
  <c r="C75" i="23"/>
  <c r="D75" i="23"/>
  <c r="E75" i="23"/>
  <c r="B75" i="23"/>
  <c r="C74" i="23"/>
  <c r="D74" i="23"/>
  <c r="E74" i="23"/>
  <c r="B74" i="23"/>
  <c r="C73" i="23"/>
  <c r="D73" i="23"/>
  <c r="E73" i="23"/>
  <c r="B73" i="23"/>
  <c r="C72" i="23"/>
  <c r="D72" i="23"/>
  <c r="E72" i="23"/>
  <c r="B72" i="23"/>
  <c r="C71" i="23"/>
  <c r="D71" i="23"/>
  <c r="E71" i="23"/>
  <c r="B71" i="23"/>
  <c r="C70" i="23"/>
  <c r="D70" i="23"/>
  <c r="E70" i="23"/>
  <c r="B70" i="23"/>
  <c r="C69" i="23"/>
  <c r="D69" i="23"/>
  <c r="E69" i="23"/>
  <c r="B69" i="23"/>
  <c r="C68" i="23"/>
  <c r="D68" i="23"/>
  <c r="E68" i="23"/>
  <c r="B68" i="23"/>
  <c r="C67" i="23"/>
  <c r="D67" i="23"/>
  <c r="E67" i="23"/>
  <c r="B67" i="23"/>
  <c r="C66" i="23"/>
  <c r="D66" i="23"/>
  <c r="E66" i="23"/>
  <c r="B66" i="23"/>
  <c r="C65" i="23"/>
  <c r="D65" i="23"/>
  <c r="E65" i="23"/>
  <c r="B65" i="23"/>
  <c r="C64" i="23"/>
  <c r="D64" i="23"/>
  <c r="E64" i="23"/>
  <c r="B64" i="23"/>
  <c r="C63" i="23"/>
  <c r="D63" i="23"/>
  <c r="E63" i="23"/>
  <c r="B63" i="23"/>
  <c r="C62" i="23"/>
  <c r="D62" i="23"/>
  <c r="E62" i="23"/>
  <c r="B62" i="23"/>
  <c r="C61" i="23"/>
  <c r="D61" i="23"/>
  <c r="E61" i="23"/>
  <c r="B61" i="23"/>
  <c r="C60" i="23"/>
  <c r="D60" i="23"/>
  <c r="E60" i="23"/>
  <c r="B60" i="23"/>
  <c r="C59" i="23"/>
  <c r="D59" i="23"/>
  <c r="E59" i="23"/>
  <c r="B59" i="23"/>
  <c r="C58" i="23"/>
  <c r="D58" i="23"/>
  <c r="E58" i="23"/>
  <c r="B58" i="23"/>
  <c r="E57" i="23"/>
  <c r="C57" i="23"/>
  <c r="D57" i="23"/>
  <c r="B57" i="23"/>
  <c r="C56" i="23"/>
  <c r="D56" i="23"/>
  <c r="E56" i="23"/>
  <c r="B56" i="23"/>
  <c r="C55" i="23"/>
  <c r="D55" i="23"/>
  <c r="E55" i="23"/>
  <c r="B55" i="23"/>
  <c r="C54" i="23"/>
  <c r="D54" i="23"/>
  <c r="E54" i="23"/>
  <c r="B54" i="23"/>
  <c r="C53" i="23"/>
  <c r="D53" i="23"/>
  <c r="E53" i="23"/>
  <c r="B53" i="23"/>
  <c r="C52" i="23"/>
  <c r="D52" i="23"/>
  <c r="E52" i="23"/>
  <c r="B52" i="23"/>
  <c r="C51" i="23"/>
  <c r="D51" i="23"/>
  <c r="E51" i="23"/>
  <c r="B51" i="23"/>
  <c r="C50" i="23"/>
  <c r="D50" i="23"/>
  <c r="E50" i="23"/>
  <c r="B50" i="23"/>
  <c r="C49" i="23"/>
  <c r="D49" i="23"/>
  <c r="E49" i="23"/>
  <c r="B49" i="23"/>
  <c r="C48" i="23"/>
  <c r="D48" i="23"/>
  <c r="E48" i="23"/>
  <c r="B48" i="23"/>
  <c r="C47" i="23"/>
  <c r="D47" i="23"/>
  <c r="E47" i="23"/>
  <c r="B47" i="23"/>
  <c r="C46" i="23"/>
  <c r="D46" i="23"/>
  <c r="E46" i="23"/>
  <c r="B46" i="23"/>
  <c r="C45" i="23"/>
  <c r="D45" i="23"/>
  <c r="E45" i="23"/>
  <c r="B45" i="23"/>
  <c r="C44" i="23"/>
  <c r="D44" i="23"/>
  <c r="E44" i="23"/>
  <c r="B44" i="23"/>
  <c r="C43" i="23"/>
  <c r="D43" i="23"/>
  <c r="E43" i="23"/>
  <c r="B43" i="23"/>
  <c r="C42" i="23"/>
  <c r="D42" i="23"/>
  <c r="E42" i="23"/>
  <c r="B42" i="23"/>
  <c r="C41" i="23"/>
  <c r="D41" i="23"/>
  <c r="E41" i="23"/>
  <c r="B41" i="23"/>
  <c r="C40" i="23"/>
  <c r="D40" i="23"/>
  <c r="E40" i="23"/>
  <c r="B40" i="23"/>
  <c r="C39" i="23"/>
  <c r="D39" i="23"/>
  <c r="E39" i="23"/>
  <c r="B39" i="23"/>
  <c r="C38" i="23"/>
  <c r="D38" i="23"/>
  <c r="E38" i="23"/>
  <c r="B38" i="23"/>
  <c r="C37" i="23"/>
  <c r="D37" i="23"/>
  <c r="E37" i="23"/>
  <c r="B37" i="23"/>
  <c r="E36" i="23"/>
  <c r="C36" i="23"/>
  <c r="D36" i="23"/>
  <c r="B36" i="23"/>
  <c r="C35" i="23"/>
  <c r="D35" i="23"/>
  <c r="E35" i="23"/>
  <c r="B35" i="23"/>
  <c r="C34" i="23"/>
  <c r="D34" i="23"/>
  <c r="E34" i="23"/>
  <c r="B34" i="23"/>
  <c r="C33" i="23"/>
  <c r="D33" i="23"/>
  <c r="E33" i="23"/>
  <c r="B33" i="23"/>
  <c r="C32" i="23"/>
  <c r="D32" i="23"/>
  <c r="E32" i="23"/>
  <c r="B32" i="23"/>
  <c r="C31" i="23"/>
  <c r="D31" i="23"/>
  <c r="E31" i="23"/>
  <c r="B31" i="23"/>
  <c r="C30" i="23"/>
  <c r="D30" i="23"/>
  <c r="E30" i="23"/>
  <c r="B30" i="23"/>
  <c r="C29" i="23"/>
  <c r="D29" i="23"/>
  <c r="E29" i="23"/>
  <c r="B29" i="23"/>
  <c r="E28" i="23"/>
  <c r="C28" i="23"/>
  <c r="D28" i="23"/>
  <c r="B28" i="23"/>
  <c r="C27" i="23"/>
  <c r="D27" i="23"/>
  <c r="E27" i="23"/>
  <c r="B27" i="23"/>
  <c r="C26" i="23"/>
  <c r="D26" i="23"/>
  <c r="E26" i="23"/>
  <c r="B26" i="23"/>
  <c r="C25" i="23"/>
  <c r="D25" i="23"/>
  <c r="E25" i="23"/>
  <c r="B25" i="23"/>
  <c r="C24" i="23"/>
  <c r="D24" i="23"/>
  <c r="E24" i="23"/>
  <c r="B24" i="23"/>
  <c r="C23" i="23"/>
  <c r="D23" i="23"/>
  <c r="E23" i="23"/>
  <c r="B23" i="23"/>
  <c r="C22" i="23"/>
  <c r="D22" i="23"/>
  <c r="E22" i="23"/>
  <c r="B22" i="23"/>
  <c r="C21" i="23"/>
  <c r="D21" i="23"/>
  <c r="E21" i="23"/>
  <c r="B21" i="23"/>
  <c r="C20" i="23"/>
  <c r="D20" i="23"/>
  <c r="E20" i="23"/>
  <c r="B20" i="23"/>
  <c r="E19" i="23"/>
  <c r="C19" i="23"/>
  <c r="D19" i="23"/>
  <c r="B19" i="23"/>
  <c r="C18" i="23"/>
  <c r="D18" i="23"/>
  <c r="E18" i="23"/>
  <c r="B18" i="23"/>
  <c r="C17" i="23"/>
  <c r="D17" i="23"/>
  <c r="E17" i="23"/>
  <c r="B17" i="23"/>
  <c r="C16" i="23"/>
  <c r="D16" i="23"/>
  <c r="E16" i="23"/>
  <c r="B16" i="23"/>
  <c r="C15" i="23"/>
  <c r="D15" i="23"/>
  <c r="E15" i="23"/>
  <c r="B15" i="23"/>
  <c r="C14" i="23"/>
  <c r="D14" i="23"/>
  <c r="E14" i="23"/>
  <c r="B14" i="23"/>
  <c r="C13" i="23"/>
  <c r="D13" i="23"/>
  <c r="E13" i="23"/>
  <c r="B13" i="23"/>
  <c r="C12" i="23"/>
  <c r="D12" i="23"/>
  <c r="E12" i="23"/>
  <c r="B12" i="23"/>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B569" i="16"/>
  <c r="B569"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8" i="2"/>
  <c r="H269" i="2"/>
  <c r="H270" i="2"/>
  <c r="H271" i="2"/>
  <c r="H272" i="2"/>
  <c r="H273" i="2"/>
  <c r="H266" i="2"/>
  <c r="H267"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23" i="2"/>
  <c r="H424" i="2"/>
  <c r="H425" i="2"/>
  <c r="H426" i="2"/>
  <c r="H427" i="2"/>
  <c r="H428" i="2"/>
  <c r="H429" i="2"/>
  <c r="H430" i="2"/>
  <c r="H431" i="2"/>
  <c r="H432" i="2"/>
  <c r="H433" i="2"/>
  <c r="H434" i="2"/>
  <c r="H435" i="2"/>
  <c r="H436" i="2"/>
  <c r="H437" i="2"/>
  <c r="H438" i="2"/>
  <c r="H439" i="2"/>
  <c r="H417" i="2"/>
  <c r="H418" i="2"/>
  <c r="H419" i="2"/>
  <c r="H420" i="2"/>
  <c r="H421" i="2"/>
  <c r="H422"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I2" i="2" a="1"/>
  <c r="I2" i="2" s="1"/>
  <c r="I3" i="2" a="1"/>
  <c r="I3" i="2" s="1"/>
  <c r="I4" i="2" a="1"/>
  <c r="I4" i="2" s="1"/>
  <c r="I5" i="2" a="1"/>
  <c r="I5" i="2" s="1"/>
  <c r="I6" i="2" a="1"/>
  <c r="I6" i="2" s="1"/>
  <c r="I7" i="2" a="1"/>
  <c r="I7" i="2" s="1"/>
  <c r="I8" i="2" a="1"/>
  <c r="I8" i="2" s="1"/>
  <c r="I9" i="2" a="1"/>
  <c r="I9" i="2" s="1"/>
  <c r="I10" i="2" a="1"/>
  <c r="I10" i="2" s="1"/>
  <c r="I11" i="2" a="1"/>
  <c r="I11" i="2" s="1"/>
  <c r="I12" i="2" a="1"/>
  <c r="I12" i="2" s="1"/>
  <c r="I13" i="2" a="1"/>
  <c r="I13" i="2" s="1"/>
  <c r="I14" i="2" a="1"/>
  <c r="I14" i="2" s="1"/>
  <c r="I15" i="2" a="1"/>
  <c r="I15" i="2" s="1"/>
  <c r="I16" i="2" a="1"/>
  <c r="I16" i="2" s="1"/>
  <c r="I17" i="2" a="1"/>
  <c r="I17" i="2" s="1"/>
  <c r="I18" i="2" a="1"/>
  <c r="I18" i="2" s="1"/>
  <c r="I19" i="2" a="1"/>
  <c r="I19" i="2" s="1"/>
  <c r="I20" i="2" a="1"/>
  <c r="I20" i="2" s="1"/>
  <c r="I21" i="2" a="1"/>
  <c r="I21" i="2" s="1"/>
  <c r="I22" i="2" a="1"/>
  <c r="I22" i="2" s="1"/>
  <c r="I23" i="2" a="1"/>
  <c r="I23" i="2" s="1"/>
  <c r="I24" i="2" a="1"/>
  <c r="I24" i="2" s="1"/>
  <c r="I25" i="2" a="1"/>
  <c r="I25" i="2" s="1"/>
  <c r="I26" i="2" a="1"/>
  <c r="I26" i="2" s="1"/>
  <c r="I27" i="2" a="1"/>
  <c r="I27" i="2" s="1"/>
  <c r="I28" i="2" a="1"/>
  <c r="I28" i="2" s="1"/>
  <c r="I29" i="2" a="1"/>
  <c r="I29" i="2" s="1"/>
  <c r="I30" i="2" a="1"/>
  <c r="I30" i="2" s="1"/>
  <c r="I31" i="2" a="1"/>
  <c r="I31" i="2" s="1"/>
  <c r="I32" i="2" a="1"/>
  <c r="I32" i="2" s="1"/>
  <c r="I33" i="2" a="1"/>
  <c r="I33" i="2" s="1"/>
  <c r="I34" i="2" a="1"/>
  <c r="I34" i="2" s="1"/>
  <c r="I35" i="2" a="1"/>
  <c r="I35" i="2" s="1"/>
  <c r="I36" i="2" a="1"/>
  <c r="I36" i="2" s="1"/>
  <c r="I37" i="2" a="1"/>
  <c r="I37" i="2" s="1"/>
  <c r="I38" i="2" a="1"/>
  <c r="I38" i="2" s="1"/>
  <c r="I39" i="2" a="1"/>
  <c r="I39" i="2" s="1"/>
  <c r="I40" i="2" a="1"/>
  <c r="I40" i="2" s="1"/>
  <c r="I41" i="2" a="1"/>
  <c r="I41" i="2" s="1"/>
  <c r="I42" i="2" a="1"/>
  <c r="I42" i="2" s="1"/>
  <c r="I43" i="2" a="1"/>
  <c r="I43" i="2" s="1"/>
  <c r="I44" i="2" a="1"/>
  <c r="I44" i="2" s="1"/>
  <c r="I45" i="2" a="1"/>
  <c r="I45" i="2" s="1"/>
  <c r="I46" i="2" a="1"/>
  <c r="I46" i="2" s="1"/>
  <c r="I47" i="2" a="1"/>
  <c r="I47" i="2" s="1"/>
  <c r="I48" i="2" a="1"/>
  <c r="I48" i="2" s="1"/>
  <c r="I49" i="2" a="1"/>
  <c r="I49" i="2" s="1"/>
  <c r="I50" i="2" a="1"/>
  <c r="I50" i="2" s="1"/>
  <c r="I51" i="2" a="1"/>
  <c r="I51" i="2" s="1"/>
  <c r="I52" i="2" a="1"/>
  <c r="I52" i="2" s="1"/>
  <c r="I53" i="2" a="1"/>
  <c r="I53" i="2" s="1"/>
  <c r="I54" i="2" a="1"/>
  <c r="I54" i="2" s="1"/>
  <c r="I55" i="2" a="1"/>
  <c r="I55" i="2" s="1"/>
  <c r="I56" i="2" a="1"/>
  <c r="I56" i="2" s="1"/>
  <c r="I57" i="2" a="1"/>
  <c r="I57" i="2" s="1"/>
  <c r="I58" i="2" a="1"/>
  <c r="I58" i="2" s="1"/>
  <c r="I59" i="2" a="1"/>
  <c r="I59" i="2" s="1"/>
  <c r="I60" i="2" a="1"/>
  <c r="I60" i="2" s="1"/>
  <c r="I61" i="2" a="1"/>
  <c r="I61" i="2" s="1"/>
  <c r="I62" i="2" a="1"/>
  <c r="I62" i="2" s="1"/>
  <c r="I63" i="2" a="1"/>
  <c r="I63" i="2" s="1"/>
  <c r="I64" i="2" a="1"/>
  <c r="I64" i="2" s="1"/>
  <c r="I65" i="2" a="1"/>
  <c r="I65" i="2" s="1"/>
  <c r="I66" i="2" a="1"/>
  <c r="I66" i="2" s="1"/>
  <c r="I67" i="2" a="1"/>
  <c r="I67" i="2" s="1"/>
  <c r="I68" i="2" a="1"/>
  <c r="I68" i="2" s="1"/>
  <c r="I69" i="2" a="1"/>
  <c r="I69" i="2" s="1"/>
  <c r="I70" i="2" a="1"/>
  <c r="I70" i="2" s="1"/>
  <c r="I71" i="2" a="1"/>
  <c r="I71" i="2" s="1"/>
  <c r="I72" i="2" a="1"/>
  <c r="I72" i="2" s="1"/>
  <c r="I73" i="2" a="1"/>
  <c r="I73" i="2" s="1"/>
  <c r="I74" i="2" a="1"/>
  <c r="I74" i="2" s="1"/>
  <c r="I75" i="2" a="1"/>
  <c r="I75" i="2" s="1"/>
  <c r="I76" i="2" a="1"/>
  <c r="I76" i="2" s="1"/>
  <c r="I77" i="2" a="1"/>
  <c r="I77" i="2" s="1"/>
  <c r="I78" i="2" a="1"/>
  <c r="I78" i="2" s="1"/>
  <c r="I79" i="2" a="1"/>
  <c r="I79" i="2" s="1"/>
  <c r="I80" i="2" a="1"/>
  <c r="I80" i="2" s="1"/>
  <c r="I81" i="2" a="1"/>
  <c r="I81" i="2" s="1"/>
  <c r="I82" i="2" a="1"/>
  <c r="I82" i="2" s="1"/>
  <c r="I83" i="2" a="1"/>
  <c r="I83" i="2" s="1"/>
  <c r="I84" i="2" a="1"/>
  <c r="I84" i="2" s="1"/>
  <c r="I85" i="2" a="1"/>
  <c r="I85" i="2" s="1"/>
  <c r="I86" i="2" a="1"/>
  <c r="I86" i="2" s="1"/>
  <c r="I87" i="2" a="1"/>
  <c r="I87" i="2" s="1"/>
  <c r="I88" i="2" a="1"/>
  <c r="I88" i="2" s="1"/>
  <c r="I89" i="2" a="1"/>
  <c r="I89" i="2" s="1"/>
  <c r="I90" i="2" a="1"/>
  <c r="I90" i="2" s="1"/>
  <c r="I91" i="2" a="1"/>
  <c r="I91" i="2" s="1"/>
  <c r="I92" i="2" a="1"/>
  <c r="I92" i="2" s="1"/>
  <c r="I93" i="2" a="1"/>
  <c r="I93" i="2" s="1"/>
  <c r="I94" i="2" a="1"/>
  <c r="I94" i="2" s="1"/>
  <c r="I95" i="2" a="1"/>
  <c r="I95" i="2" s="1"/>
  <c r="I96" i="2" a="1"/>
  <c r="I96" i="2" s="1"/>
  <c r="I97" i="2" a="1"/>
  <c r="I97" i="2" s="1"/>
  <c r="I98" i="2" a="1"/>
  <c r="I98" i="2" s="1"/>
  <c r="I99" i="2" a="1"/>
  <c r="I99" i="2" s="1"/>
  <c r="I100" i="2" a="1"/>
  <c r="I100" i="2" s="1"/>
  <c r="I101" i="2" a="1"/>
  <c r="I101" i="2" s="1"/>
  <c r="I102" i="2" a="1"/>
  <c r="I102" i="2" s="1"/>
  <c r="I103" i="2" a="1"/>
  <c r="I103" i="2" s="1"/>
  <c r="I104" i="2" a="1"/>
  <c r="I104" i="2" s="1"/>
  <c r="I105" i="2" a="1"/>
  <c r="I105" i="2" s="1"/>
  <c r="I106" i="2" a="1"/>
  <c r="I106" i="2" s="1"/>
  <c r="I107" i="2" a="1"/>
  <c r="I107" i="2" s="1"/>
  <c r="I108" i="2" a="1"/>
  <c r="I108" i="2" s="1"/>
  <c r="I109" i="2" a="1"/>
  <c r="I109" i="2" s="1"/>
  <c r="I110" i="2" a="1"/>
  <c r="I110" i="2" s="1"/>
  <c r="I111" i="2" a="1"/>
  <c r="I111" i="2" s="1"/>
  <c r="I112" i="2" a="1"/>
  <c r="I112" i="2" s="1"/>
  <c r="I113" i="2" a="1"/>
  <c r="I113" i="2" s="1"/>
  <c r="I114" i="2" a="1"/>
  <c r="I114" i="2" s="1"/>
  <c r="I115" i="2" a="1"/>
  <c r="I115" i="2" s="1"/>
  <c r="I116" i="2" a="1"/>
  <c r="I116" i="2" s="1"/>
  <c r="I117" i="2" a="1"/>
  <c r="I117" i="2" s="1"/>
  <c r="I118" i="2" a="1"/>
  <c r="I118" i="2" s="1"/>
  <c r="I119" i="2" a="1"/>
  <c r="I119" i="2" s="1"/>
  <c r="I120" i="2" a="1"/>
  <c r="I120" i="2" s="1"/>
  <c r="I121" i="2" a="1"/>
  <c r="I121" i="2" s="1"/>
  <c r="I122" i="2" a="1"/>
  <c r="I122" i="2" s="1"/>
  <c r="I123" i="2" a="1"/>
  <c r="I123" i="2" s="1"/>
  <c r="I124" i="2" a="1"/>
  <c r="I124" i="2" s="1"/>
  <c r="I125" i="2" a="1"/>
  <c r="I125" i="2" s="1"/>
  <c r="I126" i="2" a="1"/>
  <c r="I126" i="2" s="1"/>
  <c r="I127" i="2" a="1"/>
  <c r="I127" i="2" s="1"/>
  <c r="I128" i="2" a="1"/>
  <c r="I128" i="2" s="1"/>
  <c r="I129" i="2" a="1"/>
  <c r="I129" i="2" s="1"/>
  <c r="I130" i="2" a="1"/>
  <c r="I130" i="2" s="1"/>
  <c r="I131" i="2" a="1"/>
  <c r="I131" i="2" s="1"/>
  <c r="I132" i="2" a="1"/>
  <c r="I132" i="2" s="1"/>
  <c r="I133" i="2" a="1"/>
  <c r="I133" i="2" s="1"/>
  <c r="I134" i="2" a="1"/>
  <c r="I134" i="2" s="1"/>
  <c r="I135" i="2" a="1"/>
  <c r="I135" i="2" s="1"/>
  <c r="I136" i="2" a="1"/>
  <c r="I136" i="2" s="1"/>
  <c r="I137" i="2" a="1"/>
  <c r="I137" i="2" s="1"/>
  <c r="I138" i="2" a="1"/>
  <c r="I138" i="2" s="1"/>
  <c r="I139" i="2" a="1"/>
  <c r="I139" i="2" s="1"/>
  <c r="I140" i="2" a="1"/>
  <c r="I140" i="2" s="1"/>
  <c r="I141" i="2" a="1"/>
  <c r="I141" i="2" s="1"/>
  <c r="I142" i="2" a="1"/>
  <c r="I142" i="2" s="1"/>
  <c r="I143" i="2" a="1"/>
  <c r="I143" i="2" s="1"/>
  <c r="I144" i="2" a="1"/>
  <c r="I144" i="2" s="1"/>
  <c r="I145" i="2" a="1"/>
  <c r="I145" i="2" s="1"/>
  <c r="I146" i="2" a="1"/>
  <c r="I146" i="2" s="1"/>
  <c r="I147" i="2" a="1"/>
  <c r="I147" i="2" s="1"/>
  <c r="I148" i="2" a="1"/>
  <c r="I148" i="2" s="1"/>
  <c r="I149" i="2" a="1"/>
  <c r="I149" i="2" s="1"/>
  <c r="I150" i="2" a="1"/>
  <c r="I150" i="2" s="1"/>
  <c r="I151" i="2" a="1"/>
  <c r="I151" i="2" s="1"/>
  <c r="I152" i="2" a="1"/>
  <c r="I152" i="2" s="1"/>
  <c r="I153" i="2" a="1"/>
  <c r="I153" i="2" s="1"/>
  <c r="I154" i="2" a="1"/>
  <c r="I154" i="2" s="1"/>
  <c r="I155" i="2" a="1"/>
  <c r="I155" i="2" s="1"/>
  <c r="I156" i="2" a="1"/>
  <c r="I156" i="2" s="1"/>
  <c r="I157" i="2" a="1"/>
  <c r="I157" i="2" s="1"/>
  <c r="I158" i="2" a="1"/>
  <c r="I158" i="2" s="1"/>
  <c r="I159" i="2" a="1"/>
  <c r="I159" i="2" s="1"/>
  <c r="I160" i="2" a="1"/>
  <c r="I160" i="2" s="1"/>
  <c r="I161" i="2" a="1"/>
  <c r="I161" i="2" s="1"/>
  <c r="I162" i="2" a="1"/>
  <c r="I162" i="2" s="1"/>
  <c r="I163" i="2" a="1"/>
  <c r="I163" i="2" s="1"/>
  <c r="I164" i="2" a="1"/>
  <c r="I164" i="2" s="1"/>
  <c r="I165" i="2" a="1"/>
  <c r="I165" i="2" s="1"/>
  <c r="I166" i="2" a="1"/>
  <c r="I166" i="2" s="1"/>
  <c r="I167" i="2" a="1"/>
  <c r="I167" i="2" s="1"/>
  <c r="I168" i="2" a="1"/>
  <c r="I168" i="2" s="1"/>
  <c r="I169" i="2" a="1"/>
  <c r="I169" i="2" s="1"/>
  <c r="I170" i="2" a="1"/>
  <c r="I170" i="2" s="1"/>
  <c r="I171" i="2" a="1"/>
  <c r="I171" i="2" s="1"/>
  <c r="I172" i="2" a="1"/>
  <c r="I172" i="2" s="1"/>
  <c r="I173" i="2" a="1"/>
  <c r="I173" i="2" s="1"/>
  <c r="I174" i="2" a="1"/>
  <c r="I174" i="2" s="1"/>
  <c r="I175" i="2" a="1"/>
  <c r="I175" i="2" s="1"/>
  <c r="I176" i="2" a="1"/>
  <c r="I176" i="2" s="1"/>
  <c r="I177" i="2" a="1"/>
  <c r="I177" i="2" s="1"/>
  <c r="I178" i="2" a="1"/>
  <c r="I178" i="2" s="1"/>
  <c r="I179" i="2" a="1"/>
  <c r="I179" i="2" s="1"/>
  <c r="I180" i="2" a="1"/>
  <c r="I180" i="2" s="1"/>
  <c r="I181" i="2" a="1"/>
  <c r="I181" i="2" s="1"/>
  <c r="I182" i="2" a="1"/>
  <c r="I182" i="2" s="1"/>
  <c r="I183" i="2" a="1"/>
  <c r="I183" i="2" s="1"/>
  <c r="I184" i="2" a="1"/>
  <c r="I184" i="2" s="1"/>
  <c r="I185" i="2" a="1"/>
  <c r="I185" i="2" s="1"/>
  <c r="I186" i="2" a="1"/>
  <c r="I186" i="2" s="1"/>
  <c r="I187" i="2" a="1"/>
  <c r="I187" i="2" s="1"/>
  <c r="I188" i="2" a="1"/>
  <c r="I188" i="2" s="1"/>
  <c r="I189" i="2" a="1"/>
  <c r="I189" i="2" s="1"/>
  <c r="I190" i="2" a="1"/>
  <c r="I190" i="2" s="1"/>
  <c r="I191" i="2" a="1"/>
  <c r="I191" i="2" s="1"/>
  <c r="I192" i="2" a="1"/>
  <c r="I192" i="2" s="1"/>
  <c r="I193" i="2" a="1"/>
  <c r="I193" i="2" s="1"/>
  <c r="I194" i="2" a="1"/>
  <c r="I194" i="2" s="1"/>
  <c r="I195" i="2" a="1"/>
  <c r="I195" i="2" s="1"/>
  <c r="I196" i="2" a="1"/>
  <c r="I196" i="2" s="1"/>
  <c r="I197" i="2" a="1"/>
  <c r="I197" i="2" s="1"/>
  <c r="I198" i="2" a="1"/>
  <c r="I198" i="2" s="1"/>
  <c r="I199" i="2" a="1"/>
  <c r="I199" i="2" s="1"/>
  <c r="I200" i="2" a="1"/>
  <c r="I200" i="2" s="1"/>
  <c r="I201" i="2" a="1"/>
  <c r="I201" i="2" s="1"/>
  <c r="I202" i="2" a="1"/>
  <c r="I202" i="2" s="1"/>
  <c r="I203" i="2" a="1"/>
  <c r="I203" i="2" s="1"/>
  <c r="I204" i="2" a="1"/>
  <c r="I204" i="2" s="1"/>
  <c r="I205" i="2" a="1"/>
  <c r="I205" i="2" s="1"/>
  <c r="I206" i="2" a="1"/>
  <c r="I206" i="2" s="1"/>
  <c r="I207" i="2" a="1"/>
  <c r="I207" i="2" s="1"/>
  <c r="I208" i="2" a="1"/>
  <c r="I208" i="2" s="1"/>
  <c r="I209" i="2" a="1"/>
  <c r="I209" i="2" s="1"/>
  <c r="I210" i="2" a="1"/>
  <c r="I210" i="2" s="1"/>
  <c r="I211" i="2" a="1"/>
  <c r="I211" i="2" s="1"/>
  <c r="I212" i="2" a="1"/>
  <c r="I212" i="2" s="1"/>
  <c r="I213" i="2" a="1"/>
  <c r="I213" i="2" s="1"/>
  <c r="I214" i="2" a="1"/>
  <c r="I214" i="2" s="1"/>
  <c r="I215" i="2" a="1"/>
  <c r="I215" i="2" s="1"/>
  <c r="I216" i="2" a="1"/>
  <c r="I216" i="2" s="1"/>
  <c r="I217" i="2" a="1"/>
  <c r="I217" i="2" s="1"/>
  <c r="I218" i="2" a="1"/>
  <c r="I218" i="2" s="1"/>
  <c r="I219" i="2" a="1"/>
  <c r="I219" i="2" s="1"/>
  <c r="I220" i="2" a="1"/>
  <c r="I220" i="2" s="1"/>
  <c r="I221" i="2" a="1"/>
  <c r="I221" i="2" s="1"/>
  <c r="I222" i="2" a="1"/>
  <c r="I222" i="2" s="1"/>
  <c r="I223" i="2" a="1"/>
  <c r="I223" i="2" s="1"/>
  <c r="I224" i="2" a="1"/>
  <c r="I224" i="2" s="1"/>
  <c r="I225" i="2" a="1"/>
  <c r="I225" i="2" s="1"/>
  <c r="I226" i="2" a="1"/>
  <c r="I226" i="2" s="1"/>
  <c r="I227" i="2" a="1"/>
  <c r="I227" i="2" s="1"/>
  <c r="I228" i="2" a="1"/>
  <c r="I228" i="2" s="1"/>
  <c r="I229" i="2" a="1"/>
  <c r="I229" i="2" s="1"/>
  <c r="I230" i="2" a="1"/>
  <c r="I230" i="2" s="1"/>
  <c r="I231" i="2" a="1"/>
  <c r="I231" i="2" s="1"/>
  <c r="I232" i="2" a="1"/>
  <c r="I232" i="2" s="1"/>
  <c r="I233" i="2" a="1"/>
  <c r="I233" i="2" s="1"/>
  <c r="I234" i="2" a="1"/>
  <c r="I234" i="2" s="1"/>
  <c r="I235" i="2" a="1"/>
  <c r="I235" i="2" s="1"/>
  <c r="I236" i="2" a="1"/>
  <c r="I236" i="2" s="1"/>
  <c r="I237" i="2" a="1"/>
  <c r="I237" i="2" s="1"/>
  <c r="I238" i="2" a="1"/>
  <c r="I238" i="2" s="1"/>
  <c r="I239" i="2" a="1"/>
  <c r="I239" i="2" s="1"/>
  <c r="I240" i="2" a="1"/>
  <c r="I240" i="2" s="1"/>
  <c r="I241" i="2" a="1"/>
  <c r="I241" i="2" s="1"/>
  <c r="I242" i="2" a="1"/>
  <c r="I242" i="2" s="1"/>
  <c r="I243" i="2" a="1"/>
  <c r="I243" i="2" s="1"/>
  <c r="I244" i="2" a="1"/>
  <c r="I244" i="2" s="1"/>
  <c r="I245" i="2" a="1"/>
  <c r="I245" i="2" s="1"/>
  <c r="I246" i="2" a="1"/>
  <c r="I246" i="2" s="1"/>
  <c r="I247" i="2" a="1"/>
  <c r="I247" i="2" s="1"/>
  <c r="I248" i="2" a="1"/>
  <c r="I248" i="2" s="1"/>
  <c r="I249" i="2" a="1"/>
  <c r="I249" i="2" s="1"/>
  <c r="I250" i="2" a="1"/>
  <c r="I250" i="2" s="1"/>
  <c r="I251" i="2" a="1"/>
  <c r="I251" i="2" s="1"/>
  <c r="I252" i="2" a="1"/>
  <c r="I252" i="2" s="1"/>
  <c r="I253" i="2" a="1"/>
  <c r="I253" i="2" s="1"/>
  <c r="I254" i="2" a="1"/>
  <c r="I254" i="2" s="1"/>
  <c r="I255" i="2" a="1"/>
  <c r="I255" i="2" s="1"/>
  <c r="I256" i="2" a="1"/>
  <c r="I256" i="2" s="1"/>
  <c r="I257" i="2" a="1"/>
  <c r="I257" i="2" s="1"/>
  <c r="I258" i="2" a="1"/>
  <c r="I258" i="2" s="1"/>
  <c r="I259" i="2" a="1"/>
  <c r="I259" i="2" s="1"/>
  <c r="I260" i="2" a="1"/>
  <c r="I260" i="2" s="1"/>
  <c r="I261" i="2" a="1"/>
  <c r="I261" i="2" s="1"/>
  <c r="I262" i="2" a="1"/>
  <c r="I262" i="2" s="1"/>
  <c r="I263" i="2" a="1"/>
  <c r="I263" i="2" s="1"/>
  <c r="I264" i="2" a="1"/>
  <c r="I264" i="2" s="1"/>
  <c r="I265" i="2" a="1"/>
  <c r="I265" i="2" s="1"/>
  <c r="I268" i="2" a="1"/>
  <c r="I268" i="2" s="1"/>
  <c r="I269" i="2" a="1"/>
  <c r="I269" i="2" s="1"/>
  <c r="I270" i="2" a="1"/>
  <c r="I270" i="2" s="1"/>
  <c r="I271" i="2" a="1"/>
  <c r="I271" i="2" s="1"/>
  <c r="I272" i="2" a="1"/>
  <c r="I272" i="2" s="1"/>
  <c r="I273" i="2" a="1"/>
  <c r="I273" i="2" s="1"/>
  <c r="I266" i="2" a="1"/>
  <c r="I266" i="2" s="1"/>
  <c r="I267" i="2" a="1"/>
  <c r="I267" i="2" s="1"/>
  <c r="I274" i="2" a="1"/>
  <c r="I274" i="2" s="1"/>
  <c r="I275" i="2" a="1"/>
  <c r="I275" i="2" s="1"/>
  <c r="I276" i="2" a="1"/>
  <c r="I276" i="2" s="1"/>
  <c r="I277" i="2" a="1"/>
  <c r="I277" i="2" s="1"/>
  <c r="I278" i="2" a="1"/>
  <c r="I278" i="2" s="1"/>
  <c r="I279" i="2" a="1"/>
  <c r="I279" i="2" s="1"/>
  <c r="I280" i="2" a="1"/>
  <c r="I280" i="2" s="1"/>
  <c r="I281" i="2" a="1"/>
  <c r="I281" i="2" s="1"/>
  <c r="I282" i="2" a="1"/>
  <c r="I282" i="2" s="1"/>
  <c r="I283" i="2" a="1"/>
  <c r="I283" i="2" s="1"/>
  <c r="I284" i="2" a="1"/>
  <c r="I284" i="2" s="1"/>
  <c r="I285" i="2" a="1"/>
  <c r="I285" i="2" s="1"/>
  <c r="I286" i="2" a="1"/>
  <c r="I286" i="2" s="1"/>
  <c r="I287" i="2" a="1"/>
  <c r="I287" i="2" s="1"/>
  <c r="I288" i="2" a="1"/>
  <c r="I288" i="2" s="1"/>
  <c r="I289" i="2" a="1"/>
  <c r="I289" i="2" s="1"/>
  <c r="I290" i="2" a="1"/>
  <c r="I290" i="2" s="1"/>
  <c r="I291" i="2" a="1"/>
  <c r="I291" i="2" s="1"/>
  <c r="I292" i="2" a="1"/>
  <c r="I292" i="2" s="1"/>
  <c r="I293" i="2" a="1"/>
  <c r="I293" i="2" s="1"/>
  <c r="I294" i="2" a="1"/>
  <c r="I294" i="2" s="1"/>
  <c r="I295" i="2" a="1"/>
  <c r="I295" i="2" s="1"/>
  <c r="I296" i="2" a="1"/>
  <c r="I296" i="2" s="1"/>
  <c r="I297" i="2" a="1"/>
  <c r="I297" i="2" s="1"/>
  <c r="I298" i="2" a="1"/>
  <c r="I298" i="2" s="1"/>
  <c r="I299" i="2" a="1"/>
  <c r="I299" i="2" s="1"/>
  <c r="I300" i="2" a="1"/>
  <c r="I300" i="2" s="1"/>
  <c r="I301" i="2" a="1"/>
  <c r="I301" i="2" s="1"/>
  <c r="I302" i="2" a="1"/>
  <c r="I302" i="2" s="1"/>
  <c r="I303" i="2" a="1"/>
  <c r="I303" i="2" s="1"/>
  <c r="I304" i="2" a="1"/>
  <c r="I304" i="2" s="1"/>
  <c r="I305" i="2" a="1"/>
  <c r="I305" i="2" s="1"/>
  <c r="I306" i="2" a="1"/>
  <c r="I306" i="2" s="1"/>
  <c r="I307" i="2" a="1"/>
  <c r="I307" i="2" s="1"/>
  <c r="I308" i="2" a="1"/>
  <c r="I308" i="2" s="1"/>
  <c r="I309" i="2" a="1"/>
  <c r="I309" i="2" s="1"/>
  <c r="I310" i="2" a="1"/>
  <c r="I310" i="2" s="1"/>
  <c r="I311" i="2" a="1"/>
  <c r="I311" i="2" s="1"/>
  <c r="I312" i="2" a="1"/>
  <c r="I312" i="2" s="1"/>
  <c r="I313" i="2" a="1"/>
  <c r="I313" i="2" s="1"/>
  <c r="I314" i="2" a="1"/>
  <c r="I314" i="2" s="1"/>
  <c r="I315" i="2" a="1"/>
  <c r="I315" i="2" s="1"/>
  <c r="I316" i="2" a="1"/>
  <c r="I316" i="2" s="1"/>
  <c r="I317" i="2" a="1"/>
  <c r="I317" i="2" s="1"/>
  <c r="I318" i="2" a="1"/>
  <c r="I318" i="2" s="1"/>
  <c r="I319" i="2" a="1"/>
  <c r="I319" i="2" s="1"/>
  <c r="I320" i="2" a="1"/>
  <c r="I320" i="2" s="1"/>
  <c r="I321" i="2" a="1"/>
  <c r="I321" i="2" s="1"/>
  <c r="I322" i="2" a="1"/>
  <c r="I322" i="2" s="1"/>
  <c r="I323" i="2" a="1"/>
  <c r="I323" i="2" s="1"/>
  <c r="I324" i="2" a="1"/>
  <c r="I324" i="2" s="1"/>
  <c r="I325" i="2" a="1"/>
  <c r="I325" i="2" s="1"/>
  <c r="I326" i="2" a="1"/>
  <c r="I326" i="2" s="1"/>
  <c r="I327" i="2" a="1"/>
  <c r="I327" i="2" s="1"/>
  <c r="I328" i="2" a="1"/>
  <c r="I328" i="2" s="1"/>
  <c r="I329" i="2" a="1"/>
  <c r="I329" i="2" s="1"/>
  <c r="I330" i="2" a="1"/>
  <c r="I330" i="2" s="1"/>
  <c r="I331" i="2" a="1"/>
  <c r="I331" i="2" s="1"/>
  <c r="I332" i="2" a="1"/>
  <c r="I332" i="2" s="1"/>
  <c r="I333" i="2" a="1"/>
  <c r="I333" i="2" s="1"/>
  <c r="I334" i="2" a="1"/>
  <c r="I334" i="2" s="1"/>
  <c r="I335" i="2" a="1"/>
  <c r="I335" i="2" s="1"/>
  <c r="I336" i="2" a="1"/>
  <c r="I336" i="2" s="1"/>
  <c r="I337" i="2" a="1"/>
  <c r="I337" i="2" s="1"/>
  <c r="I338" i="2" a="1"/>
  <c r="I338" i="2" s="1"/>
  <c r="I339" i="2" a="1"/>
  <c r="I339" i="2" s="1"/>
  <c r="I340" i="2" a="1"/>
  <c r="I340" i="2" s="1"/>
  <c r="I341" i="2" a="1"/>
  <c r="I341" i="2" s="1"/>
  <c r="I342" i="2" a="1"/>
  <c r="I342" i="2" s="1"/>
  <c r="I343" i="2" a="1"/>
  <c r="I343" i="2" s="1"/>
  <c r="I344" i="2" a="1"/>
  <c r="I344" i="2" s="1"/>
  <c r="I345" i="2" a="1"/>
  <c r="I345" i="2" s="1"/>
  <c r="I346" i="2" a="1"/>
  <c r="I346" i="2" s="1"/>
  <c r="I347" i="2" a="1"/>
  <c r="I347" i="2" s="1"/>
  <c r="I348" i="2" a="1"/>
  <c r="I348" i="2" s="1"/>
  <c r="I349" i="2" a="1"/>
  <c r="I349" i="2" s="1"/>
  <c r="I350" i="2" a="1"/>
  <c r="I350" i="2" s="1"/>
  <c r="I351" i="2" a="1"/>
  <c r="I351" i="2" s="1"/>
  <c r="I352" i="2" a="1"/>
  <c r="I352" i="2" s="1"/>
  <c r="I353" i="2" a="1"/>
  <c r="I353" i="2" s="1"/>
  <c r="I354" i="2" a="1"/>
  <c r="I354" i="2" s="1"/>
  <c r="I355" i="2" a="1"/>
  <c r="I355" i="2" s="1"/>
  <c r="I356" i="2" a="1"/>
  <c r="I356" i="2" s="1"/>
  <c r="I357" i="2" a="1"/>
  <c r="I357" i="2" s="1"/>
  <c r="I358" i="2" a="1"/>
  <c r="I358" i="2" s="1"/>
  <c r="I359" i="2" a="1"/>
  <c r="I359" i="2" s="1"/>
  <c r="I360" i="2" a="1"/>
  <c r="I360" i="2" s="1"/>
  <c r="I361" i="2" a="1"/>
  <c r="I361" i="2" s="1"/>
  <c r="I362" i="2" a="1"/>
  <c r="I362" i="2" s="1"/>
  <c r="I363" i="2" a="1"/>
  <c r="I363" i="2" s="1"/>
  <c r="I364" i="2" a="1"/>
  <c r="I364" i="2" s="1"/>
  <c r="I365" i="2" a="1"/>
  <c r="I365" i="2" s="1"/>
  <c r="I366" i="2" a="1"/>
  <c r="I366" i="2" s="1"/>
  <c r="I367" i="2" a="1"/>
  <c r="I367" i="2" s="1"/>
  <c r="I368" i="2" a="1"/>
  <c r="I368" i="2" s="1"/>
  <c r="I369" i="2" a="1"/>
  <c r="I369" i="2" s="1"/>
  <c r="I370" i="2" a="1"/>
  <c r="I370" i="2" s="1"/>
  <c r="I371" i="2" a="1"/>
  <c r="I371" i="2" s="1"/>
  <c r="I372" i="2" a="1"/>
  <c r="I372" i="2" s="1"/>
  <c r="I373" i="2" a="1"/>
  <c r="I373" i="2" s="1"/>
  <c r="I374" i="2" a="1"/>
  <c r="I374" i="2" s="1"/>
  <c r="I375" i="2" a="1"/>
  <c r="I375" i="2" s="1"/>
  <c r="I376" i="2" a="1"/>
  <c r="I376" i="2" s="1"/>
  <c r="I377" i="2" a="1"/>
  <c r="I377" i="2" s="1"/>
  <c r="I378" i="2" a="1"/>
  <c r="I378" i="2" s="1"/>
  <c r="I379" i="2" a="1"/>
  <c r="I379" i="2" s="1"/>
  <c r="I380" i="2" a="1"/>
  <c r="I380" i="2" s="1"/>
  <c r="I381" i="2" a="1"/>
  <c r="I381" i="2" s="1"/>
  <c r="I382" i="2" a="1"/>
  <c r="I382" i="2" s="1"/>
  <c r="I383" i="2" a="1"/>
  <c r="I383" i="2" s="1"/>
  <c r="I384" i="2" a="1"/>
  <c r="I384" i="2" s="1"/>
  <c r="I385" i="2" a="1"/>
  <c r="I385" i="2" s="1"/>
  <c r="I386" i="2" a="1"/>
  <c r="I386" i="2" s="1"/>
  <c r="I387" i="2" a="1"/>
  <c r="I387" i="2" s="1"/>
  <c r="I388" i="2" a="1"/>
  <c r="I388" i="2" s="1"/>
  <c r="I389" i="2" a="1"/>
  <c r="I389" i="2" s="1"/>
  <c r="I390" i="2" a="1"/>
  <c r="I390" i="2" s="1"/>
  <c r="I391" i="2" a="1"/>
  <c r="I391" i="2" s="1"/>
  <c r="I392" i="2" a="1"/>
  <c r="I392" i="2" s="1"/>
  <c r="I393" i="2" a="1"/>
  <c r="I393" i="2" s="1"/>
  <c r="I394" i="2" a="1"/>
  <c r="I394" i="2" s="1"/>
  <c r="I395" i="2" a="1"/>
  <c r="I395" i="2" s="1"/>
  <c r="I396" i="2" a="1"/>
  <c r="I396" i="2" s="1"/>
  <c r="I397" i="2" a="1"/>
  <c r="I397" i="2" s="1"/>
  <c r="I398" i="2" a="1"/>
  <c r="I398" i="2" s="1"/>
  <c r="I399" i="2" a="1"/>
  <c r="I399" i="2" s="1"/>
  <c r="I400" i="2" a="1"/>
  <c r="I400" i="2" s="1"/>
  <c r="I401" i="2" a="1"/>
  <c r="I401" i="2" s="1"/>
  <c r="I402" i="2" a="1"/>
  <c r="I402" i="2" s="1"/>
  <c r="I403" i="2" a="1"/>
  <c r="I403" i="2" s="1"/>
  <c r="I404" i="2" a="1"/>
  <c r="I404" i="2" s="1"/>
  <c r="I405" i="2" a="1"/>
  <c r="I405" i="2" s="1"/>
  <c r="I406" i="2" a="1"/>
  <c r="I406" i="2" s="1"/>
  <c r="I407" i="2" a="1"/>
  <c r="I407" i="2" s="1"/>
  <c r="I408" i="2" a="1"/>
  <c r="I408" i="2" s="1"/>
  <c r="I409" i="2" a="1"/>
  <c r="I409" i="2" s="1"/>
  <c r="I410" i="2" a="1"/>
  <c r="I410" i="2" s="1"/>
  <c r="I411" i="2" a="1"/>
  <c r="I411" i="2" s="1"/>
  <c r="I412" i="2" a="1"/>
  <c r="I412" i="2" s="1"/>
  <c r="I413" i="2" a="1"/>
  <c r="I413" i="2" s="1"/>
  <c r="I414" i="2" a="1"/>
  <c r="I414" i="2" s="1"/>
  <c r="I415" i="2" a="1"/>
  <c r="I415" i="2" s="1"/>
  <c r="I416" i="2" a="1"/>
  <c r="I416" i="2" s="1"/>
  <c r="I423" i="2" a="1"/>
  <c r="I423" i="2" s="1"/>
  <c r="I424" i="2" a="1"/>
  <c r="I424" i="2" s="1"/>
  <c r="I425" i="2" a="1"/>
  <c r="I425" i="2" s="1"/>
  <c r="I426" i="2" a="1"/>
  <c r="I426" i="2" s="1"/>
  <c r="I427" i="2" a="1"/>
  <c r="I427" i="2" s="1"/>
  <c r="I428" i="2" a="1"/>
  <c r="I428" i="2" s="1"/>
  <c r="I429" i="2" a="1"/>
  <c r="I429" i="2" s="1"/>
  <c r="I430" i="2" a="1"/>
  <c r="I430" i="2" s="1"/>
  <c r="I431" i="2" a="1"/>
  <c r="I431" i="2" s="1"/>
  <c r="I432" i="2" a="1"/>
  <c r="I432" i="2" s="1"/>
  <c r="I433" i="2" a="1"/>
  <c r="I433" i="2" s="1"/>
  <c r="I434" i="2" a="1"/>
  <c r="I434" i="2" s="1"/>
  <c r="I435" i="2" a="1"/>
  <c r="I435" i="2" s="1"/>
  <c r="I436" i="2" a="1"/>
  <c r="I436" i="2" s="1"/>
  <c r="I437" i="2" a="1"/>
  <c r="I437" i="2" s="1"/>
  <c r="I438" i="2" a="1"/>
  <c r="I438" i="2" s="1"/>
  <c r="I439" i="2" a="1"/>
  <c r="I439" i="2" s="1"/>
  <c r="I417" i="2" a="1"/>
  <c r="I417" i="2" s="1"/>
  <c r="I418" i="2" a="1"/>
  <c r="I418" i="2" s="1"/>
  <c r="I419" i="2" a="1"/>
  <c r="I419" i="2" s="1"/>
  <c r="I420" i="2" a="1"/>
  <c r="I420" i="2" s="1"/>
  <c r="I421" i="2" a="1"/>
  <c r="I421" i="2" s="1"/>
  <c r="I422" i="2" a="1"/>
  <c r="I422" i="2" s="1"/>
  <c r="I440" i="2" a="1"/>
  <c r="I440" i="2" s="1"/>
  <c r="I441" i="2" a="1"/>
  <c r="I441" i="2" s="1"/>
  <c r="I442" i="2" a="1"/>
  <c r="I442" i="2" s="1"/>
  <c r="I443" i="2" a="1"/>
  <c r="I443" i="2" s="1"/>
  <c r="I444" i="2" a="1"/>
  <c r="I444" i="2" s="1"/>
  <c r="I445" i="2" a="1"/>
  <c r="I445" i="2" s="1"/>
  <c r="I446" i="2" a="1"/>
  <c r="I446" i="2" s="1"/>
  <c r="I447" i="2" a="1"/>
  <c r="I447" i="2" s="1"/>
  <c r="I448" i="2" a="1"/>
  <c r="I448" i="2" s="1"/>
  <c r="I449" i="2" a="1"/>
  <c r="I449" i="2" s="1"/>
  <c r="I450" i="2" a="1"/>
  <c r="I450" i="2" s="1"/>
  <c r="I451" i="2" a="1"/>
  <c r="I451" i="2" s="1"/>
  <c r="I452" i="2" a="1"/>
  <c r="I452" i="2" s="1"/>
  <c r="I453" i="2" a="1"/>
  <c r="I453" i="2" s="1"/>
  <c r="I454" i="2" a="1"/>
  <c r="I454" i="2" s="1"/>
  <c r="I455" i="2" a="1"/>
  <c r="I455" i="2" s="1"/>
  <c r="I456" i="2" a="1"/>
  <c r="I456" i="2" s="1"/>
  <c r="I457" i="2" a="1"/>
  <c r="I457" i="2" s="1"/>
  <c r="I458" i="2" a="1"/>
  <c r="I458" i="2" s="1"/>
  <c r="I459" i="2" a="1"/>
  <c r="I459" i="2" s="1"/>
  <c r="I460" i="2" a="1"/>
  <c r="I460" i="2" s="1"/>
  <c r="I461" i="2" a="1"/>
  <c r="I461" i="2" s="1"/>
  <c r="I462" i="2" a="1"/>
  <c r="I462" i="2" s="1"/>
  <c r="I463" i="2" a="1"/>
  <c r="I463" i="2" s="1"/>
  <c r="I464" i="2" a="1"/>
  <c r="I464" i="2" s="1"/>
  <c r="I465" i="2" a="1"/>
  <c r="I465" i="2" s="1"/>
  <c r="I466" i="2" a="1"/>
  <c r="I466" i="2" s="1"/>
  <c r="I467" i="2" a="1"/>
  <c r="I467" i="2" s="1"/>
  <c r="I468" i="2" a="1"/>
  <c r="I468" i="2" s="1"/>
  <c r="I469" i="2" a="1"/>
  <c r="I469" i="2" s="1"/>
  <c r="I470" i="2" a="1"/>
  <c r="I470" i="2" s="1"/>
  <c r="I471" i="2" a="1"/>
  <c r="I471" i="2" s="1"/>
  <c r="I472" i="2" a="1"/>
  <c r="I472" i="2" s="1"/>
  <c r="I473" i="2" a="1"/>
  <c r="I473" i="2" s="1"/>
  <c r="I474" i="2" a="1"/>
  <c r="I474" i="2" s="1"/>
  <c r="I475" i="2" a="1"/>
  <c r="I475" i="2" s="1"/>
  <c r="I476" i="2" a="1"/>
  <c r="I476" i="2" s="1"/>
  <c r="I477" i="2" a="1"/>
  <c r="I477" i="2" s="1"/>
  <c r="I478" i="2" a="1"/>
  <c r="I478" i="2" s="1"/>
  <c r="I479" i="2" a="1"/>
  <c r="I479" i="2" s="1"/>
  <c r="I480" i="2" a="1"/>
  <c r="I480" i="2" s="1"/>
  <c r="I481" i="2" a="1"/>
  <c r="I481" i="2" s="1"/>
  <c r="I482" i="2" a="1"/>
  <c r="I482" i="2" s="1"/>
  <c r="I483" i="2" a="1"/>
  <c r="I483" i="2" s="1"/>
  <c r="I484" i="2" a="1"/>
  <c r="I484" i="2" s="1"/>
  <c r="I485" i="2" a="1"/>
  <c r="I485" i="2" s="1"/>
  <c r="I486" i="2" a="1"/>
  <c r="I486" i="2" s="1"/>
  <c r="I487" i="2" a="1"/>
  <c r="I487" i="2" s="1"/>
  <c r="I488" i="2" a="1"/>
  <c r="I488" i="2" s="1"/>
  <c r="I489" i="2" a="1"/>
  <c r="I489" i="2" s="1"/>
  <c r="I490" i="2" a="1"/>
  <c r="I490" i="2" s="1"/>
  <c r="I491" i="2" a="1"/>
  <c r="I491" i="2" s="1"/>
  <c r="I492" i="2" a="1"/>
  <c r="I492" i="2" s="1"/>
  <c r="I493" i="2" a="1"/>
  <c r="I493" i="2" s="1"/>
  <c r="I494" i="2" a="1"/>
  <c r="I494" i="2" s="1"/>
  <c r="I495" i="2" a="1"/>
  <c r="I495" i="2" s="1"/>
  <c r="I496" i="2" a="1"/>
  <c r="I496" i="2" s="1"/>
  <c r="I497" i="2" a="1"/>
  <c r="I497" i="2" s="1"/>
  <c r="I498" i="2" a="1"/>
  <c r="I498" i="2" s="1"/>
  <c r="I499" i="2" a="1"/>
  <c r="I499" i="2" s="1"/>
  <c r="I500" i="2" a="1"/>
  <c r="I500" i="2" s="1"/>
  <c r="I501" i="2" a="1"/>
  <c r="I501" i="2" s="1"/>
  <c r="I502" i="2" a="1"/>
  <c r="I502" i="2" s="1"/>
  <c r="I503" i="2" a="1"/>
  <c r="I503" i="2" s="1"/>
  <c r="I504" i="2" a="1"/>
  <c r="I504" i="2" s="1"/>
  <c r="I505" i="2" a="1"/>
  <c r="I505" i="2" s="1"/>
  <c r="I506" i="2" a="1"/>
  <c r="I506" i="2" s="1"/>
  <c r="I507" i="2" a="1"/>
  <c r="I507" i="2" s="1"/>
  <c r="I508" i="2" a="1"/>
  <c r="I508" i="2" s="1"/>
  <c r="I509" i="2" a="1"/>
  <c r="I509" i="2" s="1"/>
  <c r="I510" i="2" a="1"/>
  <c r="I510" i="2" s="1"/>
  <c r="I511" i="2" a="1"/>
  <c r="I511" i="2" s="1"/>
  <c r="I512" i="2" a="1"/>
  <c r="I512" i="2" s="1"/>
  <c r="I513" i="2" a="1"/>
  <c r="I513" i="2" s="1"/>
  <c r="I514" i="2" a="1"/>
  <c r="I514" i="2" s="1"/>
  <c r="I515" i="2" a="1"/>
  <c r="I515" i="2" s="1"/>
  <c r="I516" i="2" a="1"/>
  <c r="I516" i="2" s="1"/>
  <c r="I517" i="2" a="1"/>
  <c r="I517" i="2" s="1"/>
  <c r="I518" i="2" a="1"/>
  <c r="I518" i="2" s="1"/>
  <c r="I519" i="2" a="1"/>
  <c r="I519" i="2" s="1"/>
  <c r="I520" i="2" a="1"/>
  <c r="I520" i="2" s="1"/>
  <c r="I521" i="2" a="1"/>
  <c r="I521" i="2" s="1"/>
  <c r="I522" i="2" a="1"/>
  <c r="I522" i="2" s="1"/>
  <c r="I523" i="2" a="1"/>
  <c r="I523" i="2" s="1"/>
  <c r="I524" i="2" a="1"/>
  <c r="I524" i="2" s="1"/>
  <c r="I525" i="2" a="1"/>
  <c r="I525" i="2" s="1"/>
  <c r="I526" i="2" a="1"/>
  <c r="I526" i="2" s="1"/>
  <c r="I527" i="2" a="1"/>
  <c r="I527" i="2" s="1"/>
  <c r="I528" i="2" a="1"/>
  <c r="I528" i="2" s="1"/>
  <c r="I529" i="2" a="1"/>
  <c r="I529" i="2" s="1"/>
  <c r="I530" i="2" a="1"/>
  <c r="I530" i="2" s="1"/>
  <c r="I531" i="2" a="1"/>
  <c r="I531" i="2" s="1"/>
  <c r="I532" i="2" a="1"/>
  <c r="I532" i="2" s="1"/>
  <c r="I533" i="2" a="1"/>
  <c r="I533" i="2" s="1"/>
  <c r="I534" i="2" a="1"/>
  <c r="I534" i="2" s="1"/>
  <c r="I535" i="2" a="1"/>
  <c r="I535" i="2" s="1"/>
  <c r="I536" i="2" a="1"/>
  <c r="I536" i="2" s="1"/>
  <c r="I537" i="2" a="1"/>
  <c r="I537" i="2" s="1"/>
  <c r="I538" i="2" a="1"/>
  <c r="I538" i="2" s="1"/>
  <c r="I539" i="2" a="1"/>
  <c r="I539" i="2" s="1"/>
  <c r="I540" i="2" a="1"/>
  <c r="I540" i="2" s="1"/>
  <c r="I541" i="2" a="1"/>
  <c r="I541" i="2" s="1"/>
  <c r="I542" i="2" a="1"/>
  <c r="I542" i="2" s="1"/>
  <c r="I543" i="2" a="1"/>
  <c r="I543" i="2" s="1"/>
  <c r="I544" i="2" a="1"/>
  <c r="I544" i="2" s="1"/>
  <c r="I545" i="2" a="1"/>
  <c r="I545" i="2" s="1"/>
  <c r="I546" i="2" a="1"/>
  <c r="I546" i="2" s="1"/>
  <c r="I547" i="2" a="1"/>
  <c r="I547" i="2" s="1"/>
  <c r="I548" i="2" a="1"/>
  <c r="I548" i="2" s="1"/>
  <c r="I549" i="2" a="1"/>
  <c r="I549" i="2" s="1"/>
  <c r="I550" i="2" a="1"/>
  <c r="I550" i="2" s="1"/>
  <c r="I551" i="2" a="1"/>
  <c r="I551" i="2" s="1"/>
  <c r="I552" i="2" a="1"/>
  <c r="I552" i="2" s="1"/>
  <c r="I553" i="2" a="1"/>
  <c r="I553" i="2" s="1"/>
  <c r="I554" i="2" a="1"/>
  <c r="I554" i="2" s="1"/>
  <c r="I555" i="2" a="1"/>
  <c r="I555" i="2" s="1"/>
  <c r="I556" i="2" a="1"/>
  <c r="I556" i="2" s="1"/>
  <c r="I557" i="2" a="1"/>
  <c r="I557" i="2" s="1"/>
  <c r="I558" i="2" a="1"/>
  <c r="I558" i="2" s="1"/>
  <c r="I559" i="2" a="1"/>
  <c r="I559" i="2" s="1"/>
  <c r="I560" i="2" a="1"/>
  <c r="I560" i="2" s="1"/>
  <c r="I561" i="2" a="1"/>
  <c r="I561" i="2" s="1"/>
  <c r="I562" i="2" a="1"/>
  <c r="I562" i="2" s="1"/>
  <c r="I563" i="2" a="1"/>
  <c r="I563" i="2" s="1"/>
  <c r="I564" i="2" a="1"/>
  <c r="I564" i="2" s="1"/>
  <c r="I565" i="2" a="1"/>
  <c r="I565" i="2" s="1"/>
  <c r="I566" i="2" a="1"/>
  <c r="I566" i="2" s="1"/>
  <c r="I567" i="2" a="1"/>
  <c r="I567" i="2" s="1"/>
  <c r="I568" i="2" a="1"/>
  <c r="I568" i="2" s="1"/>
  <c r="N2" i="2"/>
  <c r="P2" i="2" s="1"/>
  <c r="N3" i="2"/>
  <c r="P3" i="2" s="1"/>
  <c r="N4" i="2"/>
  <c r="T4" i="2" s="1"/>
  <c r="N5" i="2"/>
  <c r="S5" i="2" s="1"/>
  <c r="N6" i="2"/>
  <c r="S6" i="2" s="1"/>
  <c r="N7" i="2"/>
  <c r="P7" i="2" s="1"/>
  <c r="N8" i="2"/>
  <c r="T8" i="2" s="1"/>
  <c r="N9" i="2"/>
  <c r="P9" i="2" s="1"/>
  <c r="N10" i="2"/>
  <c r="T10" i="2" s="1"/>
  <c r="N11" i="2"/>
  <c r="T11" i="2" s="1"/>
  <c r="N12" i="2"/>
  <c r="Q12" i="2" s="1"/>
  <c r="N13" i="2"/>
  <c r="T13" i="2" s="1"/>
  <c r="N14" i="2"/>
  <c r="N15" i="2"/>
  <c r="S15" i="2" s="1"/>
  <c r="N16" i="2"/>
  <c r="P16" i="2" s="1"/>
  <c r="N17" i="2"/>
  <c r="R17" i="2" s="1"/>
  <c r="N18" i="2"/>
  <c r="T18" i="2" s="1"/>
  <c r="N19" i="2"/>
  <c r="S19" i="2" s="1"/>
  <c r="N20" i="2"/>
  <c r="S20" i="2" s="1"/>
  <c r="N21" i="2"/>
  <c r="Q21" i="2" s="1"/>
  <c r="N22" i="2"/>
  <c r="T22" i="2" s="1"/>
  <c r="N23" i="2"/>
  <c r="Q23" i="2" s="1"/>
  <c r="N24" i="2"/>
  <c r="Q24" i="2" s="1"/>
  <c r="N25" i="2"/>
  <c r="T25" i="2" s="1"/>
  <c r="N26" i="2"/>
  <c r="N27" i="2"/>
  <c r="T27" i="2" s="1"/>
  <c r="N28" i="2"/>
  <c r="P28" i="2" s="1"/>
  <c r="N29" i="2"/>
  <c r="R29" i="2" s="1"/>
  <c r="N30" i="2"/>
  <c r="P30" i="2" s="1"/>
  <c r="N31" i="2"/>
  <c r="N32" i="2"/>
  <c r="Q32" i="2" s="1"/>
  <c r="N33" i="2"/>
  <c r="P33" i="2" s="1"/>
  <c r="N34" i="2"/>
  <c r="T34" i="2" s="1"/>
  <c r="N35" i="2"/>
  <c r="P35" i="2" s="1"/>
  <c r="N36" i="2"/>
  <c r="R36" i="2" s="1"/>
  <c r="N37" i="2"/>
  <c r="T37" i="2" s="1"/>
  <c r="N38" i="2"/>
  <c r="T38" i="2" s="1"/>
  <c r="N39" i="2"/>
  <c r="R39" i="2" s="1"/>
  <c r="N40" i="2"/>
  <c r="R40" i="2" s="1"/>
  <c r="N41" i="2"/>
  <c r="T41" i="2" s="1"/>
  <c r="N42" i="2"/>
  <c r="P42" i="2" s="1"/>
  <c r="N43" i="2"/>
  <c r="Q43" i="2" s="1"/>
  <c r="N44" i="2"/>
  <c r="Q44" i="2" s="1"/>
  <c r="N45" i="2"/>
  <c r="T45" i="2" s="1"/>
  <c r="N46" i="2"/>
  <c r="N47" i="2"/>
  <c r="N48" i="2"/>
  <c r="R48" i="2" s="1"/>
  <c r="N49" i="2"/>
  <c r="T49" i="2" s="1"/>
  <c r="N50" i="2"/>
  <c r="Q50" i="2" s="1"/>
  <c r="N51" i="2"/>
  <c r="T51" i="2" s="1"/>
  <c r="N52" i="2"/>
  <c r="P52" i="2" s="1"/>
  <c r="N53" i="2"/>
  <c r="Q53" i="2" s="1"/>
  <c r="N54" i="2"/>
  <c r="Q54" i="2" s="1"/>
  <c r="N55" i="2"/>
  <c r="P55" i="2" s="1"/>
  <c r="N56" i="2"/>
  <c r="P56" i="2" s="1"/>
  <c r="N57" i="2"/>
  <c r="P57" i="2" s="1"/>
  <c r="N58" i="2"/>
  <c r="P58" i="2" s="1"/>
  <c r="N59" i="2"/>
  <c r="T59" i="2" s="1"/>
  <c r="N60" i="2"/>
  <c r="Q60" i="2" s="1"/>
  <c r="N61" i="2"/>
  <c r="T61" i="2" s="1"/>
  <c r="N62" i="2"/>
  <c r="T62" i="2" s="1"/>
  <c r="N63" i="2"/>
  <c r="P63" i="2" s="1"/>
  <c r="N64" i="2"/>
  <c r="R64" i="2" s="1"/>
  <c r="N65" i="2"/>
  <c r="Q65" i="2" s="1"/>
  <c r="N66" i="2"/>
  <c r="R66" i="2" s="1"/>
  <c r="N67" i="2"/>
  <c r="T67" i="2" s="1"/>
  <c r="N68" i="2"/>
  <c r="T68" i="2" s="1"/>
  <c r="N69" i="2"/>
  <c r="T69" i="2" s="1"/>
  <c r="N70" i="2"/>
  <c r="N71" i="2"/>
  <c r="P71" i="2" s="1"/>
  <c r="N72" i="2"/>
  <c r="R72" i="2" s="1"/>
  <c r="N73" i="2"/>
  <c r="Q73" i="2" s="1"/>
  <c r="N74" i="2"/>
  <c r="T74" i="2" s="1"/>
  <c r="N75" i="2"/>
  <c r="P75" i="2" s="1"/>
  <c r="N76" i="2"/>
  <c r="T76" i="2" s="1"/>
  <c r="N77" i="2"/>
  <c r="N78" i="2"/>
  <c r="R78" i="2" s="1"/>
  <c r="N79" i="2"/>
  <c r="P79" i="2" s="1"/>
  <c r="N80" i="2"/>
  <c r="S80" i="2" s="1"/>
  <c r="N81" i="2"/>
  <c r="T81" i="2" s="1"/>
  <c r="N82" i="2"/>
  <c r="T82" i="2" s="1"/>
  <c r="N83" i="2"/>
  <c r="N84" i="2"/>
  <c r="P84" i="2" s="1"/>
  <c r="N85" i="2"/>
  <c r="P85" i="2" s="1"/>
  <c r="N86" i="2"/>
  <c r="S86" i="2" s="1"/>
  <c r="N87" i="2"/>
  <c r="T87" i="2" s="1"/>
  <c r="N88" i="2"/>
  <c r="N89" i="2"/>
  <c r="P89" i="2" s="1"/>
  <c r="N90" i="2"/>
  <c r="R90" i="2" s="1"/>
  <c r="N91" i="2"/>
  <c r="Q91" i="2" s="1"/>
  <c r="N92" i="2"/>
  <c r="Q92" i="2" s="1"/>
  <c r="N93" i="2"/>
  <c r="R93" i="2" s="1"/>
  <c r="N94" i="2"/>
  <c r="T94" i="2" s="1"/>
  <c r="N95" i="2"/>
  <c r="S95" i="2" s="1"/>
  <c r="N96" i="2"/>
  <c r="R96" i="2" s="1"/>
  <c r="N97" i="2"/>
  <c r="R97" i="2" s="1"/>
  <c r="N98" i="2"/>
  <c r="T98" i="2" s="1"/>
  <c r="N99" i="2"/>
  <c r="P99" i="2" s="1"/>
  <c r="N100" i="2"/>
  <c r="S100" i="2" s="1"/>
  <c r="N101" i="2"/>
  <c r="S101" i="2" s="1"/>
  <c r="N102" i="2"/>
  <c r="N103" i="2"/>
  <c r="R103" i="2" s="1"/>
  <c r="N104" i="2"/>
  <c r="Q104" i="2" s="1"/>
  <c r="N105" i="2"/>
  <c r="R105" i="2" s="1"/>
  <c r="N106" i="2"/>
  <c r="Q106" i="2" s="1"/>
  <c r="N107" i="2"/>
  <c r="T107" i="2" s="1"/>
  <c r="N108" i="2"/>
  <c r="P108" i="2" s="1"/>
  <c r="N109" i="2"/>
  <c r="T109" i="2" s="1"/>
  <c r="N110" i="2"/>
  <c r="N111" i="2"/>
  <c r="T111" i="2" s="1"/>
  <c r="N112" i="2"/>
  <c r="S112" i="2" s="1"/>
  <c r="N113" i="2"/>
  <c r="Q113" i="2" s="1"/>
  <c r="N114" i="2"/>
  <c r="T114" i="2" s="1"/>
  <c r="N115" i="2"/>
  <c r="R115" i="2" s="1"/>
  <c r="N116" i="2"/>
  <c r="T116" i="2" s="1"/>
  <c r="N117" i="2"/>
  <c r="T117" i="2" s="1"/>
  <c r="N118" i="2"/>
  <c r="P118" i="2" s="1"/>
  <c r="N119" i="2"/>
  <c r="Q119" i="2" s="1"/>
  <c r="N120" i="2"/>
  <c r="R120" i="2" s="1"/>
  <c r="N121" i="2"/>
  <c r="T121" i="2" s="1"/>
  <c r="N122" i="2"/>
  <c r="N123" i="2"/>
  <c r="N124" i="2"/>
  <c r="Q124" i="2" s="1"/>
  <c r="N125" i="2"/>
  <c r="Q125" i="2" s="1"/>
  <c r="N126" i="2"/>
  <c r="Q126" i="2" s="1"/>
  <c r="N127" i="2"/>
  <c r="Q127" i="2" s="1"/>
  <c r="N128" i="2"/>
  <c r="Q128" i="2" s="1"/>
  <c r="N129" i="2"/>
  <c r="R129" i="2" s="1"/>
  <c r="N130" i="2"/>
  <c r="T130" i="2" s="1"/>
  <c r="N131" i="2"/>
  <c r="N132" i="2"/>
  <c r="R132" i="2" s="1"/>
  <c r="N133" i="2"/>
  <c r="T133" i="2" s="1"/>
  <c r="N134" i="2"/>
  <c r="S134" i="2" s="1"/>
  <c r="N135" i="2"/>
  <c r="T135" i="2" s="1"/>
  <c r="N136" i="2"/>
  <c r="T136" i="2" s="1"/>
  <c r="N137" i="2"/>
  <c r="T137" i="2" s="1"/>
  <c r="N138" i="2"/>
  <c r="R138" i="2" s="1"/>
  <c r="N139" i="2"/>
  <c r="Q139" i="2" s="1"/>
  <c r="N140" i="2"/>
  <c r="P140" i="2" s="1"/>
  <c r="N141" i="2"/>
  <c r="N142" i="2"/>
  <c r="Q142" i="2" s="1"/>
  <c r="N143" i="2"/>
  <c r="T143" i="2" s="1"/>
  <c r="N144" i="2"/>
  <c r="S144" i="2" s="1"/>
  <c r="N145" i="2"/>
  <c r="T145" i="2" s="1"/>
  <c r="N146" i="2"/>
  <c r="T146" i="2" s="1"/>
  <c r="N147" i="2"/>
  <c r="T147" i="2" s="1"/>
  <c r="N148" i="2"/>
  <c r="N149" i="2"/>
  <c r="N150" i="2"/>
  <c r="T150" i="2" s="1"/>
  <c r="N151" i="2"/>
  <c r="T151" i="2" s="1"/>
  <c r="N152" i="2"/>
  <c r="R152" i="2" s="1"/>
  <c r="N153" i="2"/>
  <c r="Q153" i="2" s="1"/>
  <c r="N154" i="2"/>
  <c r="P154" i="2" s="1"/>
  <c r="N155" i="2"/>
  <c r="N156" i="2"/>
  <c r="R156" i="2" s="1"/>
  <c r="N157" i="2"/>
  <c r="S157" i="2" s="1"/>
  <c r="N158" i="2"/>
  <c r="P158" i="2" s="1"/>
  <c r="N159" i="2"/>
  <c r="Q159" i="2" s="1"/>
  <c r="N160" i="2"/>
  <c r="T160" i="2" s="1"/>
  <c r="N161" i="2"/>
  <c r="R161" i="2" s="1"/>
  <c r="N162" i="2"/>
  <c r="T162" i="2" s="1"/>
  <c r="N163" i="2"/>
  <c r="Q163" i="2" s="1"/>
  <c r="N164" i="2"/>
  <c r="T164" i="2" s="1"/>
  <c r="N165" i="2"/>
  <c r="T165" i="2" s="1"/>
  <c r="N166" i="2"/>
  <c r="T166" i="2" s="1"/>
  <c r="N167" i="2"/>
  <c r="T167" i="2" s="1"/>
  <c r="N168" i="2"/>
  <c r="P168" i="2" s="1"/>
  <c r="N169" i="2"/>
  <c r="T169" i="2" s="1"/>
  <c r="N170" i="2"/>
  <c r="T170" i="2" s="1"/>
  <c r="N171" i="2"/>
  <c r="Q171" i="2" s="1"/>
  <c r="N172" i="2"/>
  <c r="Q172" i="2" s="1"/>
  <c r="N173" i="2"/>
  <c r="T173" i="2" s="1"/>
  <c r="N174" i="2"/>
  <c r="T174" i="2" s="1"/>
  <c r="N175" i="2"/>
  <c r="P175" i="2" s="1"/>
  <c r="N176" i="2"/>
  <c r="T176" i="2" s="1"/>
  <c r="N177" i="2"/>
  <c r="N178" i="2"/>
  <c r="R178" i="2" s="1"/>
  <c r="N179" i="2"/>
  <c r="T179" i="2" s="1"/>
  <c r="N180" i="2"/>
  <c r="P180" i="2" s="1"/>
  <c r="N181" i="2"/>
  <c r="T181" i="2" s="1"/>
  <c r="N182" i="2"/>
  <c r="P182" i="2" s="1"/>
  <c r="N183" i="2"/>
  <c r="S183" i="2" s="1"/>
  <c r="N184" i="2"/>
  <c r="N185" i="2"/>
  <c r="T185" i="2" s="1"/>
  <c r="N186" i="2"/>
  <c r="R186" i="2" s="1"/>
  <c r="N187" i="2"/>
  <c r="S187" i="2" s="1"/>
  <c r="N188" i="2"/>
  <c r="T188" i="2" s="1"/>
  <c r="N189" i="2"/>
  <c r="R189" i="2" s="1"/>
  <c r="N190" i="2"/>
  <c r="S190" i="2" s="1"/>
  <c r="N191" i="2"/>
  <c r="S191" i="2" s="1"/>
  <c r="N192" i="2"/>
  <c r="S192" i="2" s="1"/>
  <c r="N193" i="2"/>
  <c r="R193" i="2" s="1"/>
  <c r="N194" i="2"/>
  <c r="Q194" i="2" s="1"/>
  <c r="N195" i="2"/>
  <c r="Q195" i="2" s="1"/>
  <c r="N196" i="2"/>
  <c r="T196" i="2" s="1"/>
  <c r="N197" i="2"/>
  <c r="T197" i="2" s="1"/>
  <c r="N198" i="2"/>
  <c r="Q198" i="2" s="1"/>
  <c r="N199" i="2"/>
  <c r="P199" i="2" s="1"/>
  <c r="N200" i="2"/>
  <c r="R200" i="2" s="1"/>
  <c r="N201" i="2"/>
  <c r="N202" i="2"/>
  <c r="S202" i="2" s="1"/>
  <c r="N203" i="2"/>
  <c r="R203" i="2" s="1"/>
  <c r="N204" i="2"/>
  <c r="N205" i="2"/>
  <c r="T205" i="2" s="1"/>
  <c r="N206" i="2"/>
  <c r="R206" i="2" s="1"/>
  <c r="N207" i="2"/>
  <c r="T207" i="2" s="1"/>
  <c r="N208" i="2"/>
  <c r="T208" i="2" s="1"/>
  <c r="N209" i="2"/>
  <c r="N210" i="2"/>
  <c r="R210" i="2" s="1"/>
  <c r="N211" i="2"/>
  <c r="Q211" i="2" s="1"/>
  <c r="N212" i="2"/>
  <c r="S212" i="2" s="1"/>
  <c r="N213" i="2"/>
  <c r="P213" i="2" s="1"/>
  <c r="N214" i="2"/>
  <c r="R214" i="2" s="1"/>
  <c r="N215" i="2"/>
  <c r="T215" i="2" s="1"/>
  <c r="N216" i="2"/>
  <c r="S216" i="2" s="1"/>
  <c r="N217" i="2"/>
  <c r="N218" i="2"/>
  <c r="P218" i="2" s="1"/>
  <c r="N219" i="2"/>
  <c r="T219" i="2" s="1"/>
  <c r="N220" i="2"/>
  <c r="P220" i="2" s="1"/>
  <c r="N221" i="2"/>
  <c r="R221" i="2" s="1"/>
  <c r="N222" i="2"/>
  <c r="N223" i="2"/>
  <c r="T223" i="2" s="1"/>
  <c r="N224" i="2"/>
  <c r="S224" i="2" s="1"/>
  <c r="N225" i="2"/>
  <c r="T225" i="2" s="1"/>
  <c r="N226" i="2"/>
  <c r="Q226" i="2" s="1"/>
  <c r="N227" i="2"/>
  <c r="S227" i="2" s="1"/>
  <c r="N228" i="2"/>
  <c r="Q228" i="2" s="1"/>
  <c r="N229" i="2"/>
  <c r="P229" i="2" s="1"/>
  <c r="N230" i="2"/>
  <c r="T230" i="2" s="1"/>
  <c r="N231" i="2"/>
  <c r="N232" i="2"/>
  <c r="T232" i="2" s="1"/>
  <c r="N233" i="2"/>
  <c r="Q233" i="2" s="1"/>
  <c r="N234" i="2"/>
  <c r="S234" i="2" s="1"/>
  <c r="N235" i="2"/>
  <c r="T235" i="2" s="1"/>
  <c r="N236" i="2"/>
  <c r="R236" i="2" s="1"/>
  <c r="N237" i="2"/>
  <c r="T237" i="2" s="1"/>
  <c r="N238" i="2"/>
  <c r="Q238" i="2" s="1"/>
  <c r="N239" i="2"/>
  <c r="T239" i="2" s="1"/>
  <c r="N240" i="2"/>
  <c r="N241" i="2"/>
  <c r="S241" i="2" s="1"/>
  <c r="N242" i="2"/>
  <c r="T242" i="2" s="1"/>
  <c r="N243" i="2"/>
  <c r="Q243" i="2" s="1"/>
  <c r="N244" i="2"/>
  <c r="T244" i="2" s="1"/>
  <c r="N245" i="2"/>
  <c r="T245" i="2" s="1"/>
  <c r="N246" i="2"/>
  <c r="R246" i="2" s="1"/>
  <c r="N247" i="2"/>
  <c r="N248" i="2"/>
  <c r="R248" i="2" s="1"/>
  <c r="N249" i="2"/>
  <c r="R249" i="2" s="1"/>
  <c r="N250" i="2"/>
  <c r="R250" i="2" s="1"/>
  <c r="N251" i="2"/>
  <c r="T251" i="2" s="1"/>
  <c r="N252" i="2"/>
  <c r="P252" i="2" s="1"/>
  <c r="N253" i="2"/>
  <c r="R253" i="2" s="1"/>
  <c r="N254" i="2"/>
  <c r="R254" i="2" s="1"/>
  <c r="N255" i="2"/>
  <c r="S255" i="2" s="1"/>
  <c r="N256" i="2"/>
  <c r="Q256" i="2" s="1"/>
  <c r="N257" i="2"/>
  <c r="T257" i="2" s="1"/>
  <c r="N258" i="2"/>
  <c r="Q258" i="2" s="1"/>
  <c r="N259" i="2"/>
  <c r="T259" i="2" s="1"/>
  <c r="N260" i="2"/>
  <c r="N261" i="2"/>
  <c r="Q261" i="2" s="1"/>
  <c r="N262" i="2"/>
  <c r="R262" i="2" s="1"/>
  <c r="N263" i="2"/>
  <c r="N264" i="2"/>
  <c r="T264" i="2" s="1"/>
  <c r="N265" i="2"/>
  <c r="N268" i="2"/>
  <c r="R268" i="2" s="1"/>
  <c r="N269" i="2"/>
  <c r="R269" i="2" s="1"/>
  <c r="N270" i="2"/>
  <c r="T270" i="2" s="1"/>
  <c r="N271" i="2"/>
  <c r="S271" i="2" s="1"/>
  <c r="N272" i="2"/>
  <c r="N273" i="2"/>
  <c r="Q273" i="2" s="1"/>
  <c r="N266" i="2"/>
  <c r="N267" i="2"/>
  <c r="R267" i="2" s="1"/>
  <c r="N274" i="2"/>
  <c r="R274" i="2" s="1"/>
  <c r="N275" i="2"/>
  <c r="Q275" i="2" s="1"/>
  <c r="N276" i="2"/>
  <c r="N277" i="2"/>
  <c r="P277" i="2" s="1"/>
  <c r="N278" i="2"/>
  <c r="T278" i="2" s="1"/>
  <c r="N279" i="2"/>
  <c r="T279" i="2" s="1"/>
  <c r="N280" i="2"/>
  <c r="P280" i="2" s="1"/>
  <c r="N281" i="2"/>
  <c r="S281" i="2" s="1"/>
  <c r="N282" i="2"/>
  <c r="R282" i="2" s="1"/>
  <c r="N283" i="2"/>
  <c r="P283" i="2" s="1"/>
  <c r="N284" i="2"/>
  <c r="N285" i="2"/>
  <c r="Q285" i="2" s="1"/>
  <c r="N286" i="2"/>
  <c r="S286" i="2" s="1"/>
  <c r="N287" i="2"/>
  <c r="T287" i="2" s="1"/>
  <c r="N288" i="2"/>
  <c r="P288" i="2" s="1"/>
  <c r="N289" i="2"/>
  <c r="S289" i="2" s="1"/>
  <c r="N290" i="2"/>
  <c r="P290" i="2" s="1"/>
  <c r="N291" i="2"/>
  <c r="N292" i="2"/>
  <c r="R292" i="2" s="1"/>
  <c r="N293" i="2"/>
  <c r="S293" i="2" s="1"/>
  <c r="N294" i="2"/>
  <c r="R294" i="2" s="1"/>
  <c r="N295" i="2"/>
  <c r="S295" i="2" s="1"/>
  <c r="N296" i="2"/>
  <c r="R296" i="2" s="1"/>
  <c r="N297" i="2"/>
  <c r="S297" i="2" s="1"/>
  <c r="N298" i="2"/>
  <c r="N299" i="2"/>
  <c r="Q299" i="2" s="1"/>
  <c r="N300" i="2"/>
  <c r="S300" i="2" s="1"/>
  <c r="N301" i="2"/>
  <c r="N302" i="2"/>
  <c r="Q302" i="2" s="1"/>
  <c r="N303" i="2"/>
  <c r="Q303" i="2" s="1"/>
  <c r="N304" i="2"/>
  <c r="T304" i="2" s="1"/>
  <c r="N305" i="2"/>
  <c r="S305" i="2" s="1"/>
  <c r="N306" i="2"/>
  <c r="P306" i="2" s="1"/>
  <c r="N307" i="2"/>
  <c r="N308" i="2"/>
  <c r="R308" i="2" s="1"/>
  <c r="N309" i="2"/>
  <c r="T309" i="2" s="1"/>
  <c r="N310" i="2"/>
  <c r="S310" i="2" s="1"/>
  <c r="N311" i="2"/>
  <c r="S311" i="2" s="1"/>
  <c r="N312" i="2"/>
  <c r="P312" i="2" s="1"/>
  <c r="N313" i="2"/>
  <c r="R313" i="2" s="1"/>
  <c r="N314" i="2"/>
  <c r="N315" i="2"/>
  <c r="P315" i="2" s="1"/>
  <c r="N316" i="2"/>
  <c r="P316" i="2" s="1"/>
  <c r="N317" i="2"/>
  <c r="P317" i="2" s="1"/>
  <c r="N318" i="2"/>
  <c r="N319" i="2"/>
  <c r="P319" i="2" s="1"/>
  <c r="N320" i="2"/>
  <c r="N321" i="2"/>
  <c r="R321" i="2" s="1"/>
  <c r="N322" i="2"/>
  <c r="R322" i="2" s="1"/>
  <c r="N323" i="2"/>
  <c r="R323" i="2" s="1"/>
  <c r="N324" i="2"/>
  <c r="R324" i="2" s="1"/>
  <c r="N325" i="2"/>
  <c r="N326" i="2"/>
  <c r="Q326" i="2" s="1"/>
  <c r="N327" i="2"/>
  <c r="T327" i="2" s="1"/>
  <c r="N328" i="2"/>
  <c r="N329" i="2"/>
  <c r="R329" i="2" s="1"/>
  <c r="N330" i="2"/>
  <c r="Q330" i="2" s="1"/>
  <c r="N331" i="2"/>
  <c r="Q331" i="2" s="1"/>
  <c r="N332" i="2"/>
  <c r="Q332" i="2" s="1"/>
  <c r="N333" i="2"/>
  <c r="N334" i="2"/>
  <c r="S334" i="2" s="1"/>
  <c r="N335" i="2"/>
  <c r="T335" i="2" s="1"/>
  <c r="N336" i="2"/>
  <c r="R336" i="2" s="1"/>
  <c r="N337" i="2"/>
  <c r="T337" i="2" s="1"/>
  <c r="N338" i="2"/>
  <c r="R338" i="2" s="1"/>
  <c r="N339" i="2"/>
  <c r="R339" i="2" s="1"/>
  <c r="N340" i="2"/>
  <c r="N341" i="2"/>
  <c r="Q341" i="2" s="1"/>
  <c r="N342" i="2"/>
  <c r="S342" i="2" s="1"/>
  <c r="N343" i="2"/>
  <c r="P343" i="2" s="1"/>
  <c r="N344" i="2"/>
  <c r="S344" i="2" s="1"/>
  <c r="N345" i="2"/>
  <c r="S345" i="2" s="1"/>
  <c r="N346" i="2"/>
  <c r="S346" i="2" s="1"/>
  <c r="N347" i="2"/>
  <c r="N348" i="2"/>
  <c r="P348" i="2" s="1"/>
  <c r="N349" i="2"/>
  <c r="Q349" i="2" s="1"/>
  <c r="N350" i="2"/>
  <c r="T350" i="2" s="1"/>
  <c r="N351" i="2"/>
  <c r="P351" i="2" s="1"/>
  <c r="N352" i="2"/>
  <c r="T352" i="2" s="1"/>
  <c r="N353" i="2"/>
  <c r="T353" i="2" s="1"/>
  <c r="N354" i="2"/>
  <c r="S354" i="2" s="1"/>
  <c r="N355" i="2"/>
  <c r="N356" i="2"/>
  <c r="T356" i="2" s="1"/>
  <c r="N357" i="2"/>
  <c r="T357" i="2" s="1"/>
  <c r="N358" i="2"/>
  <c r="Q358" i="2" s="1"/>
  <c r="N359" i="2"/>
  <c r="R359" i="2" s="1"/>
  <c r="N360" i="2"/>
  <c r="S360" i="2" s="1"/>
  <c r="N361" i="2"/>
  <c r="R361" i="2" s="1"/>
  <c r="N362" i="2"/>
  <c r="P362" i="2" s="1"/>
  <c r="N363" i="2"/>
  <c r="N364" i="2"/>
  <c r="S364" i="2" s="1"/>
  <c r="N365" i="2"/>
  <c r="Q365" i="2" s="1"/>
  <c r="N366" i="2"/>
  <c r="R366" i="2" s="1"/>
  <c r="N367" i="2"/>
  <c r="S367" i="2" s="1"/>
  <c r="N368" i="2"/>
  <c r="P368" i="2" s="1"/>
  <c r="N369" i="2"/>
  <c r="N370" i="2"/>
  <c r="T370" i="2" s="1"/>
  <c r="N371" i="2"/>
  <c r="N372" i="2"/>
  <c r="Q372" i="2" s="1"/>
  <c r="N373" i="2"/>
  <c r="T373" i="2" s="1"/>
  <c r="N374" i="2"/>
  <c r="Q374" i="2" s="1"/>
  <c r="N375" i="2"/>
  <c r="Q375" i="2" s="1"/>
  <c r="N376" i="2"/>
  <c r="P376" i="2" s="1"/>
  <c r="N377" i="2"/>
  <c r="N378" i="2"/>
  <c r="Q378" i="2" s="1"/>
  <c r="N379" i="2"/>
  <c r="N380" i="2"/>
  <c r="N381" i="2"/>
  <c r="P381" i="2" s="1"/>
  <c r="N382" i="2"/>
  <c r="Q382" i="2" s="1"/>
  <c r="N383" i="2"/>
  <c r="P383" i="2" s="1"/>
  <c r="N384" i="2"/>
  <c r="N385" i="2"/>
  <c r="Q385" i="2" s="1"/>
  <c r="N386" i="2"/>
  <c r="S386" i="2" s="1"/>
  <c r="N387" i="2"/>
  <c r="N388" i="2"/>
  <c r="S388" i="2" s="1"/>
  <c r="N389" i="2"/>
  <c r="P389" i="2" s="1"/>
  <c r="N390" i="2"/>
  <c r="S390" i="2" s="1"/>
  <c r="N391" i="2"/>
  <c r="N392" i="2"/>
  <c r="Q392" i="2" s="1"/>
  <c r="N393" i="2"/>
  <c r="S393" i="2" s="1"/>
  <c r="N394" i="2"/>
  <c r="T394" i="2" s="1"/>
  <c r="N395" i="2"/>
  <c r="T395" i="2" s="1"/>
  <c r="N396" i="2"/>
  <c r="P396" i="2" s="1"/>
  <c r="N397" i="2"/>
  <c r="P397" i="2" s="1"/>
  <c r="N398" i="2"/>
  <c r="N399" i="2"/>
  <c r="P399" i="2" s="1"/>
  <c r="N400" i="2"/>
  <c r="Q400" i="2" s="1"/>
  <c r="N401" i="2"/>
  <c r="N402" i="2"/>
  <c r="P402" i="2" s="1"/>
  <c r="N403" i="2"/>
  <c r="T403" i="2" s="1"/>
  <c r="N404" i="2"/>
  <c r="R404" i="2" s="1"/>
  <c r="N405" i="2"/>
  <c r="N406" i="2"/>
  <c r="Q406" i="2" s="1"/>
  <c r="N407" i="2"/>
  <c r="T407" i="2" s="1"/>
  <c r="N408" i="2"/>
  <c r="S408" i="2" s="1"/>
  <c r="N409" i="2"/>
  <c r="P409" i="2" s="1"/>
  <c r="N410" i="2"/>
  <c r="P410" i="2" s="1"/>
  <c r="N411" i="2"/>
  <c r="P411" i="2" s="1"/>
  <c r="N412" i="2"/>
  <c r="Q412" i="2" s="1"/>
  <c r="N413" i="2"/>
  <c r="Q413" i="2" s="1"/>
  <c r="N414" i="2"/>
  <c r="N415" i="2"/>
  <c r="N416" i="2"/>
  <c r="S416" i="2" s="1"/>
  <c r="N423" i="2"/>
  <c r="P423" i="2" s="1"/>
  <c r="N424" i="2"/>
  <c r="Q424" i="2" s="1"/>
  <c r="N425" i="2"/>
  <c r="N426" i="2"/>
  <c r="P426" i="2" s="1"/>
  <c r="N427" i="2"/>
  <c r="Q427" i="2" s="1"/>
  <c r="N428" i="2"/>
  <c r="P428" i="2" s="1"/>
  <c r="N429" i="2"/>
  <c r="Q429" i="2" s="1"/>
  <c r="N430" i="2"/>
  <c r="T430" i="2" s="1"/>
  <c r="N431" i="2"/>
  <c r="S431" i="2" s="1"/>
  <c r="N432" i="2"/>
  <c r="R432" i="2" s="1"/>
  <c r="N433" i="2"/>
  <c r="Q433" i="2" s="1"/>
  <c r="N434" i="2"/>
  <c r="R434" i="2" s="1"/>
  <c r="N435" i="2"/>
  <c r="Q435" i="2" s="1"/>
  <c r="N436" i="2"/>
  <c r="Q436" i="2" s="1"/>
  <c r="N437" i="2"/>
  <c r="T437" i="2" s="1"/>
  <c r="N438" i="2"/>
  <c r="T438" i="2" s="1"/>
  <c r="N439" i="2"/>
  <c r="S439" i="2" s="1"/>
  <c r="N417" i="2"/>
  <c r="T417" i="2" s="1"/>
  <c r="N418" i="2"/>
  <c r="N419" i="2"/>
  <c r="N420" i="2"/>
  <c r="P420" i="2" s="1"/>
  <c r="N421" i="2"/>
  <c r="R421" i="2" s="1"/>
  <c r="N422" i="2"/>
  <c r="R422" i="2" s="1"/>
  <c r="N440" i="2"/>
  <c r="N441" i="2"/>
  <c r="Q441" i="2" s="1"/>
  <c r="N442" i="2"/>
  <c r="T442" i="2" s="1"/>
  <c r="N443" i="2"/>
  <c r="N444" i="2"/>
  <c r="P444" i="2" s="1"/>
  <c r="N445" i="2"/>
  <c r="P445" i="2" s="1"/>
  <c r="N446" i="2"/>
  <c r="Q446" i="2" s="1"/>
  <c r="N447" i="2"/>
  <c r="N448" i="2"/>
  <c r="Q448" i="2" s="1"/>
  <c r="N449" i="2"/>
  <c r="S449" i="2" s="1"/>
  <c r="N450" i="2"/>
  <c r="T450" i="2" s="1"/>
  <c r="N451" i="2"/>
  <c r="R451" i="2" s="1"/>
  <c r="N452" i="2"/>
  <c r="Q452" i="2" s="1"/>
  <c r="N453" i="2"/>
  <c r="S453" i="2" s="1"/>
  <c r="N454" i="2"/>
  <c r="N455" i="2"/>
  <c r="S455" i="2" s="1"/>
  <c r="N456" i="2"/>
  <c r="S456" i="2" s="1"/>
  <c r="N457" i="2"/>
  <c r="S457" i="2" s="1"/>
  <c r="N458" i="2"/>
  <c r="Q458" i="2" s="1"/>
  <c r="N459" i="2"/>
  <c r="P459" i="2" s="1"/>
  <c r="N460" i="2"/>
  <c r="S460" i="2" s="1"/>
  <c r="N461" i="2"/>
  <c r="N462" i="2"/>
  <c r="Q462" i="2" s="1"/>
  <c r="N463" i="2"/>
  <c r="N464" i="2"/>
  <c r="Q464" i="2" s="1"/>
  <c r="N465" i="2"/>
  <c r="P465" i="2" s="1"/>
  <c r="N466" i="2"/>
  <c r="R466" i="2" s="1"/>
  <c r="N467" i="2"/>
  <c r="R467" i="2" s="1"/>
  <c r="N468" i="2"/>
  <c r="P468" i="2" s="1"/>
  <c r="N469" i="2"/>
  <c r="N470" i="2"/>
  <c r="Q470" i="2" s="1"/>
  <c r="N471" i="2"/>
  <c r="T471" i="2" s="1"/>
  <c r="N472" i="2"/>
  <c r="T472" i="2" s="1"/>
  <c r="N473" i="2"/>
  <c r="S473" i="2" s="1"/>
  <c r="N474" i="2"/>
  <c r="S474" i="2" s="1"/>
  <c r="N475" i="2"/>
  <c r="N476" i="2"/>
  <c r="T476" i="2" s="1"/>
  <c r="N477" i="2"/>
  <c r="N478" i="2"/>
  <c r="T478" i="2" s="1"/>
  <c r="N479" i="2"/>
  <c r="P479" i="2" s="1"/>
  <c r="N480" i="2"/>
  <c r="P480" i="2" s="1"/>
  <c r="N481" i="2"/>
  <c r="T481" i="2" s="1"/>
  <c r="N482" i="2"/>
  <c r="N483" i="2"/>
  <c r="P483" i="2" s="1"/>
  <c r="N484" i="2"/>
  <c r="R484" i="2" s="1"/>
  <c r="N485" i="2"/>
  <c r="R485" i="2" s="1"/>
  <c r="N486" i="2"/>
  <c r="Q486" i="2" s="1"/>
  <c r="N487" i="2"/>
  <c r="S487" i="2" s="1"/>
  <c r="N488" i="2"/>
  <c r="S488" i="2" s="1"/>
  <c r="N489" i="2"/>
  <c r="N490" i="2"/>
  <c r="P490" i="2" s="1"/>
  <c r="N491" i="2"/>
  <c r="N492" i="2"/>
  <c r="P492" i="2" s="1"/>
  <c r="N493" i="2"/>
  <c r="T493" i="2" s="1"/>
  <c r="N494" i="2"/>
  <c r="P494" i="2" s="1"/>
  <c r="N495" i="2"/>
  <c r="P495" i="2" s="1"/>
  <c r="N496" i="2"/>
  <c r="N497" i="2"/>
  <c r="Q497" i="2" s="1"/>
  <c r="N498" i="2"/>
  <c r="S498" i="2" s="1"/>
  <c r="N499" i="2"/>
  <c r="Q499" i="2" s="1"/>
  <c r="N500" i="2"/>
  <c r="Q500" i="2" s="1"/>
  <c r="N501" i="2"/>
  <c r="Q501" i="2" s="1"/>
  <c r="N502" i="2"/>
  <c r="Q502" i="2" s="1"/>
  <c r="N503" i="2"/>
  <c r="N504" i="2"/>
  <c r="Q504" i="2" s="1"/>
  <c r="N505" i="2"/>
  <c r="T505" i="2" s="1"/>
  <c r="N506" i="2"/>
  <c r="S506" i="2" s="1"/>
  <c r="N507" i="2"/>
  <c r="Q507" i="2" s="1"/>
  <c r="N508" i="2"/>
  <c r="S508" i="2" s="1"/>
  <c r="N509" i="2"/>
  <c r="S509" i="2" s="1"/>
  <c r="N510" i="2"/>
  <c r="T510" i="2" s="1"/>
  <c r="N511" i="2"/>
  <c r="S511" i="2" s="1"/>
  <c r="N512" i="2"/>
  <c r="S512" i="2" s="1"/>
  <c r="N513" i="2"/>
  <c r="S513" i="2" s="1"/>
  <c r="N514" i="2"/>
  <c r="N515" i="2"/>
  <c r="T515" i="2" s="1"/>
  <c r="N516" i="2"/>
  <c r="T516" i="2" s="1"/>
  <c r="N517" i="2"/>
  <c r="N518" i="2"/>
  <c r="P518" i="2" s="1"/>
  <c r="N519" i="2"/>
  <c r="Q519" i="2" s="1"/>
  <c r="N520" i="2"/>
  <c r="N521" i="2"/>
  <c r="R521" i="2" s="1"/>
  <c r="N522" i="2"/>
  <c r="S522" i="2" s="1"/>
  <c r="N523" i="2"/>
  <c r="T523" i="2" s="1"/>
  <c r="N524" i="2"/>
  <c r="N525" i="2"/>
  <c r="S525" i="2" s="1"/>
  <c r="N526" i="2"/>
  <c r="Q526" i="2" s="1"/>
  <c r="N527" i="2"/>
  <c r="S527" i="2" s="1"/>
  <c r="N528" i="2"/>
  <c r="T528" i="2" s="1"/>
  <c r="N529" i="2"/>
  <c r="Q529" i="2" s="1"/>
  <c r="N530" i="2"/>
  <c r="N531" i="2"/>
  <c r="R531" i="2" s="1"/>
  <c r="N532" i="2"/>
  <c r="Q532" i="2" s="1"/>
  <c r="N533" i="2"/>
  <c r="P533" i="2" s="1"/>
  <c r="N534" i="2"/>
  <c r="T534" i="2" s="1"/>
  <c r="N535" i="2"/>
  <c r="P535" i="2" s="1"/>
  <c r="N536" i="2"/>
  <c r="R536" i="2" s="1"/>
  <c r="N537" i="2"/>
  <c r="N538" i="2"/>
  <c r="T538" i="2" s="1"/>
  <c r="N539" i="2"/>
  <c r="R539" i="2" s="1"/>
  <c r="N540" i="2"/>
  <c r="Q540" i="2" s="1"/>
  <c r="N541" i="2"/>
  <c r="T541" i="2" s="1"/>
  <c r="N542" i="2"/>
  <c r="S542" i="2" s="1"/>
  <c r="N543" i="2"/>
  <c r="Q543" i="2" s="1"/>
  <c r="N544" i="2"/>
  <c r="T544" i="2" s="1"/>
  <c r="N545" i="2"/>
  <c r="Q545" i="2" s="1"/>
  <c r="N546" i="2"/>
  <c r="S546" i="2" s="1"/>
  <c r="N547" i="2"/>
  <c r="N548" i="2"/>
  <c r="R548" i="2" s="1"/>
  <c r="N549" i="2"/>
  <c r="S549" i="2" s="1"/>
  <c r="N550" i="2"/>
  <c r="R550" i="2" s="1"/>
  <c r="N551" i="2"/>
  <c r="N552" i="2"/>
  <c r="R552" i="2" s="1"/>
  <c r="N553" i="2"/>
  <c r="S553" i="2" s="1"/>
  <c r="N554" i="2"/>
  <c r="S554" i="2" s="1"/>
  <c r="N555" i="2"/>
  <c r="Q555" i="2" s="1"/>
  <c r="N556" i="2"/>
  <c r="R556" i="2" s="1"/>
  <c r="N557" i="2"/>
  <c r="Q557" i="2" s="1"/>
  <c r="N558" i="2"/>
  <c r="N559" i="2"/>
  <c r="R559" i="2" s="1"/>
  <c r="N560" i="2"/>
  <c r="T560" i="2" s="1"/>
  <c r="N561" i="2"/>
  <c r="R561" i="2" s="1"/>
  <c r="N562" i="2"/>
  <c r="R562" i="2" s="1"/>
  <c r="N563" i="2"/>
  <c r="T563" i="2" s="1"/>
  <c r="N564" i="2"/>
  <c r="S564" i="2" s="1"/>
  <c r="N565" i="2"/>
  <c r="R565" i="2" s="1"/>
  <c r="N566" i="2"/>
  <c r="N567" i="2"/>
  <c r="T567" i="2" s="1"/>
  <c r="N568" i="2"/>
  <c r="Q568" i="2" s="1"/>
  <c r="P72" i="2" l="1"/>
  <c r="Q16" i="2"/>
  <c r="T32" i="2"/>
  <c r="S48" i="2"/>
  <c r="S8" i="2"/>
  <c r="R32" i="2"/>
  <c r="R24" i="2"/>
  <c r="R538" i="2"/>
  <c r="S218" i="2"/>
  <c r="T80" i="2"/>
  <c r="Q134" i="2"/>
  <c r="T126" i="2"/>
  <c r="R22" i="2"/>
  <c r="R150" i="2"/>
  <c r="T86" i="2"/>
  <c r="Q86" i="2"/>
  <c r="R126" i="2"/>
  <c r="P134" i="2"/>
  <c r="T30" i="2"/>
  <c r="R86" i="2"/>
  <c r="P86" i="2"/>
  <c r="S126" i="2"/>
  <c r="P226" i="2"/>
  <c r="T498" i="2"/>
  <c r="S9" i="2"/>
  <c r="T346" i="2"/>
  <c r="P370" i="2"/>
  <c r="T274" i="2"/>
  <c r="S417" i="2"/>
  <c r="R258" i="2"/>
  <c r="Q282" i="2"/>
  <c r="T218" i="2"/>
  <c r="S268" i="2"/>
  <c r="R218" i="2"/>
  <c r="Q242" i="2"/>
  <c r="T290" i="2"/>
  <c r="T202" i="2"/>
  <c r="S258" i="2"/>
  <c r="R242" i="2"/>
  <c r="Q274" i="2"/>
  <c r="P186" i="2"/>
  <c r="T282" i="2"/>
  <c r="T186" i="2"/>
  <c r="S562" i="2"/>
  <c r="S226" i="2"/>
  <c r="R226" i="2"/>
  <c r="Q268" i="2"/>
  <c r="P178" i="2"/>
  <c r="T474" i="2"/>
  <c r="T268" i="2"/>
  <c r="T154" i="2"/>
  <c r="S370" i="2"/>
  <c r="S186" i="2"/>
  <c r="R490" i="2"/>
  <c r="R202" i="2"/>
  <c r="Q466" i="2"/>
  <c r="Q218" i="2"/>
  <c r="P282" i="2"/>
  <c r="T466" i="2"/>
  <c r="S362" i="2"/>
  <c r="S178" i="2"/>
  <c r="R458" i="2"/>
  <c r="R154" i="2"/>
  <c r="Q410" i="2"/>
  <c r="Q202" i="2"/>
  <c r="P274" i="2"/>
  <c r="T250" i="2"/>
  <c r="T378" i="2"/>
  <c r="T234" i="2"/>
  <c r="S282" i="2"/>
  <c r="S154" i="2"/>
  <c r="Q370" i="2"/>
  <c r="Q186" i="2"/>
  <c r="P258" i="2"/>
  <c r="T354" i="2"/>
  <c r="T226" i="2"/>
  <c r="S274" i="2"/>
  <c r="Q290" i="2"/>
  <c r="Q154" i="2"/>
  <c r="P242" i="2"/>
  <c r="T134" i="2"/>
  <c r="S30" i="2"/>
  <c r="R134" i="2"/>
  <c r="P126" i="2"/>
  <c r="R510" i="2"/>
  <c r="Q118" i="2"/>
  <c r="T195" i="2"/>
  <c r="Q223" i="2"/>
  <c r="T171" i="2"/>
  <c r="T490" i="2"/>
  <c r="T362" i="2"/>
  <c r="S378" i="2"/>
  <c r="Q417" i="2"/>
  <c r="P338" i="2"/>
  <c r="R417" i="2"/>
  <c r="Q338" i="2"/>
  <c r="P538" i="2"/>
  <c r="T562" i="2"/>
  <c r="T432" i="2"/>
  <c r="T322" i="2"/>
  <c r="S538" i="2"/>
  <c r="S338" i="2"/>
  <c r="R378" i="2"/>
  <c r="P466" i="2"/>
  <c r="T330" i="2"/>
  <c r="T554" i="2"/>
  <c r="T424" i="2"/>
  <c r="S322" i="2"/>
  <c r="R330" i="2"/>
  <c r="Q538" i="2"/>
  <c r="P417" i="2"/>
  <c r="T506" i="2"/>
  <c r="T410" i="2"/>
  <c r="S490" i="2"/>
  <c r="Q490" i="2"/>
  <c r="P378" i="2"/>
  <c r="R220" i="2"/>
  <c r="S500" i="2"/>
  <c r="Q180" i="2"/>
  <c r="T364" i="2"/>
  <c r="R316" i="2"/>
  <c r="T426" i="2"/>
  <c r="R396" i="2"/>
  <c r="Q426" i="2"/>
  <c r="P364" i="2"/>
  <c r="P228" i="2"/>
  <c r="T468" i="2"/>
  <c r="T402" i="2"/>
  <c r="T338" i="2"/>
  <c r="T258" i="2"/>
  <c r="S466" i="2"/>
  <c r="S242" i="2"/>
  <c r="R370" i="2"/>
  <c r="R270" i="2"/>
  <c r="Q178" i="2"/>
  <c r="P322" i="2"/>
  <c r="P202" i="2"/>
  <c r="T252" i="2"/>
  <c r="R364" i="2"/>
  <c r="R508" i="2"/>
  <c r="S556" i="2"/>
  <c r="S468" i="2"/>
  <c r="T388" i="2"/>
  <c r="T180" i="2"/>
  <c r="S426" i="2"/>
  <c r="R356" i="2"/>
  <c r="T316" i="2"/>
  <c r="T178" i="2"/>
  <c r="S402" i="2"/>
  <c r="S292" i="2"/>
  <c r="R234" i="2"/>
  <c r="Q468" i="2"/>
  <c r="Q322" i="2"/>
  <c r="Q220" i="2"/>
  <c r="P424" i="2"/>
  <c r="P268" i="2"/>
  <c r="T213" i="2"/>
  <c r="S213" i="2"/>
  <c r="Q542" i="2"/>
  <c r="P326" i="2"/>
  <c r="P82" i="2"/>
  <c r="T214" i="2"/>
  <c r="T550" i="2"/>
  <c r="T382" i="2"/>
  <c r="T436" i="2"/>
  <c r="T308" i="2"/>
  <c r="T48" i="2"/>
  <c r="S356" i="2"/>
  <c r="R452" i="2"/>
  <c r="R348" i="2"/>
  <c r="R180" i="2"/>
  <c r="Q364" i="2"/>
  <c r="P356" i="2"/>
  <c r="P172" i="2"/>
  <c r="P36" i="2"/>
  <c r="T444" i="2"/>
  <c r="T292" i="2"/>
  <c r="R444" i="2"/>
  <c r="Q564" i="2"/>
  <c r="Q444" i="2"/>
  <c r="Q356" i="2"/>
  <c r="Q270" i="2"/>
  <c r="P452" i="2"/>
  <c r="P32" i="2"/>
  <c r="T508" i="2"/>
  <c r="S444" i="2"/>
  <c r="T396" i="2"/>
  <c r="T348" i="2"/>
  <c r="S180" i="2"/>
  <c r="S72" i="2"/>
  <c r="Q348" i="2"/>
  <c r="Q72" i="2"/>
  <c r="T564" i="2"/>
  <c r="T492" i="2"/>
  <c r="T220" i="2"/>
  <c r="T120" i="2"/>
  <c r="T16" i="2"/>
  <c r="S228" i="2"/>
  <c r="S172" i="2"/>
  <c r="Q508" i="2"/>
  <c r="Q252" i="2"/>
  <c r="P564" i="2"/>
  <c r="P308" i="2"/>
  <c r="P104" i="2"/>
  <c r="T172" i="2"/>
  <c r="T112" i="2"/>
  <c r="S492" i="2"/>
  <c r="S308" i="2"/>
  <c r="S16" i="2"/>
  <c r="R476" i="2"/>
  <c r="R212" i="2"/>
  <c r="Q492" i="2"/>
  <c r="Q388" i="2"/>
  <c r="Q316" i="2"/>
  <c r="P556" i="2"/>
  <c r="P292" i="2"/>
  <c r="T500" i="2"/>
  <c r="T460" i="2"/>
  <c r="T104" i="2"/>
  <c r="T24" i="2"/>
  <c r="S548" i="2"/>
  <c r="S348" i="2"/>
  <c r="S220" i="2"/>
  <c r="S64" i="2"/>
  <c r="S3" i="2"/>
  <c r="R492" i="2"/>
  <c r="R252" i="2"/>
  <c r="R19" i="2"/>
  <c r="P223" i="2"/>
  <c r="T556" i="2"/>
  <c r="T452" i="2"/>
  <c r="T412" i="2"/>
  <c r="T332" i="2"/>
  <c r="T236" i="2"/>
  <c r="T212" i="2"/>
  <c r="S476" i="2"/>
  <c r="S396" i="2"/>
  <c r="S270" i="2"/>
  <c r="S56" i="2"/>
  <c r="R564" i="2"/>
  <c r="R426" i="2"/>
  <c r="R104" i="2"/>
  <c r="R16" i="2"/>
  <c r="Q476" i="2"/>
  <c r="Q396" i="2"/>
  <c r="P508" i="2"/>
  <c r="P270" i="2"/>
  <c r="R468" i="2"/>
  <c r="R228" i="2"/>
  <c r="Q556" i="2"/>
  <c r="Q292" i="2"/>
  <c r="Q48" i="2"/>
  <c r="P476" i="2"/>
  <c r="T404" i="2"/>
  <c r="T324" i="2"/>
  <c r="T228" i="2"/>
  <c r="T72" i="2"/>
  <c r="S32" i="2"/>
  <c r="R175" i="2"/>
  <c r="T548" i="2"/>
  <c r="T64" i="2"/>
  <c r="S452" i="2"/>
  <c r="S316" i="2"/>
  <c r="S252" i="2"/>
  <c r="S104" i="2"/>
  <c r="R172" i="2"/>
  <c r="Q111" i="2"/>
  <c r="Q168" i="2"/>
  <c r="Q52" i="2"/>
  <c r="S483" i="2"/>
  <c r="S68" i="2"/>
  <c r="T368" i="2"/>
  <c r="T288" i="2"/>
  <c r="T485" i="2"/>
  <c r="T100" i="2"/>
  <c r="R280" i="2"/>
  <c r="P438" i="2"/>
  <c r="R504" i="2"/>
  <c r="S124" i="2"/>
  <c r="Q319" i="2"/>
  <c r="Q19" i="2"/>
  <c r="P264" i="2"/>
  <c r="P115" i="2"/>
  <c r="R35" i="2"/>
  <c r="Q376" i="2"/>
  <c r="S312" i="2"/>
  <c r="T464" i="2"/>
  <c r="R144" i="2"/>
  <c r="Q295" i="2"/>
  <c r="P91" i="2"/>
  <c r="R416" i="2"/>
  <c r="T3" i="2"/>
  <c r="S383" i="2"/>
  <c r="S159" i="2"/>
  <c r="R199" i="2"/>
  <c r="T487" i="2"/>
  <c r="T35" i="2"/>
  <c r="R464" i="2"/>
  <c r="T28" i="2"/>
  <c r="T549" i="2"/>
  <c r="S36" i="2"/>
  <c r="Q438" i="2"/>
  <c r="P296" i="2"/>
  <c r="P119" i="2"/>
  <c r="T256" i="2"/>
  <c r="T132" i="2"/>
  <c r="S459" i="2"/>
  <c r="S392" i="2"/>
  <c r="R344" i="2"/>
  <c r="R84" i="2"/>
  <c r="Q480" i="2"/>
  <c r="T285" i="2"/>
  <c r="T60" i="2"/>
  <c r="S448" i="2"/>
  <c r="P171" i="2"/>
  <c r="S528" i="2"/>
  <c r="S480" i="2"/>
  <c r="P152" i="2"/>
  <c r="T504" i="2"/>
  <c r="T344" i="2"/>
  <c r="T200" i="2"/>
  <c r="S168" i="2"/>
  <c r="R392" i="2"/>
  <c r="R68" i="2"/>
  <c r="R28" i="2"/>
  <c r="Q552" i="2"/>
  <c r="Q368" i="2"/>
  <c r="Q312" i="2"/>
  <c r="Q152" i="2"/>
  <c r="Q108" i="2"/>
  <c r="Q36" i="2"/>
  <c r="P552" i="2"/>
  <c r="P144" i="2"/>
  <c r="T92" i="2"/>
  <c r="T552" i="2"/>
  <c r="T448" i="2"/>
  <c r="T392" i="2"/>
  <c r="T280" i="2"/>
  <c r="T124" i="2"/>
  <c r="S504" i="2"/>
  <c r="S472" i="2"/>
  <c r="S304" i="2"/>
  <c r="S264" i="2"/>
  <c r="S108" i="2"/>
  <c r="S60" i="2"/>
  <c r="S28" i="2"/>
  <c r="R448" i="2"/>
  <c r="Q296" i="2"/>
  <c r="Q264" i="2"/>
  <c r="Q144" i="2"/>
  <c r="P464" i="2"/>
  <c r="P248" i="2"/>
  <c r="T168" i="2"/>
  <c r="T192" i="2"/>
  <c r="T44" i="2"/>
  <c r="S552" i="2"/>
  <c r="S438" i="2"/>
  <c r="S296" i="2"/>
  <c r="R480" i="2"/>
  <c r="R264" i="2"/>
  <c r="R60" i="2"/>
  <c r="Q84" i="2"/>
  <c r="Q28" i="2"/>
  <c r="P392" i="2"/>
  <c r="P12" i="2"/>
  <c r="T84" i="2"/>
  <c r="T416" i="2"/>
  <c r="T296" i="2"/>
  <c r="T216" i="2"/>
  <c r="T152" i="2"/>
  <c r="T36" i="2"/>
  <c r="T12" i="2"/>
  <c r="S368" i="2"/>
  <c r="S152" i="2"/>
  <c r="S52" i="2"/>
  <c r="S12" i="2"/>
  <c r="R368" i="2"/>
  <c r="R312" i="2"/>
  <c r="R168" i="2"/>
  <c r="R108" i="2"/>
  <c r="R52" i="2"/>
  <c r="P504" i="2"/>
  <c r="P448" i="2"/>
  <c r="P68" i="2"/>
  <c r="T480" i="2"/>
  <c r="T312" i="2"/>
  <c r="T224" i="2"/>
  <c r="T360" i="2"/>
  <c r="T248" i="2"/>
  <c r="T144" i="2"/>
  <c r="S464" i="2"/>
  <c r="S336" i="2"/>
  <c r="S248" i="2"/>
  <c r="R438" i="2"/>
  <c r="R44" i="2"/>
  <c r="Q68" i="2"/>
  <c r="P60" i="2"/>
  <c r="T52" i="2"/>
  <c r="T336" i="2"/>
  <c r="T488" i="2"/>
  <c r="T376" i="2"/>
  <c r="T108" i="2"/>
  <c r="S280" i="2"/>
  <c r="S44" i="2"/>
  <c r="R12" i="2"/>
  <c r="T299" i="2"/>
  <c r="S219" i="2"/>
  <c r="R235" i="2"/>
  <c r="T531" i="2"/>
  <c r="T467" i="2"/>
  <c r="Q235" i="2"/>
  <c r="T555" i="2"/>
  <c r="Q63" i="2"/>
  <c r="P323" i="2"/>
  <c r="S507" i="2"/>
  <c r="S127" i="2"/>
  <c r="R515" i="2"/>
  <c r="R171" i="2"/>
  <c r="Q147" i="2"/>
  <c r="P433" i="2"/>
  <c r="T553" i="2"/>
  <c r="T158" i="2"/>
  <c r="T53" i="2"/>
  <c r="S534" i="2"/>
  <c r="S214" i="2"/>
  <c r="Q334" i="2"/>
  <c r="Q329" i="2"/>
  <c r="P486" i="2"/>
  <c r="P29" i="2"/>
  <c r="S153" i="2"/>
  <c r="T494" i="2"/>
  <c r="T393" i="2"/>
  <c r="T142" i="2"/>
  <c r="Q510" i="2"/>
  <c r="S106" i="2"/>
  <c r="P542" i="2"/>
  <c r="R457" i="2"/>
  <c r="Q465" i="2"/>
  <c r="P510" i="2"/>
  <c r="P361" i="2"/>
  <c r="P545" i="2"/>
  <c r="T21" i="2"/>
  <c r="T281" i="2"/>
  <c r="S262" i="2"/>
  <c r="S93" i="2"/>
  <c r="R481" i="2"/>
  <c r="R233" i="2"/>
  <c r="Q305" i="2"/>
  <c r="T95" i="2"/>
  <c r="R411" i="2"/>
  <c r="T483" i="2"/>
  <c r="T15" i="2"/>
  <c r="S403" i="2"/>
  <c r="R119" i="2"/>
  <c r="Q179" i="2"/>
  <c r="T521" i="2"/>
  <c r="T411" i="2"/>
  <c r="T339" i="2"/>
  <c r="T187" i="2"/>
  <c r="T119" i="2"/>
  <c r="T93" i="2"/>
  <c r="S529" i="2"/>
  <c r="S299" i="2"/>
  <c r="S235" i="2"/>
  <c r="S179" i="2"/>
  <c r="S119" i="2"/>
  <c r="R403" i="2"/>
  <c r="R195" i="2"/>
  <c r="R111" i="2"/>
  <c r="R71" i="2"/>
  <c r="Q521" i="2"/>
  <c r="Q483" i="2"/>
  <c r="Q403" i="2"/>
  <c r="Q323" i="2"/>
  <c r="P403" i="2"/>
  <c r="P195" i="2"/>
  <c r="P23" i="2"/>
  <c r="T499" i="2"/>
  <c r="T79" i="2"/>
  <c r="S63" i="2"/>
  <c r="Q55" i="2"/>
  <c r="P499" i="2"/>
  <c r="T227" i="2"/>
  <c r="R7" i="2"/>
  <c r="Q515" i="2"/>
  <c r="Q15" i="2"/>
  <c r="P267" i="2"/>
  <c r="P235" i="2"/>
  <c r="P147" i="2"/>
  <c r="P101" i="2"/>
  <c r="P21" i="2"/>
  <c r="T275" i="2"/>
  <c r="T71" i="2"/>
  <c r="S499" i="2"/>
  <c r="R499" i="2"/>
  <c r="T7" i="2"/>
  <c r="S521" i="2"/>
  <c r="S467" i="2"/>
  <c r="S395" i="2"/>
  <c r="S323" i="2"/>
  <c r="S79" i="2"/>
  <c r="S55" i="2"/>
  <c r="S7" i="2"/>
  <c r="R395" i="2"/>
  <c r="R147" i="2"/>
  <c r="P441" i="2"/>
  <c r="T323" i="2"/>
  <c r="S531" i="2"/>
  <c r="R555" i="2"/>
  <c r="Q95" i="2"/>
  <c r="T433" i="2"/>
  <c r="T249" i="2"/>
  <c r="S331" i="2"/>
  <c r="S211" i="2"/>
  <c r="S147" i="2"/>
  <c r="R299" i="2"/>
  <c r="Q361" i="2"/>
  <c r="T211" i="2"/>
  <c r="R545" i="2"/>
  <c r="R297" i="2"/>
  <c r="Q79" i="2"/>
  <c r="Q39" i="2"/>
  <c r="P531" i="2"/>
  <c r="P305" i="2"/>
  <c r="P95" i="2"/>
  <c r="T507" i="2"/>
  <c r="T283" i="2"/>
  <c r="T243" i="2"/>
  <c r="T39" i="2"/>
  <c r="T23" i="2"/>
  <c r="T5" i="2"/>
  <c r="S515" i="2"/>
  <c r="S433" i="2"/>
  <c r="S283" i="2"/>
  <c r="S195" i="2"/>
  <c r="S171" i="2"/>
  <c r="S135" i="2"/>
  <c r="S23" i="2"/>
  <c r="R459" i="2"/>
  <c r="R95" i="2"/>
  <c r="Q283" i="2"/>
  <c r="Q7" i="2"/>
  <c r="P515" i="2"/>
  <c r="P331" i="2"/>
  <c r="P299" i="2"/>
  <c r="P39" i="2"/>
  <c r="Q531" i="2"/>
  <c r="T459" i="2"/>
  <c r="T267" i="2"/>
  <c r="T331" i="2"/>
  <c r="T127" i="2"/>
  <c r="T85" i="2"/>
  <c r="T63" i="2"/>
  <c r="S71" i="2"/>
  <c r="S21" i="2"/>
  <c r="R483" i="2"/>
  <c r="R433" i="2"/>
  <c r="R331" i="2"/>
  <c r="R23" i="2"/>
  <c r="T529" i="2"/>
  <c r="T193" i="2"/>
  <c r="T55" i="2"/>
  <c r="S563" i="2"/>
  <c r="S411" i="2"/>
  <c r="S243" i="2"/>
  <c r="S185" i="2"/>
  <c r="S39" i="2"/>
  <c r="R79" i="2"/>
  <c r="Q459" i="2"/>
  <c r="Q411" i="2"/>
  <c r="Q267" i="2"/>
  <c r="P219" i="2"/>
  <c r="T431" i="2"/>
  <c r="T289" i="2"/>
  <c r="T233" i="2"/>
  <c r="S497" i="2"/>
  <c r="S423" i="2"/>
  <c r="S361" i="2"/>
  <c r="S45" i="2"/>
  <c r="R473" i="2"/>
  <c r="R431" i="2"/>
  <c r="R353" i="2"/>
  <c r="R289" i="2"/>
  <c r="R185" i="2"/>
  <c r="R45" i="2"/>
  <c r="Q431" i="2"/>
  <c r="Q45" i="2"/>
  <c r="P473" i="2"/>
  <c r="S545" i="2"/>
  <c r="T409" i="2"/>
  <c r="S385" i="2"/>
  <c r="P353" i="2"/>
  <c r="T545" i="2"/>
  <c r="T385" i="2"/>
  <c r="T361" i="2"/>
  <c r="T345" i="2"/>
  <c r="T329" i="2"/>
  <c r="S441" i="2"/>
  <c r="S193" i="2"/>
  <c r="R529" i="2"/>
  <c r="R423" i="2"/>
  <c r="R345" i="2"/>
  <c r="Q423" i="2"/>
  <c r="Q101" i="2"/>
  <c r="P385" i="2"/>
  <c r="P45" i="2"/>
  <c r="T497" i="2"/>
  <c r="T441" i="2"/>
  <c r="R385" i="2"/>
  <c r="P289" i="2"/>
  <c r="P93" i="2"/>
  <c r="T439" i="2"/>
  <c r="T161" i="2"/>
  <c r="S465" i="2"/>
  <c r="S409" i="2"/>
  <c r="S353" i="2"/>
  <c r="S329" i="2"/>
  <c r="S267" i="2"/>
  <c r="S85" i="2"/>
  <c r="R465" i="2"/>
  <c r="R305" i="2"/>
  <c r="Q345" i="2"/>
  <c r="Q289" i="2"/>
  <c r="P529" i="2"/>
  <c r="P497" i="2"/>
  <c r="P431" i="2"/>
  <c r="P345" i="2"/>
  <c r="P161" i="2"/>
  <c r="T513" i="2"/>
  <c r="T305" i="2"/>
  <c r="R497" i="2"/>
  <c r="Q513" i="2"/>
  <c r="Q353" i="2"/>
  <c r="T473" i="2"/>
  <c r="T457" i="2"/>
  <c r="T423" i="2"/>
  <c r="T297" i="2"/>
  <c r="T125" i="2"/>
  <c r="T29" i="2"/>
  <c r="S161" i="2"/>
  <c r="R513" i="2"/>
  <c r="R441" i="2"/>
  <c r="R101" i="2"/>
  <c r="Q473" i="2"/>
  <c r="Q161" i="2"/>
  <c r="Q93" i="2"/>
  <c r="Q29" i="2"/>
  <c r="P521" i="2"/>
  <c r="T153" i="2"/>
  <c r="T101" i="2"/>
  <c r="S233" i="2"/>
  <c r="S29" i="2"/>
  <c r="Q85" i="2"/>
  <c r="P513" i="2"/>
  <c r="P329" i="2"/>
  <c r="Q422" i="2"/>
  <c r="Q343" i="2"/>
  <c r="S429" i="2"/>
  <c r="P567" i="2"/>
  <c r="S422" i="2"/>
  <c r="T58" i="2"/>
  <c r="S366" i="2"/>
  <c r="S150" i="2"/>
  <c r="Q262" i="2"/>
  <c r="T446" i="2"/>
  <c r="T198" i="2"/>
  <c r="S510" i="2"/>
  <c r="S478" i="2"/>
  <c r="S421" i="2"/>
  <c r="S238" i="2"/>
  <c r="R334" i="2"/>
  <c r="R310" i="2"/>
  <c r="R285" i="2"/>
  <c r="Q98" i="2"/>
  <c r="Q42" i="2"/>
  <c r="R486" i="2"/>
  <c r="T42" i="2"/>
  <c r="S326" i="2"/>
  <c r="T106" i="2"/>
  <c r="R82" i="2"/>
  <c r="P478" i="2"/>
  <c r="P294" i="2"/>
  <c r="P238" i="2"/>
  <c r="P142" i="2"/>
  <c r="T294" i="2"/>
  <c r="S494" i="2"/>
  <c r="S82" i="2"/>
  <c r="R542" i="2"/>
  <c r="Q310" i="2"/>
  <c r="Q182" i="2"/>
  <c r="P382" i="2"/>
  <c r="P206" i="2"/>
  <c r="T262" i="2"/>
  <c r="S436" i="2"/>
  <c r="S302" i="2"/>
  <c r="R198" i="2"/>
  <c r="T421" i="2"/>
  <c r="T374" i="2"/>
  <c r="T326" i="2"/>
  <c r="S406" i="2"/>
  <c r="S182" i="2"/>
  <c r="P501" i="2"/>
  <c r="P198" i="2"/>
  <c r="R302" i="2"/>
  <c r="S254" i="2"/>
  <c r="S58" i="2"/>
  <c r="R501" i="2"/>
  <c r="R382" i="2"/>
  <c r="R106" i="2"/>
  <c r="P374" i="2"/>
  <c r="T238" i="2"/>
  <c r="P406" i="2"/>
  <c r="P106" i="2"/>
  <c r="S166" i="2"/>
  <c r="S42" i="2"/>
  <c r="R326" i="2"/>
  <c r="R50" i="2"/>
  <c r="T518" i="2"/>
  <c r="T502" i="2"/>
  <c r="S382" i="2"/>
  <c r="S206" i="2"/>
  <c r="R238" i="2"/>
  <c r="R142" i="2"/>
  <c r="T542" i="2"/>
  <c r="T420" i="2"/>
  <c r="T206" i="2"/>
  <c r="T66" i="2"/>
  <c r="S501" i="2"/>
  <c r="S486" i="2"/>
  <c r="S142" i="2"/>
  <c r="S98" i="2"/>
  <c r="R213" i="2"/>
  <c r="R166" i="2"/>
  <c r="Q206" i="2"/>
  <c r="P262" i="2"/>
  <c r="P25" i="2"/>
  <c r="T486" i="2"/>
  <c r="T406" i="2"/>
  <c r="T390" i="2"/>
  <c r="T302" i="2"/>
  <c r="T254" i="2"/>
  <c r="T50" i="2"/>
  <c r="S518" i="2"/>
  <c r="S374" i="2"/>
  <c r="S294" i="2"/>
  <c r="S198" i="2"/>
  <c r="S158" i="2"/>
  <c r="R518" i="2"/>
  <c r="R406" i="2"/>
  <c r="R42" i="2"/>
  <c r="Q518" i="2"/>
  <c r="Q494" i="2"/>
  <c r="Q82" i="2"/>
  <c r="P334" i="2"/>
  <c r="P310" i="2"/>
  <c r="T310" i="2"/>
  <c r="S130" i="2"/>
  <c r="T366" i="2"/>
  <c r="T334" i="2"/>
  <c r="T182" i="2"/>
  <c r="S373" i="2"/>
  <c r="S137" i="2"/>
  <c r="S50" i="2"/>
  <c r="R494" i="2"/>
  <c r="R436" i="2"/>
  <c r="R182" i="2"/>
  <c r="Q549" i="2"/>
  <c r="Q294" i="2"/>
  <c r="P436" i="2"/>
  <c r="P254" i="2"/>
  <c r="T557" i="2"/>
  <c r="T105" i="2"/>
  <c r="T9" i="2"/>
  <c r="S485" i="2"/>
  <c r="S445" i="2"/>
  <c r="S413" i="2"/>
  <c r="S309" i="2"/>
  <c r="S113" i="2"/>
  <c r="S97" i="2"/>
  <c r="S25" i="2"/>
  <c r="R261" i="2"/>
  <c r="R165" i="2"/>
  <c r="R113" i="2"/>
  <c r="R9" i="2"/>
  <c r="Q189" i="2"/>
  <c r="Q165" i="2"/>
  <c r="Q137" i="2"/>
  <c r="P253" i="2"/>
  <c r="P165" i="2"/>
  <c r="T271" i="2"/>
  <c r="T89" i="2"/>
  <c r="T73" i="2"/>
  <c r="S541" i="2"/>
  <c r="S57" i="2"/>
  <c r="R389" i="2"/>
  <c r="R89" i="2"/>
  <c r="R25" i="2"/>
  <c r="Q277" i="2"/>
  <c r="Q57" i="2"/>
  <c r="P413" i="2"/>
  <c r="P137" i="2"/>
  <c r="T221" i="2"/>
  <c r="S205" i="2"/>
  <c r="S165" i="2"/>
  <c r="R137" i="2"/>
  <c r="Q213" i="2"/>
  <c r="T445" i="2"/>
  <c r="T113" i="2"/>
  <c r="R549" i="2"/>
  <c r="R413" i="2"/>
  <c r="R277" i="2"/>
  <c r="R157" i="2"/>
  <c r="Q245" i="2"/>
  <c r="P549" i="2"/>
  <c r="S129" i="2"/>
  <c r="S89" i="2"/>
  <c r="S17" i="2"/>
  <c r="P129" i="2"/>
  <c r="T157" i="2"/>
  <c r="T129" i="2"/>
  <c r="S285" i="2"/>
  <c r="S245" i="2"/>
  <c r="R65" i="2"/>
  <c r="Q129" i="2"/>
  <c r="Q9" i="2"/>
  <c r="T17" i="2"/>
  <c r="R2" i="2"/>
  <c r="P245" i="2"/>
  <c r="T501" i="2"/>
  <c r="T413" i="2"/>
  <c r="T57" i="2"/>
  <c r="S427" i="2"/>
  <c r="S381" i="2"/>
  <c r="S65" i="2"/>
  <c r="S2" i="2"/>
  <c r="R245" i="2"/>
  <c r="Q445" i="2"/>
  <c r="Q25" i="2"/>
  <c r="P285" i="2"/>
  <c r="P65" i="2"/>
  <c r="T397" i="2"/>
  <c r="T229" i="2"/>
  <c r="S420" i="2"/>
  <c r="Q2" i="2"/>
  <c r="P261" i="2"/>
  <c r="T277" i="2"/>
  <c r="T97" i="2"/>
  <c r="R57" i="2"/>
  <c r="T509" i="2"/>
  <c r="T453" i="2"/>
  <c r="T381" i="2"/>
  <c r="T317" i="2"/>
  <c r="T65" i="2"/>
  <c r="T2" i="2"/>
  <c r="S277" i="2"/>
  <c r="R445" i="2"/>
  <c r="R73" i="2"/>
  <c r="Q89" i="2"/>
  <c r="T359" i="2"/>
  <c r="R319" i="2"/>
  <c r="T343" i="2"/>
  <c r="T75" i="2"/>
  <c r="S343" i="2"/>
  <c r="S273" i="2"/>
  <c r="T559" i="2"/>
  <c r="T311" i="2"/>
  <c r="T191" i="2"/>
  <c r="T175" i="2"/>
  <c r="T99" i="2"/>
  <c r="S567" i="2"/>
  <c r="S319" i="2"/>
  <c r="S303" i="2"/>
  <c r="R535" i="2"/>
  <c r="R487" i="2"/>
  <c r="R471" i="2"/>
  <c r="R273" i="2"/>
  <c r="R223" i="2"/>
  <c r="R159" i="2"/>
  <c r="R75" i="2"/>
  <c r="Q567" i="2"/>
  <c r="Q199" i="2"/>
  <c r="P543" i="2"/>
  <c r="P273" i="2"/>
  <c r="P19" i="2"/>
  <c r="S207" i="2"/>
  <c r="S175" i="2"/>
  <c r="Q255" i="2"/>
  <c r="P422" i="2"/>
  <c r="T351" i="2"/>
  <c r="S75" i="2"/>
  <c r="R567" i="2"/>
  <c r="Q559" i="2"/>
  <c r="T543" i="2"/>
  <c r="T255" i="2"/>
  <c r="T199" i="2"/>
  <c r="P559" i="2"/>
  <c r="T159" i="2"/>
  <c r="S351" i="2"/>
  <c r="S143" i="2"/>
  <c r="R91" i="2"/>
  <c r="Q487" i="2"/>
  <c r="Q175" i="2"/>
  <c r="Q99" i="2"/>
  <c r="P487" i="2"/>
  <c r="T527" i="2"/>
  <c r="T375" i="2"/>
  <c r="T295" i="2"/>
  <c r="T273" i="2"/>
  <c r="T19" i="2"/>
  <c r="S223" i="2"/>
  <c r="S91" i="2"/>
  <c r="S43" i="2"/>
  <c r="R303" i="2"/>
  <c r="Q191" i="2"/>
  <c r="Q35" i="2"/>
  <c r="T422" i="2"/>
  <c r="T319" i="2"/>
  <c r="T43" i="2"/>
  <c r="S559" i="2"/>
  <c r="S543" i="2"/>
  <c r="S399" i="2"/>
  <c r="R563" i="2"/>
  <c r="R495" i="2"/>
  <c r="R399" i="2"/>
  <c r="R375" i="2"/>
  <c r="R191" i="2"/>
  <c r="Q437" i="2"/>
  <c r="Q75" i="2"/>
  <c r="P502" i="2"/>
  <c r="P303" i="2"/>
  <c r="P159" i="2"/>
  <c r="T115" i="2"/>
  <c r="Q115" i="2"/>
  <c r="P375" i="2"/>
  <c r="T479" i="2"/>
  <c r="T383" i="2"/>
  <c r="T303" i="2"/>
  <c r="T91" i="2"/>
  <c r="S359" i="2"/>
  <c r="S199" i="2"/>
  <c r="S115" i="2"/>
  <c r="S99" i="2"/>
  <c r="R343" i="2"/>
  <c r="R99" i="2"/>
  <c r="Q351" i="2"/>
  <c r="P43" i="2"/>
  <c r="T399" i="2"/>
  <c r="S375" i="2"/>
  <c r="R543" i="2"/>
  <c r="R43" i="2"/>
  <c r="Q479" i="2"/>
  <c r="T535" i="2"/>
  <c r="T429" i="2"/>
  <c r="S35" i="2"/>
  <c r="Q399" i="2"/>
  <c r="R553" i="2"/>
  <c r="T386" i="2"/>
  <c r="S189" i="2"/>
  <c r="P365" i="2"/>
  <c r="T449" i="2"/>
  <c r="S341" i="2"/>
  <c r="Q407" i="2"/>
  <c r="T6" i="2"/>
  <c r="S502" i="2"/>
  <c r="R446" i="2"/>
  <c r="R376" i="2"/>
  <c r="R317" i="2"/>
  <c r="T565" i="2"/>
  <c r="T495" i="2"/>
  <c r="S339" i="2"/>
  <c r="S324" i="2"/>
  <c r="S290" i="2"/>
  <c r="S250" i="2"/>
  <c r="S221" i="2"/>
  <c r="R509" i="2"/>
  <c r="R412" i="2"/>
  <c r="R332" i="2"/>
  <c r="R283" i="2"/>
  <c r="R127" i="2"/>
  <c r="Q495" i="2"/>
  <c r="Q453" i="2"/>
  <c r="Q362" i="2"/>
  <c r="S544" i="2"/>
  <c r="S446" i="2"/>
  <c r="S424" i="2"/>
  <c r="S404" i="2"/>
  <c r="S376" i="2"/>
  <c r="Q439" i="2"/>
  <c r="Q397" i="2"/>
  <c r="Q339" i="2"/>
  <c r="P412" i="2"/>
  <c r="P243" i="2"/>
  <c r="T536" i="2"/>
  <c r="S229" i="2"/>
  <c r="R153" i="2"/>
  <c r="P113" i="2"/>
  <c r="P73" i="2"/>
  <c r="R424" i="2"/>
  <c r="R243" i="2"/>
  <c r="S565" i="2"/>
  <c r="S536" i="2"/>
  <c r="S412" i="2"/>
  <c r="S317" i="2"/>
  <c r="R362" i="2"/>
  <c r="R256" i="2"/>
  <c r="P127" i="2"/>
  <c r="P24" i="2"/>
  <c r="T83" i="2"/>
  <c r="Q83" i="2"/>
  <c r="T389" i="2"/>
  <c r="T367" i="2"/>
  <c r="T241" i="2"/>
  <c r="T118" i="2"/>
  <c r="T78" i="2"/>
  <c r="T56" i="2"/>
  <c r="S557" i="2"/>
  <c r="S315" i="2"/>
  <c r="S164" i="2"/>
  <c r="R557" i="2"/>
  <c r="R360" i="2"/>
  <c r="R290" i="2"/>
  <c r="R85" i="2"/>
  <c r="R56" i="2"/>
  <c r="Q56" i="2"/>
  <c r="P474" i="2"/>
  <c r="P458" i="2"/>
  <c r="P339" i="2"/>
  <c r="P212" i="2"/>
  <c r="S477" i="2"/>
  <c r="P477" i="2"/>
  <c r="T522" i="2"/>
  <c r="T458" i="2"/>
  <c r="T261" i="2"/>
  <c r="S337" i="2"/>
  <c r="R374" i="2"/>
  <c r="R337" i="2"/>
  <c r="Q389" i="2"/>
  <c r="Q317" i="2"/>
  <c r="Q212" i="2"/>
  <c r="P565" i="2"/>
  <c r="P153" i="2"/>
  <c r="P550" i="2"/>
  <c r="Q550" i="2"/>
  <c r="P544" i="2"/>
  <c r="R544" i="2"/>
  <c r="Q544" i="2"/>
  <c r="P536" i="2"/>
  <c r="Q536" i="2"/>
  <c r="P523" i="2"/>
  <c r="S523" i="2"/>
  <c r="P516" i="2"/>
  <c r="Q516" i="2"/>
  <c r="R516" i="2"/>
  <c r="P509" i="2"/>
  <c r="Q509" i="2"/>
  <c r="R488" i="2"/>
  <c r="P488" i="2"/>
  <c r="Q481" i="2"/>
  <c r="P481" i="2"/>
  <c r="S481" i="2"/>
  <c r="R474" i="2"/>
  <c r="Q474" i="2"/>
  <c r="P467" i="2"/>
  <c r="Q467" i="2"/>
  <c r="P460" i="2"/>
  <c r="Q460" i="2"/>
  <c r="R460" i="2"/>
  <c r="P453" i="2"/>
  <c r="R453" i="2"/>
  <c r="P439" i="2"/>
  <c r="R439" i="2"/>
  <c r="P432" i="2"/>
  <c r="Q432" i="2"/>
  <c r="Q404" i="2"/>
  <c r="P404" i="2"/>
  <c r="R397" i="2"/>
  <c r="S397" i="2"/>
  <c r="R390" i="2"/>
  <c r="Q390" i="2"/>
  <c r="Q383" i="2"/>
  <c r="R383" i="2"/>
  <c r="P354" i="2"/>
  <c r="R354" i="2"/>
  <c r="Q354" i="2"/>
  <c r="P346" i="2"/>
  <c r="Q346" i="2"/>
  <c r="R346" i="2"/>
  <c r="P332" i="2"/>
  <c r="S332" i="2"/>
  <c r="P324" i="2"/>
  <c r="Q324" i="2"/>
  <c r="R311" i="2"/>
  <c r="P311" i="2"/>
  <c r="Q304" i="2"/>
  <c r="R304" i="2"/>
  <c r="P304" i="2"/>
  <c r="P297" i="2"/>
  <c r="Q297" i="2"/>
  <c r="R275" i="2"/>
  <c r="P275" i="2"/>
  <c r="S275" i="2"/>
  <c r="Q271" i="2"/>
  <c r="P271" i="2"/>
  <c r="R271" i="2"/>
  <c r="P256" i="2"/>
  <c r="S256" i="2"/>
  <c r="Q250" i="2"/>
  <c r="P250" i="2"/>
  <c r="Q236" i="2"/>
  <c r="P236" i="2"/>
  <c r="S236" i="2"/>
  <c r="Q229" i="2"/>
  <c r="R229" i="2"/>
  <c r="Q221" i="2"/>
  <c r="P221" i="2"/>
  <c r="Q214" i="2"/>
  <c r="P214" i="2"/>
  <c r="Q207" i="2"/>
  <c r="R207" i="2"/>
  <c r="P207" i="2"/>
  <c r="Q200" i="2"/>
  <c r="S200" i="2"/>
  <c r="Q193" i="2"/>
  <c r="P193" i="2"/>
  <c r="Q187" i="2"/>
  <c r="R187" i="2"/>
  <c r="P187" i="2"/>
  <c r="Q181" i="2"/>
  <c r="P181" i="2"/>
  <c r="R181" i="2"/>
  <c r="S181" i="2"/>
  <c r="Q173" i="2"/>
  <c r="P173" i="2"/>
  <c r="R173" i="2"/>
  <c r="S173" i="2"/>
  <c r="Q166" i="2"/>
  <c r="P166" i="2"/>
  <c r="Q145" i="2"/>
  <c r="R145" i="2"/>
  <c r="S145" i="2"/>
  <c r="Q135" i="2"/>
  <c r="R135" i="2"/>
  <c r="P135" i="2"/>
  <c r="Q120" i="2"/>
  <c r="P120" i="2"/>
  <c r="S120" i="2"/>
  <c r="Q100" i="2"/>
  <c r="R100" i="2"/>
  <c r="P100" i="2"/>
  <c r="Q87" i="2"/>
  <c r="P87" i="2"/>
  <c r="S87" i="2"/>
  <c r="R87" i="2"/>
  <c r="Q80" i="2"/>
  <c r="R80" i="2"/>
  <c r="P80" i="2"/>
  <c r="T465" i="2"/>
  <c r="T269" i="2"/>
  <c r="S550" i="2"/>
  <c r="S516" i="2"/>
  <c r="S495" i="2"/>
  <c r="S458" i="2"/>
  <c r="S432" i="2"/>
  <c r="R523" i="2"/>
  <c r="R479" i="2"/>
  <c r="R118" i="2"/>
  <c r="Q565" i="2"/>
  <c r="Q523" i="2"/>
  <c r="Q311" i="2"/>
  <c r="Q190" i="2"/>
  <c r="P557" i="2"/>
  <c r="P446" i="2"/>
  <c r="P390" i="2"/>
  <c r="P330" i="2"/>
  <c r="P200" i="2"/>
  <c r="P145" i="2"/>
  <c r="T561" i="2"/>
  <c r="P555" i="2"/>
  <c r="S555" i="2"/>
  <c r="P528" i="2"/>
  <c r="Q528" i="2"/>
  <c r="R528" i="2"/>
  <c r="Q514" i="2"/>
  <c r="R514" i="2"/>
  <c r="P507" i="2"/>
  <c r="R507" i="2"/>
  <c r="Q493" i="2"/>
  <c r="P493" i="2"/>
  <c r="S493" i="2"/>
  <c r="R493" i="2"/>
  <c r="P472" i="2"/>
  <c r="Q472" i="2"/>
  <c r="R472" i="2"/>
  <c r="P451" i="2"/>
  <c r="Q451" i="2"/>
  <c r="S451" i="2"/>
  <c r="P421" i="2"/>
  <c r="Q421" i="2"/>
  <c r="R437" i="2"/>
  <c r="P437" i="2"/>
  <c r="S437" i="2"/>
  <c r="P430" i="2"/>
  <c r="Q430" i="2"/>
  <c r="R430" i="2"/>
  <c r="R410" i="2"/>
  <c r="S410" i="2"/>
  <c r="R367" i="2"/>
  <c r="Q367" i="2"/>
  <c r="P360" i="2"/>
  <c r="Q360" i="2"/>
  <c r="R352" i="2"/>
  <c r="Q352" i="2"/>
  <c r="S352" i="2"/>
  <c r="P352" i="2"/>
  <c r="Q344" i="2"/>
  <c r="P344" i="2"/>
  <c r="P337" i="2"/>
  <c r="Q337" i="2"/>
  <c r="R315" i="2"/>
  <c r="Q315" i="2"/>
  <c r="P309" i="2"/>
  <c r="R309" i="2"/>
  <c r="P295" i="2"/>
  <c r="R295" i="2"/>
  <c r="Q288" i="2"/>
  <c r="R288" i="2"/>
  <c r="S288" i="2"/>
  <c r="Q281" i="2"/>
  <c r="P281" i="2"/>
  <c r="R281" i="2"/>
  <c r="S269" i="2"/>
  <c r="P269" i="2"/>
  <c r="Q269" i="2"/>
  <c r="P255" i="2"/>
  <c r="R255" i="2"/>
  <c r="Q249" i="2"/>
  <c r="P249" i="2"/>
  <c r="S249" i="2"/>
  <c r="Q241" i="2"/>
  <c r="R241" i="2"/>
  <c r="P241" i="2"/>
  <c r="P234" i="2"/>
  <c r="Q234" i="2"/>
  <c r="P227" i="2"/>
  <c r="Q227" i="2"/>
  <c r="R227" i="2"/>
  <c r="Q219" i="2"/>
  <c r="R219" i="2"/>
  <c r="Q205" i="2"/>
  <c r="P205" i="2"/>
  <c r="Q192" i="2"/>
  <c r="P192" i="2"/>
  <c r="R192" i="2"/>
  <c r="P179" i="2"/>
  <c r="R179" i="2"/>
  <c r="Q164" i="2"/>
  <c r="P164" i="2"/>
  <c r="R164" i="2"/>
  <c r="Q158" i="2"/>
  <c r="R158" i="2"/>
  <c r="P151" i="2"/>
  <c r="S151" i="2"/>
  <c r="Q151" i="2"/>
  <c r="R151" i="2"/>
  <c r="R143" i="2"/>
  <c r="P143" i="2"/>
  <c r="Q143" i="2"/>
  <c r="P133" i="2"/>
  <c r="R133" i="2"/>
  <c r="P125" i="2"/>
  <c r="S125" i="2"/>
  <c r="R125" i="2"/>
  <c r="P112" i="2"/>
  <c r="Q112" i="2"/>
  <c r="R112" i="2"/>
  <c r="P105" i="2"/>
  <c r="Q105" i="2"/>
  <c r="S105" i="2"/>
  <c r="P98" i="2"/>
  <c r="R98" i="2"/>
  <c r="P92" i="2"/>
  <c r="R92" i="2"/>
  <c r="S92" i="2"/>
  <c r="Q78" i="2"/>
  <c r="P78" i="2"/>
  <c r="S78" i="2"/>
  <c r="Q64" i="2"/>
  <c r="P64" i="2"/>
  <c r="P49" i="2"/>
  <c r="Q49" i="2"/>
  <c r="R49" i="2"/>
  <c r="S49" i="2"/>
  <c r="P22" i="2"/>
  <c r="Q22" i="2"/>
  <c r="S22" i="2"/>
  <c r="R15" i="2"/>
  <c r="P15" i="2"/>
  <c r="Q8" i="2"/>
  <c r="P8" i="2"/>
  <c r="R8" i="2"/>
  <c r="P563" i="2"/>
  <c r="Q563" i="2"/>
  <c r="S535" i="2"/>
  <c r="Q535" i="2"/>
  <c r="Q522" i="2"/>
  <c r="P522" i="2"/>
  <c r="P500" i="2"/>
  <c r="R500" i="2"/>
  <c r="T514" i="2"/>
  <c r="T451" i="2"/>
  <c r="T315" i="2"/>
  <c r="S514" i="2"/>
  <c r="S479" i="2"/>
  <c r="S430" i="2"/>
  <c r="S389" i="2"/>
  <c r="S330" i="2"/>
  <c r="S261" i="2"/>
  <c r="S133" i="2"/>
  <c r="S118" i="2"/>
  <c r="R522" i="2"/>
  <c r="R502" i="2"/>
  <c r="R205" i="2"/>
  <c r="Q488" i="2"/>
  <c r="Q309" i="2"/>
  <c r="Q133" i="2"/>
  <c r="P514" i="2"/>
  <c r="P367" i="2"/>
  <c r="P562" i="2"/>
  <c r="Q562" i="2"/>
  <c r="Q554" i="2"/>
  <c r="P554" i="2"/>
  <c r="R554" i="2"/>
  <c r="Q548" i="2"/>
  <c r="P548" i="2"/>
  <c r="Q541" i="2"/>
  <c r="P541" i="2"/>
  <c r="R541" i="2"/>
  <c r="P534" i="2"/>
  <c r="Q534" i="2"/>
  <c r="R534" i="2"/>
  <c r="P527" i="2"/>
  <c r="Q527" i="2"/>
  <c r="R527" i="2"/>
  <c r="P506" i="2"/>
  <c r="Q506" i="2"/>
  <c r="R506" i="2"/>
  <c r="Q485" i="2"/>
  <c r="P485" i="2"/>
  <c r="Q478" i="2"/>
  <c r="R478" i="2"/>
  <c r="Q471" i="2"/>
  <c r="P471" i="2"/>
  <c r="S471" i="2"/>
  <c r="P457" i="2"/>
  <c r="Q457" i="2"/>
  <c r="R402" i="2"/>
  <c r="Q402" i="2"/>
  <c r="Q308" i="2"/>
  <c r="Q280" i="2"/>
  <c r="Q254" i="2"/>
  <c r="P302" i="2"/>
  <c r="P191" i="2"/>
  <c r="P50" i="2"/>
  <c r="Q66" i="2"/>
  <c r="P66" i="2"/>
  <c r="S66" i="2"/>
  <c r="Q58" i="2"/>
  <c r="R58" i="2"/>
  <c r="Q37" i="2"/>
  <c r="P37" i="2"/>
  <c r="S37" i="2"/>
  <c r="Q30" i="2"/>
  <c r="R30" i="2"/>
  <c r="Q17" i="2"/>
  <c r="P17" i="2"/>
  <c r="Q10" i="2"/>
  <c r="P10" i="2"/>
  <c r="S10" i="2"/>
  <c r="Q3" i="2"/>
  <c r="R3" i="2"/>
  <c r="S73" i="2"/>
  <c r="S24" i="2"/>
  <c r="R420" i="2"/>
  <c r="R409" i="2"/>
  <c r="R381" i="2"/>
  <c r="R351" i="2"/>
  <c r="R37" i="2"/>
  <c r="R10" i="2"/>
  <c r="Q420" i="2"/>
  <c r="Q409" i="2"/>
  <c r="Q381" i="2"/>
  <c r="Q248" i="2"/>
  <c r="P233" i="2"/>
  <c r="P44" i="2"/>
  <c r="P429" i="2"/>
  <c r="R429" i="2"/>
  <c r="P416" i="2"/>
  <c r="Q416" i="2"/>
  <c r="Q395" i="2"/>
  <c r="P395" i="2"/>
  <c r="R388" i="2"/>
  <c r="P388" i="2"/>
  <c r="Q373" i="2"/>
  <c r="P373" i="2"/>
  <c r="R373" i="2"/>
  <c r="P366" i="2"/>
  <c r="Q366" i="2"/>
  <c r="P359" i="2"/>
  <c r="Q359" i="2"/>
  <c r="P336" i="2"/>
  <c r="Q336" i="2"/>
  <c r="P211" i="2"/>
  <c r="R211" i="2"/>
  <c r="P185" i="2"/>
  <c r="Q185" i="2"/>
  <c r="P157" i="2"/>
  <c r="Q157" i="2"/>
  <c r="P150" i="2"/>
  <c r="Q150" i="2"/>
  <c r="P132" i="2"/>
  <c r="Q132" i="2"/>
  <c r="S132" i="2"/>
  <c r="R124" i="2"/>
  <c r="P124" i="2"/>
  <c r="P111" i="2"/>
  <c r="S111" i="2"/>
  <c r="P97" i="2"/>
  <c r="Q97" i="2"/>
  <c r="R55" i="2"/>
  <c r="R21" i="2"/>
  <c r="Q71" i="2"/>
  <c r="S84" i="2"/>
  <c r="R63" i="2"/>
  <c r="P48" i="2"/>
  <c r="S419" i="2"/>
  <c r="Q419" i="2"/>
  <c r="P419" i="2"/>
  <c r="Q394" i="2"/>
  <c r="P394" i="2"/>
  <c r="R394" i="2"/>
  <c r="S328" i="2"/>
  <c r="Q328" i="2"/>
  <c r="P328" i="2"/>
  <c r="R328" i="2"/>
  <c r="Q279" i="2"/>
  <c r="P279" i="2"/>
  <c r="R279" i="2"/>
  <c r="P240" i="2"/>
  <c r="Q240" i="2"/>
  <c r="R240" i="2"/>
  <c r="P190" i="2"/>
  <c r="R190" i="2"/>
  <c r="P131" i="2"/>
  <c r="Q131" i="2"/>
  <c r="R131" i="2"/>
  <c r="S131" i="2"/>
  <c r="P77" i="2"/>
  <c r="Q77" i="2"/>
  <c r="R77" i="2"/>
  <c r="S77" i="2"/>
  <c r="Q456" i="2"/>
  <c r="P456" i="2"/>
  <c r="R456" i="2"/>
  <c r="Q401" i="2"/>
  <c r="P401" i="2"/>
  <c r="R401" i="2"/>
  <c r="Q342" i="2"/>
  <c r="P342" i="2"/>
  <c r="R342" i="2"/>
  <c r="R307" i="2"/>
  <c r="Q307" i="2"/>
  <c r="S260" i="2"/>
  <c r="Q260" i="2"/>
  <c r="S204" i="2"/>
  <c r="Q204" i="2"/>
  <c r="S149" i="2"/>
  <c r="Q149" i="2"/>
  <c r="Q47" i="2"/>
  <c r="S47" i="2"/>
  <c r="P47" i="2"/>
  <c r="P14" i="2"/>
  <c r="Q14" i="2"/>
  <c r="R14" i="2"/>
  <c r="T342" i="2"/>
  <c r="R419" i="2"/>
  <c r="Q560" i="2"/>
  <c r="P560" i="2"/>
  <c r="R560" i="2"/>
  <c r="P519" i="2"/>
  <c r="R519" i="2"/>
  <c r="R469" i="2"/>
  <c r="Q469" i="2"/>
  <c r="S418" i="2"/>
  <c r="Q418" i="2"/>
  <c r="P418" i="2"/>
  <c r="R418" i="2"/>
  <c r="S320" i="2"/>
  <c r="Q320" i="2"/>
  <c r="P320" i="2"/>
  <c r="R320" i="2"/>
  <c r="Q209" i="2"/>
  <c r="S209" i="2"/>
  <c r="P209" i="2"/>
  <c r="R209" i="2"/>
  <c r="P169" i="2"/>
  <c r="R169" i="2"/>
  <c r="Q169" i="2"/>
  <c r="P122" i="2"/>
  <c r="Q122" i="2"/>
  <c r="R122" i="2"/>
  <c r="S122" i="2"/>
  <c r="S33" i="2"/>
  <c r="Q33" i="2"/>
  <c r="P520" i="2"/>
  <c r="R520" i="2"/>
  <c r="P463" i="2"/>
  <c r="R463" i="2"/>
  <c r="P415" i="2"/>
  <c r="R415" i="2"/>
  <c r="P301" i="2"/>
  <c r="R301" i="2"/>
  <c r="P247" i="2"/>
  <c r="R247" i="2"/>
  <c r="P184" i="2"/>
  <c r="Q184" i="2"/>
  <c r="R184" i="2"/>
  <c r="P123" i="2"/>
  <c r="Q123" i="2"/>
  <c r="R123" i="2"/>
  <c r="P70" i="2"/>
  <c r="Q70" i="2"/>
  <c r="R70" i="2"/>
  <c r="S463" i="2"/>
  <c r="S435" i="2"/>
  <c r="S350" i="2"/>
  <c r="S83" i="2"/>
  <c r="P149" i="2"/>
  <c r="Q498" i="2"/>
  <c r="P498" i="2"/>
  <c r="P455" i="2"/>
  <c r="R455" i="2"/>
  <c r="R414" i="2"/>
  <c r="Q414" i="2"/>
  <c r="S379" i="2"/>
  <c r="Q379" i="2"/>
  <c r="P379" i="2"/>
  <c r="R379" i="2"/>
  <c r="Q327" i="2"/>
  <c r="P327" i="2"/>
  <c r="R327" i="2"/>
  <c r="Q278" i="2"/>
  <c r="P278" i="2"/>
  <c r="R278" i="2"/>
  <c r="P231" i="2"/>
  <c r="Q231" i="2"/>
  <c r="R231" i="2"/>
  <c r="P183" i="2"/>
  <c r="Q183" i="2"/>
  <c r="R183" i="2"/>
  <c r="S140" i="2"/>
  <c r="Q140" i="2"/>
  <c r="S96" i="2"/>
  <c r="Q96" i="2"/>
  <c r="P96" i="2"/>
  <c r="R26" i="2"/>
  <c r="S26" i="2"/>
  <c r="T568" i="2"/>
  <c r="T520" i="2"/>
  <c r="T511" i="2"/>
  <c r="T463" i="2"/>
  <c r="T455" i="2"/>
  <c r="T408" i="2"/>
  <c r="T400" i="2"/>
  <c r="T341" i="2"/>
  <c r="T293" i="2"/>
  <c r="T286" i="2"/>
  <c r="T240" i="2"/>
  <c r="T231" i="2"/>
  <c r="T184" i="2"/>
  <c r="T131" i="2"/>
  <c r="T122" i="2"/>
  <c r="T77" i="2"/>
  <c r="S470" i="2"/>
  <c r="S462" i="2"/>
  <c r="S358" i="2"/>
  <c r="S349" i="2"/>
  <c r="S287" i="2"/>
  <c r="S278" i="2"/>
  <c r="S197" i="2"/>
  <c r="S139" i="2"/>
  <c r="S53" i="2"/>
  <c r="R365" i="2"/>
  <c r="R140" i="2"/>
  <c r="R33" i="2"/>
  <c r="Q455" i="2"/>
  <c r="P414" i="2"/>
  <c r="P300" i="2"/>
  <c r="P189" i="2"/>
  <c r="Q512" i="2"/>
  <c r="P512" i="2"/>
  <c r="R512" i="2"/>
  <c r="S443" i="2"/>
  <c r="Q443" i="2"/>
  <c r="P443" i="2"/>
  <c r="R443" i="2"/>
  <c r="P350" i="2"/>
  <c r="R350" i="2"/>
  <c r="P225" i="2"/>
  <c r="R225" i="2"/>
  <c r="Q225" i="2"/>
  <c r="P170" i="2"/>
  <c r="R170" i="2"/>
  <c r="Q170" i="2"/>
  <c r="P117" i="2"/>
  <c r="R117" i="2"/>
  <c r="Q117" i="2"/>
  <c r="P62" i="2"/>
  <c r="R62" i="2"/>
  <c r="Q62" i="2"/>
  <c r="P6" i="2"/>
  <c r="R6" i="2"/>
  <c r="Q6" i="2"/>
  <c r="T123" i="2"/>
  <c r="P372" i="2"/>
  <c r="P568" i="2"/>
  <c r="R568" i="2"/>
  <c r="S434" i="2"/>
  <c r="Q434" i="2"/>
  <c r="P434" i="2"/>
  <c r="S371" i="2"/>
  <c r="Q371" i="2"/>
  <c r="P371" i="2"/>
  <c r="S313" i="2"/>
  <c r="Q313" i="2"/>
  <c r="P313" i="2"/>
  <c r="S265" i="2"/>
  <c r="Q265" i="2"/>
  <c r="P265" i="2"/>
  <c r="R265" i="2"/>
  <c r="S203" i="2"/>
  <c r="Q203" i="2"/>
  <c r="P203" i="2"/>
  <c r="P162" i="2"/>
  <c r="R162" i="2"/>
  <c r="P109" i="2"/>
  <c r="R109" i="2"/>
  <c r="P61" i="2"/>
  <c r="R61" i="2"/>
  <c r="Q61" i="2"/>
  <c r="P13" i="2"/>
  <c r="Q13" i="2"/>
  <c r="R13" i="2"/>
  <c r="S13" i="2"/>
  <c r="T519" i="2"/>
  <c r="T462" i="2"/>
  <c r="T415" i="2"/>
  <c r="T358" i="2"/>
  <c r="T349" i="2"/>
  <c r="T301" i="2"/>
  <c r="T247" i="2"/>
  <c r="T190" i="2"/>
  <c r="T183" i="2"/>
  <c r="T139" i="2"/>
  <c r="T20" i="2"/>
  <c r="S561" i="2"/>
  <c r="S520" i="2"/>
  <c r="S469" i="2"/>
  <c r="S394" i="2"/>
  <c r="S357" i="2"/>
  <c r="S225" i="2"/>
  <c r="S138" i="2"/>
  <c r="S62" i="2"/>
  <c r="S14" i="2"/>
  <c r="R372" i="2"/>
  <c r="R260" i="2"/>
  <c r="R149" i="2"/>
  <c r="R41" i="2"/>
  <c r="Q463" i="2"/>
  <c r="Q350" i="2"/>
  <c r="Q162" i="2"/>
  <c r="P307" i="2"/>
  <c r="P197" i="2"/>
  <c r="P526" i="2"/>
  <c r="R526" i="2"/>
  <c r="R477" i="2"/>
  <c r="Q477" i="2"/>
  <c r="R428" i="2"/>
  <c r="Q428" i="2"/>
  <c r="S380" i="2"/>
  <c r="Q380" i="2"/>
  <c r="P380" i="2"/>
  <c r="Q335" i="2"/>
  <c r="P335" i="2"/>
  <c r="R335" i="2"/>
  <c r="Q287" i="2"/>
  <c r="P287" i="2"/>
  <c r="R287" i="2"/>
  <c r="P232" i="2"/>
  <c r="Q232" i="2"/>
  <c r="R232" i="2"/>
  <c r="P177" i="2"/>
  <c r="Q177" i="2"/>
  <c r="R177" i="2"/>
  <c r="R141" i="2"/>
  <c r="Q141" i="2"/>
  <c r="P83" i="2"/>
  <c r="R83" i="2"/>
  <c r="P27" i="2"/>
  <c r="R27" i="2"/>
  <c r="T512" i="2"/>
  <c r="T401" i="2"/>
  <c r="Q546" i="2"/>
  <c r="P546" i="2"/>
  <c r="R546" i="2"/>
  <c r="Q386" i="2"/>
  <c r="P386" i="2"/>
  <c r="R386" i="2"/>
  <c r="P341" i="2"/>
  <c r="R341" i="2"/>
  <c r="S253" i="2"/>
  <c r="Q253" i="2"/>
  <c r="S148" i="2"/>
  <c r="Q148" i="2"/>
  <c r="P148" i="2"/>
  <c r="Q102" i="2"/>
  <c r="S102" i="2"/>
  <c r="P102" i="2"/>
  <c r="R102" i="2"/>
  <c r="P53" i="2"/>
  <c r="R53" i="2"/>
  <c r="P5" i="2"/>
  <c r="R5" i="2"/>
  <c r="Q5" i="2"/>
  <c r="T526" i="2"/>
  <c r="T470" i="2"/>
  <c r="T414" i="2"/>
  <c r="T307" i="2"/>
  <c r="T300" i="2"/>
  <c r="T189" i="2"/>
  <c r="T141" i="2"/>
  <c r="T138" i="2"/>
  <c r="T26" i="2"/>
  <c r="S560" i="2"/>
  <c r="S526" i="2"/>
  <c r="S519" i="2"/>
  <c r="S401" i="2"/>
  <c r="S365" i="2"/>
  <c r="S301" i="2"/>
  <c r="S232" i="2"/>
  <c r="S162" i="2"/>
  <c r="S141" i="2"/>
  <c r="S109" i="2"/>
  <c r="S61" i="2"/>
  <c r="R532" i="2"/>
  <c r="R371" i="2"/>
  <c r="R259" i="2"/>
  <c r="R148" i="2"/>
  <c r="Q247" i="2"/>
  <c r="Q27" i="2"/>
  <c r="P525" i="2"/>
  <c r="P427" i="2"/>
  <c r="P196" i="2"/>
  <c r="P90" i="2"/>
  <c r="S547" i="2"/>
  <c r="Q547" i="2"/>
  <c r="P547" i="2"/>
  <c r="S491" i="2"/>
  <c r="Q491" i="2"/>
  <c r="P491" i="2"/>
  <c r="Q450" i="2"/>
  <c r="P450" i="2"/>
  <c r="R450" i="2"/>
  <c r="S387" i="2"/>
  <c r="Q387" i="2"/>
  <c r="P387" i="2"/>
  <c r="R387" i="2"/>
  <c r="S314" i="2"/>
  <c r="Q314" i="2"/>
  <c r="S217" i="2"/>
  <c r="P217" i="2"/>
  <c r="R217" i="2"/>
  <c r="S163" i="2"/>
  <c r="P163" i="2"/>
  <c r="R163" i="2"/>
  <c r="S110" i="2"/>
  <c r="P110" i="2"/>
  <c r="R110" i="2"/>
  <c r="S54" i="2"/>
  <c r="P54" i="2"/>
  <c r="R54" i="2"/>
  <c r="T456" i="2"/>
  <c r="T70" i="2"/>
  <c r="Q415" i="2"/>
  <c r="Q553" i="2"/>
  <c r="P553" i="2"/>
  <c r="P511" i="2"/>
  <c r="R511" i="2"/>
  <c r="P462" i="2"/>
  <c r="R462" i="2"/>
  <c r="P407" i="2"/>
  <c r="R407" i="2"/>
  <c r="R357" i="2"/>
  <c r="Q357" i="2"/>
  <c r="S306" i="2"/>
  <c r="Q306" i="2"/>
  <c r="P224" i="2"/>
  <c r="R224" i="2"/>
  <c r="Q224" i="2"/>
  <c r="P176" i="2"/>
  <c r="Q176" i="2"/>
  <c r="R176" i="2"/>
  <c r="P130" i="2"/>
  <c r="Q130" i="2"/>
  <c r="R130" i="2"/>
  <c r="P76" i="2"/>
  <c r="Q76" i="2"/>
  <c r="R76" i="2"/>
  <c r="S40" i="2"/>
  <c r="Q40" i="2"/>
  <c r="P40" i="2"/>
  <c r="T533" i="2"/>
  <c r="T525" i="2"/>
  <c r="T477" i="2"/>
  <c r="T469" i="2"/>
  <c r="T428" i="2"/>
  <c r="T246" i="2"/>
  <c r="T540" i="2"/>
  <c r="T532" i="2"/>
  <c r="T435" i="2"/>
  <c r="T427" i="2"/>
  <c r="T372" i="2"/>
  <c r="T365" i="2"/>
  <c r="T314" i="2"/>
  <c r="T306" i="2"/>
  <c r="T260" i="2"/>
  <c r="T253" i="2"/>
  <c r="T204" i="2"/>
  <c r="T149" i="2"/>
  <c r="T140" i="2"/>
  <c r="T90" i="2"/>
  <c r="T33" i="2"/>
  <c r="S568" i="2"/>
  <c r="S533" i="2"/>
  <c r="S400" i="2"/>
  <c r="S372" i="2"/>
  <c r="S240" i="2"/>
  <c r="S231" i="2"/>
  <c r="S170" i="2"/>
  <c r="S117" i="2"/>
  <c r="S70" i="2"/>
  <c r="R540" i="2"/>
  <c r="R491" i="2"/>
  <c r="R380" i="2"/>
  <c r="R47" i="2"/>
  <c r="Q246" i="2"/>
  <c r="Q138" i="2"/>
  <c r="Q26" i="2"/>
  <c r="P435" i="2"/>
  <c r="P314" i="2"/>
  <c r="P204" i="2"/>
  <c r="Q561" i="2"/>
  <c r="P561" i="2"/>
  <c r="Q505" i="2"/>
  <c r="P505" i="2"/>
  <c r="S321" i="2"/>
  <c r="Q321" i="2"/>
  <c r="P321" i="2"/>
  <c r="S266" i="2"/>
  <c r="Q266" i="2"/>
  <c r="P266" i="2"/>
  <c r="R266" i="2"/>
  <c r="Q210" i="2"/>
  <c r="S210" i="2"/>
  <c r="P210" i="2"/>
  <c r="Q156" i="2"/>
  <c r="S156" i="2"/>
  <c r="P156" i="2"/>
  <c r="Q103" i="2"/>
  <c r="S103" i="2"/>
  <c r="P103" i="2"/>
  <c r="S41" i="2"/>
  <c r="Q41" i="2"/>
  <c r="T14" i="2"/>
  <c r="S505" i="2"/>
  <c r="R505" i="2"/>
  <c r="Q301" i="2"/>
  <c r="P41" i="2"/>
  <c r="R525" i="2"/>
  <c r="Q525" i="2"/>
  <c r="S484" i="2"/>
  <c r="Q484" i="2"/>
  <c r="P484" i="2"/>
  <c r="Q442" i="2"/>
  <c r="P442" i="2"/>
  <c r="R442" i="2"/>
  <c r="Q393" i="2"/>
  <c r="P393" i="2"/>
  <c r="R393" i="2"/>
  <c r="P286" i="2"/>
  <c r="R286" i="2"/>
  <c r="P239" i="2"/>
  <c r="Q239" i="2"/>
  <c r="R239" i="2"/>
  <c r="S196" i="2"/>
  <c r="Q196" i="2"/>
  <c r="Q155" i="2"/>
  <c r="S155" i="2"/>
  <c r="P155" i="2"/>
  <c r="R155" i="2"/>
  <c r="P116" i="2"/>
  <c r="R116" i="2"/>
  <c r="Q116" i="2"/>
  <c r="P69" i="2"/>
  <c r="Q69" i="2"/>
  <c r="R69" i="2"/>
  <c r="S69" i="2"/>
  <c r="Q46" i="2"/>
  <c r="S46" i="2"/>
  <c r="P46" i="2"/>
  <c r="R46" i="2"/>
  <c r="T547" i="2"/>
  <c r="T539" i="2"/>
  <c r="T491" i="2"/>
  <c r="T484" i="2"/>
  <c r="T419" i="2"/>
  <c r="T434" i="2"/>
  <c r="T380" i="2"/>
  <c r="T371" i="2"/>
  <c r="T321" i="2"/>
  <c r="T313" i="2"/>
  <c r="T210" i="2"/>
  <c r="T203" i="2"/>
  <c r="T156" i="2"/>
  <c r="T148" i="2"/>
  <c r="T103" i="2"/>
  <c r="T96" i="2"/>
  <c r="T47" i="2"/>
  <c r="T40" i="2"/>
  <c r="S532" i="2"/>
  <c r="S442" i="2"/>
  <c r="S415" i="2"/>
  <c r="S407" i="2"/>
  <c r="S327" i="2"/>
  <c r="S307" i="2"/>
  <c r="S247" i="2"/>
  <c r="S239" i="2"/>
  <c r="S177" i="2"/>
  <c r="S169" i="2"/>
  <c r="S116" i="2"/>
  <c r="R427" i="2"/>
  <c r="R306" i="2"/>
  <c r="R196" i="2"/>
  <c r="Q511" i="2"/>
  <c r="Q286" i="2"/>
  <c r="Q217" i="2"/>
  <c r="Q110" i="2"/>
  <c r="P532" i="2"/>
  <c r="P357" i="2"/>
  <c r="P246" i="2"/>
  <c r="P138" i="2"/>
  <c r="P26" i="2"/>
  <c r="R533" i="2"/>
  <c r="Q533" i="2"/>
  <c r="P470" i="2"/>
  <c r="R470" i="2"/>
  <c r="P408" i="2"/>
  <c r="R408" i="2"/>
  <c r="P358" i="2"/>
  <c r="R358" i="2"/>
  <c r="P293" i="2"/>
  <c r="R293" i="2"/>
  <c r="R197" i="2"/>
  <c r="Q197" i="2"/>
  <c r="P139" i="2"/>
  <c r="R139" i="2"/>
  <c r="R34" i="2"/>
  <c r="S34" i="2"/>
  <c r="Q34" i="2"/>
  <c r="T177" i="2"/>
  <c r="S279" i="2"/>
  <c r="P260" i="2"/>
  <c r="S539" i="2"/>
  <c r="Q539" i="2"/>
  <c r="P539" i="2"/>
  <c r="Q449" i="2"/>
  <c r="P449" i="2"/>
  <c r="R449" i="2"/>
  <c r="P400" i="2"/>
  <c r="R400" i="2"/>
  <c r="P349" i="2"/>
  <c r="R349" i="2"/>
  <c r="R300" i="2"/>
  <c r="Q300" i="2"/>
  <c r="S259" i="2"/>
  <c r="Q259" i="2"/>
  <c r="P259" i="2"/>
  <c r="P216" i="2"/>
  <c r="R216" i="2"/>
  <c r="S90" i="2"/>
  <c r="Q90" i="2"/>
  <c r="P20" i="2"/>
  <c r="Q20" i="2"/>
  <c r="R20" i="2"/>
  <c r="T546" i="2"/>
  <c r="T443" i="2"/>
  <c r="T418" i="2"/>
  <c r="T387" i="2"/>
  <c r="T379" i="2"/>
  <c r="T328" i="2"/>
  <c r="T320" i="2"/>
  <c r="T266" i="2"/>
  <c r="T265" i="2"/>
  <c r="T217" i="2"/>
  <c r="T209" i="2"/>
  <c r="T163" i="2"/>
  <c r="T155" i="2"/>
  <c r="T110" i="2"/>
  <c r="T102" i="2"/>
  <c r="T54" i="2"/>
  <c r="T46" i="2"/>
  <c r="S540" i="2"/>
  <c r="S450" i="2"/>
  <c r="S428" i="2"/>
  <c r="S414" i="2"/>
  <c r="S335" i="2"/>
  <c r="S246" i="2"/>
  <c r="S184" i="2"/>
  <c r="S176" i="2"/>
  <c r="S123" i="2"/>
  <c r="S76" i="2"/>
  <c r="S27" i="2"/>
  <c r="R547" i="2"/>
  <c r="R498" i="2"/>
  <c r="R435" i="2"/>
  <c r="R314" i="2"/>
  <c r="R204" i="2"/>
  <c r="Q520" i="2"/>
  <c r="Q408" i="2"/>
  <c r="Q293" i="2"/>
  <c r="Q216" i="2"/>
  <c r="Q109" i="2"/>
  <c r="P540" i="2"/>
  <c r="P469" i="2"/>
  <c r="P141" i="2"/>
  <c r="P34" i="2"/>
  <c r="R425" i="2"/>
  <c r="Q425" i="2"/>
  <c r="P425" i="2"/>
  <c r="S425" i="2"/>
  <c r="T425" i="2"/>
  <c r="R566" i="2"/>
  <c r="Q566" i="2"/>
  <c r="S566" i="2"/>
  <c r="T566" i="2"/>
  <c r="R551" i="2"/>
  <c r="Q551" i="2"/>
  <c r="S551" i="2"/>
  <c r="T551" i="2"/>
  <c r="R530" i="2"/>
  <c r="Q530" i="2"/>
  <c r="S530" i="2"/>
  <c r="T530" i="2"/>
  <c r="R517" i="2"/>
  <c r="Q517" i="2"/>
  <c r="S517" i="2"/>
  <c r="T517" i="2"/>
  <c r="R503" i="2"/>
  <c r="Q503" i="2"/>
  <c r="S503" i="2"/>
  <c r="T503" i="2"/>
  <c r="R496" i="2"/>
  <c r="Q496" i="2"/>
  <c r="S496" i="2"/>
  <c r="T496" i="2"/>
  <c r="R482" i="2"/>
  <c r="Q482" i="2"/>
  <c r="P482" i="2"/>
  <c r="S482" i="2"/>
  <c r="T482" i="2"/>
  <c r="R461" i="2"/>
  <c r="Q461" i="2"/>
  <c r="P461" i="2"/>
  <c r="S461" i="2"/>
  <c r="T461" i="2"/>
  <c r="R454" i="2"/>
  <c r="Q454" i="2"/>
  <c r="P454" i="2"/>
  <c r="S454" i="2"/>
  <c r="T454" i="2"/>
  <c r="R447" i="2"/>
  <c r="Q447" i="2"/>
  <c r="P447" i="2"/>
  <c r="S447" i="2"/>
  <c r="T447" i="2"/>
  <c r="R440" i="2"/>
  <c r="Q440" i="2"/>
  <c r="P440" i="2"/>
  <c r="S440" i="2"/>
  <c r="T440" i="2"/>
  <c r="R398" i="2"/>
  <c r="Q398" i="2"/>
  <c r="P398" i="2"/>
  <c r="S398" i="2"/>
  <c r="T398" i="2"/>
  <c r="R391" i="2"/>
  <c r="Q391" i="2"/>
  <c r="P391" i="2"/>
  <c r="S391" i="2"/>
  <c r="T391" i="2"/>
  <c r="R384" i="2"/>
  <c r="Q384" i="2"/>
  <c r="P384" i="2"/>
  <c r="S384" i="2"/>
  <c r="T384" i="2"/>
  <c r="R377" i="2"/>
  <c r="Q377" i="2"/>
  <c r="P377" i="2"/>
  <c r="S377" i="2"/>
  <c r="T377" i="2"/>
  <c r="R369" i="2"/>
  <c r="Q369" i="2"/>
  <c r="P369" i="2"/>
  <c r="S369" i="2"/>
  <c r="T369" i="2"/>
  <c r="R363" i="2"/>
  <c r="Q363" i="2"/>
  <c r="P363" i="2"/>
  <c r="S363" i="2"/>
  <c r="T363" i="2"/>
  <c r="R355" i="2"/>
  <c r="Q355" i="2"/>
  <c r="P355" i="2"/>
  <c r="S355" i="2"/>
  <c r="T355" i="2"/>
  <c r="R340" i="2"/>
  <c r="Q340" i="2"/>
  <c r="P340" i="2"/>
  <c r="S340" i="2"/>
  <c r="T340" i="2"/>
  <c r="R333" i="2"/>
  <c r="Q333" i="2"/>
  <c r="P333" i="2"/>
  <c r="S333" i="2"/>
  <c r="T333" i="2"/>
  <c r="R325" i="2"/>
  <c r="Q325" i="2"/>
  <c r="P325" i="2"/>
  <c r="S325" i="2"/>
  <c r="T325" i="2"/>
  <c r="R318" i="2"/>
  <c r="Q318" i="2"/>
  <c r="P318" i="2"/>
  <c r="S318" i="2"/>
  <c r="T318" i="2"/>
  <c r="R298" i="2"/>
  <c r="Q298" i="2"/>
  <c r="P298" i="2"/>
  <c r="S298" i="2"/>
  <c r="T298" i="2"/>
  <c r="R291" i="2"/>
  <c r="Q291" i="2"/>
  <c r="P291" i="2"/>
  <c r="S291" i="2"/>
  <c r="T291" i="2"/>
  <c r="R284" i="2"/>
  <c r="Q284" i="2"/>
  <c r="P284" i="2"/>
  <c r="S284" i="2"/>
  <c r="T284" i="2"/>
  <c r="R276" i="2"/>
  <c r="Q276" i="2"/>
  <c r="P276" i="2"/>
  <c r="S276" i="2"/>
  <c r="T276" i="2"/>
  <c r="R272" i="2"/>
  <c r="Q272" i="2"/>
  <c r="P272" i="2"/>
  <c r="S272" i="2"/>
  <c r="T272" i="2"/>
  <c r="R263" i="2"/>
  <c r="Q263" i="2"/>
  <c r="P263" i="2"/>
  <c r="S263" i="2"/>
  <c r="T263" i="2"/>
  <c r="R558" i="2"/>
  <c r="Q558" i="2"/>
  <c r="S558" i="2"/>
  <c r="T558" i="2"/>
  <c r="R537" i="2"/>
  <c r="Q537" i="2"/>
  <c r="S537" i="2"/>
  <c r="T537" i="2"/>
  <c r="R524" i="2"/>
  <c r="Q524" i="2"/>
  <c r="S524" i="2"/>
  <c r="T524" i="2"/>
  <c r="R489" i="2"/>
  <c r="Q489" i="2"/>
  <c r="P489" i="2"/>
  <c r="S489" i="2"/>
  <c r="T489" i="2"/>
  <c r="R475" i="2"/>
  <c r="Q475" i="2"/>
  <c r="P475" i="2"/>
  <c r="S475" i="2"/>
  <c r="T475" i="2"/>
  <c r="R347" i="2"/>
  <c r="Q347" i="2"/>
  <c r="P347" i="2"/>
  <c r="S347" i="2"/>
  <c r="T347" i="2"/>
  <c r="R405" i="2"/>
  <c r="Q405" i="2"/>
  <c r="P405" i="2"/>
  <c r="S405" i="2"/>
  <c r="T405" i="2"/>
  <c r="S222" i="2"/>
  <c r="P222" i="2"/>
  <c r="S201" i="2"/>
  <c r="P201" i="2"/>
  <c r="R88" i="2"/>
  <c r="S88" i="2"/>
  <c r="Q88" i="2"/>
  <c r="P88" i="2"/>
  <c r="R31" i="2"/>
  <c r="S31" i="2"/>
  <c r="P31" i="2"/>
  <c r="T222" i="2"/>
  <c r="T201" i="2"/>
  <c r="T194" i="2"/>
  <c r="T128" i="2"/>
  <c r="T88" i="2"/>
  <c r="T31" i="2"/>
  <c r="R257" i="2"/>
  <c r="Q257" i="2"/>
  <c r="P257" i="2"/>
  <c r="R128" i="2"/>
  <c r="S128" i="2"/>
  <c r="P128" i="2"/>
  <c r="R81" i="2"/>
  <c r="S81" i="2"/>
  <c r="Q81" i="2"/>
  <c r="P81" i="2"/>
  <c r="S174" i="2"/>
  <c r="P174" i="2"/>
  <c r="S114" i="2"/>
  <c r="P114" i="2"/>
  <c r="S67" i="2"/>
  <c r="P67" i="2"/>
  <c r="S4" i="2"/>
  <c r="P4" i="2"/>
  <c r="S215" i="2"/>
  <c r="P215" i="2"/>
  <c r="S160" i="2"/>
  <c r="P160" i="2"/>
  <c r="S107" i="2"/>
  <c r="P107" i="2"/>
  <c r="S59" i="2"/>
  <c r="P59" i="2"/>
  <c r="S11" i="2"/>
  <c r="P11" i="2"/>
  <c r="R237" i="2"/>
  <c r="S237" i="2"/>
  <c r="P237" i="2"/>
  <c r="S167" i="2"/>
  <c r="P167" i="2"/>
  <c r="S121" i="2"/>
  <c r="P121" i="2"/>
  <c r="R74" i="2"/>
  <c r="S74" i="2"/>
  <c r="P74" i="2"/>
  <c r="Q74" i="2"/>
  <c r="R18" i="2"/>
  <c r="Q18" i="2"/>
  <c r="S18" i="2"/>
  <c r="P18" i="2"/>
  <c r="S230" i="2"/>
  <c r="P230" i="2"/>
  <c r="R194" i="2"/>
  <c r="S194" i="2"/>
  <c r="P194" i="2"/>
  <c r="S146" i="2"/>
  <c r="P146" i="2"/>
  <c r="S51" i="2"/>
  <c r="P51" i="2"/>
  <c r="S257" i="2"/>
  <c r="Q31" i="2"/>
  <c r="R251" i="2"/>
  <c r="Q251" i="2"/>
  <c r="S251" i="2"/>
  <c r="P251" i="2"/>
  <c r="R188" i="2"/>
  <c r="S188" i="2"/>
  <c r="P188" i="2"/>
  <c r="Q188" i="2"/>
  <c r="R136" i="2"/>
  <c r="S136" i="2"/>
  <c r="P136" i="2"/>
  <c r="Q136" i="2"/>
  <c r="S38" i="2"/>
  <c r="P38" i="2"/>
  <c r="R244" i="2"/>
  <c r="S244" i="2"/>
  <c r="Q244" i="2"/>
  <c r="P244" i="2"/>
  <c r="S208" i="2"/>
  <c r="P208" i="2"/>
  <c r="S94" i="2"/>
  <c r="P94" i="2"/>
  <c r="Q230" i="2"/>
  <c r="R230" i="2"/>
  <c r="Q222" i="2"/>
  <c r="R222" i="2"/>
  <c r="Q215" i="2"/>
  <c r="R215" i="2"/>
  <c r="R208" i="2"/>
  <c r="Q208" i="2"/>
  <c r="R201" i="2"/>
  <c r="Q201" i="2"/>
  <c r="Q174" i="2"/>
  <c r="R174" i="2"/>
  <c r="Q167" i="2"/>
  <c r="R167" i="2"/>
  <c r="Q160" i="2"/>
  <c r="R160" i="2"/>
  <c r="R146" i="2"/>
  <c r="Q146" i="2"/>
  <c r="Q121" i="2"/>
  <c r="R121" i="2"/>
  <c r="Q114" i="2"/>
  <c r="R114" i="2"/>
  <c r="Q107" i="2"/>
  <c r="R107" i="2"/>
  <c r="R94" i="2"/>
  <c r="Q94" i="2"/>
  <c r="Q67" i="2"/>
  <c r="R67" i="2"/>
  <c r="Q59" i="2"/>
  <c r="R59" i="2"/>
  <c r="Q51" i="2"/>
  <c r="R51" i="2"/>
  <c r="R38" i="2"/>
  <c r="Q38" i="2"/>
  <c r="Q11" i="2"/>
  <c r="R11" i="2"/>
  <c r="Q4" i="2"/>
  <c r="R4" i="2"/>
  <c r="P566" i="2"/>
  <c r="P558" i="2"/>
  <c r="P551" i="2"/>
  <c r="P537" i="2"/>
  <c r="P530" i="2"/>
  <c r="P524" i="2"/>
  <c r="P517" i="2"/>
  <c r="P503" i="2"/>
  <c r="P496" i="2"/>
  <c r="Q237" i="2"/>
  <c r="J569" i="2" l="1"/>
  <c r="C81" i="22" l="1"/>
  <c r="C11" i="23" s="1"/>
  <c r="D81" i="22"/>
  <c r="D11" i="23" s="1"/>
  <c r="E81" i="22"/>
  <c r="E11" i="23" s="1"/>
  <c r="B81" i="22"/>
  <c r="B11" i="23" s="1"/>
  <c r="C58" i="22"/>
  <c r="C10" i="23" s="1"/>
  <c r="D58" i="22"/>
  <c r="D10" i="23" s="1"/>
  <c r="E58" i="22"/>
  <c r="E10" i="23" s="1"/>
  <c r="B58" i="22"/>
  <c r="B10" i="23" s="1"/>
  <c r="C52" i="22"/>
  <c r="C9" i="23" s="1"/>
  <c r="D52" i="22"/>
  <c r="D9" i="23" s="1"/>
  <c r="E52" i="22"/>
  <c r="E9" i="23" s="1"/>
  <c r="B52" i="22"/>
  <c r="B9" i="23" s="1"/>
  <c r="C49" i="22"/>
  <c r="C8" i="23" s="1"/>
  <c r="D49" i="22"/>
  <c r="D8" i="23" s="1"/>
  <c r="E49" i="22"/>
  <c r="E8" i="23" s="1"/>
  <c r="B49" i="22"/>
  <c r="B8" i="23" s="1"/>
  <c r="C41" i="22"/>
  <c r="C7" i="23" s="1"/>
  <c r="D41" i="22"/>
  <c r="D7" i="23" s="1"/>
  <c r="E41" i="22"/>
  <c r="E7" i="23" s="1"/>
  <c r="B41" i="22"/>
  <c r="B7" i="23" s="1"/>
  <c r="C33" i="22"/>
  <c r="C6" i="23" s="1"/>
  <c r="D33" i="22"/>
  <c r="D6" i="23" s="1"/>
  <c r="E33" i="22"/>
  <c r="E6" i="23" s="1"/>
  <c r="B33" i="22"/>
  <c r="B6" i="23" s="1"/>
  <c r="C28" i="22"/>
  <c r="C5" i="23" s="1"/>
  <c r="D28" i="22"/>
  <c r="D5" i="23" s="1"/>
  <c r="E28" i="22"/>
  <c r="E5" i="23" s="1"/>
  <c r="B28" i="22"/>
  <c r="B5" i="23" s="1"/>
  <c r="C23" i="22"/>
  <c r="C4" i="23" s="1"/>
  <c r="D23" i="22"/>
  <c r="D4" i="23" s="1"/>
  <c r="E23" i="22"/>
  <c r="E4" i="23" s="1"/>
  <c r="B23" i="22"/>
  <c r="B4" i="23" s="1"/>
  <c r="C16" i="22"/>
  <c r="C3" i="23" s="1"/>
  <c r="D16" i="22"/>
  <c r="D3" i="23" s="1"/>
  <c r="E16" i="22"/>
  <c r="E3" i="23" s="1"/>
  <c r="B16" i="22"/>
  <c r="B3" i="23" s="1"/>
  <c r="D5" i="22"/>
  <c r="D2" i="23" s="1"/>
  <c r="E5" i="22"/>
  <c r="E2" i="23" s="1"/>
  <c r="C5" i="22"/>
  <c r="C2" i="23" s="1"/>
  <c r="B5" i="22"/>
  <c r="B2" i="23" s="1"/>
  <c r="G22" i="16"/>
  <c r="G10" i="16"/>
  <c r="G2" i="16"/>
  <c r="B10" i="14"/>
  <c r="K569" i="2" l="1"/>
  <c r="E58" i="19" s="1"/>
  <c r="M569" i="2"/>
  <c r="C58" i="19"/>
  <c r="L569" i="2"/>
  <c r="F85" i="19"/>
  <c r="H83" i="19"/>
  <c r="B83" i="19"/>
  <c r="H84" i="19"/>
  <c r="B84" i="19"/>
  <c r="H85" i="19"/>
  <c r="B85" i="19"/>
  <c r="D84" i="19"/>
  <c r="F83" i="19"/>
  <c r="D83" i="19"/>
  <c r="F84" i="19"/>
  <c r="D85" i="19"/>
  <c r="B574" i="2"/>
  <c r="B572" i="2"/>
  <c r="B571" i="2"/>
  <c r="F58" i="19"/>
  <c r="H58" i="19"/>
  <c r="B58" i="19"/>
  <c r="D58" i="19"/>
  <c r="K581" i="2"/>
  <c r="F56" i="19"/>
  <c r="M583" i="2"/>
  <c r="H56" i="19"/>
  <c r="L581" i="2"/>
  <c r="B57" i="19"/>
  <c r="J582" i="2"/>
  <c r="K582" i="2"/>
  <c r="K583" i="2"/>
  <c r="H55" i="19"/>
  <c r="B55" i="19"/>
  <c r="D57" i="19"/>
  <c r="D80" i="19"/>
  <c r="L582" i="2"/>
  <c r="L571" i="2"/>
  <c r="F57" i="19"/>
  <c r="J583" i="2"/>
  <c r="H57" i="19"/>
  <c r="J585" i="2"/>
  <c r="M585" i="2"/>
  <c r="L588" i="2"/>
  <c r="B79" i="19"/>
  <c r="H81" i="19"/>
  <c r="D34" i="19"/>
  <c r="K571" i="2"/>
  <c r="M572" i="2"/>
  <c r="B56" i="19"/>
  <c r="D55" i="19"/>
  <c r="J586" i="2"/>
  <c r="L586" i="2"/>
  <c r="M588" i="2"/>
  <c r="B80" i="19"/>
  <c r="H82" i="19"/>
  <c r="B4" i="19"/>
  <c r="K570" i="2"/>
  <c r="D56" i="19"/>
  <c r="J587" i="2"/>
  <c r="K586" i="2"/>
  <c r="B81" i="19"/>
  <c r="D79" i="19"/>
  <c r="F55" i="19"/>
  <c r="B82" i="19"/>
  <c r="L570" i="2"/>
  <c r="J581" i="2"/>
  <c r="L583" i="2"/>
  <c r="K587" i="2"/>
  <c r="F79" i="19"/>
  <c r="D81" i="19"/>
  <c r="J588" i="2"/>
  <c r="K572" i="2"/>
  <c r="M571" i="2"/>
  <c r="M581" i="2"/>
  <c r="L587" i="2"/>
  <c r="F80" i="19"/>
  <c r="D82" i="19"/>
  <c r="M586" i="2"/>
  <c r="M570" i="2"/>
  <c r="M582" i="2"/>
  <c r="K585" i="2"/>
  <c r="M587" i="2"/>
  <c r="H79" i="19"/>
  <c r="F81" i="19"/>
  <c r="L572" i="2"/>
  <c r="L585" i="2"/>
  <c r="K588" i="2"/>
  <c r="H80" i="19"/>
  <c r="F82" i="19"/>
  <c r="J574" i="2"/>
  <c r="K576" i="2"/>
  <c r="L578" i="2"/>
  <c r="B29" i="19"/>
  <c r="H31" i="19"/>
  <c r="F33" i="19"/>
  <c r="J575" i="2"/>
  <c r="K577" i="2"/>
  <c r="L579" i="2"/>
  <c r="B30" i="19"/>
  <c r="H32" i="19"/>
  <c r="F34" i="19"/>
  <c r="J576" i="2"/>
  <c r="K578" i="2"/>
  <c r="M574" i="2"/>
  <c r="B31" i="19"/>
  <c r="H33" i="19"/>
  <c r="D29" i="19"/>
  <c r="J577" i="2"/>
  <c r="K579" i="2"/>
  <c r="M575" i="2"/>
  <c r="B32" i="19"/>
  <c r="H34" i="19"/>
  <c r="D30" i="19"/>
  <c r="J578" i="2"/>
  <c r="L574" i="2"/>
  <c r="M576" i="2"/>
  <c r="B33" i="19"/>
  <c r="F29" i="19"/>
  <c r="D31" i="19"/>
  <c r="J579" i="2"/>
  <c r="L575" i="2"/>
  <c r="M577" i="2"/>
  <c r="B34" i="19"/>
  <c r="F30" i="19"/>
  <c r="D32" i="19"/>
  <c r="K574" i="2"/>
  <c r="L576" i="2"/>
  <c r="M578" i="2"/>
  <c r="H29" i="19"/>
  <c r="F31" i="19"/>
  <c r="D33" i="19"/>
  <c r="K575" i="2"/>
  <c r="L577" i="2"/>
  <c r="M579" i="2"/>
  <c r="H30" i="19"/>
  <c r="F32" i="19"/>
  <c r="D4" i="19"/>
  <c r="F5" i="19"/>
  <c r="J572" i="2"/>
  <c r="H6" i="19"/>
  <c r="J571" i="2"/>
  <c r="F7" i="19"/>
  <c r="F4" i="19"/>
  <c r="B6" i="19"/>
  <c r="B5" i="19"/>
  <c r="D5" i="19"/>
  <c r="D6" i="19"/>
  <c r="D7" i="19"/>
  <c r="H7" i="19"/>
  <c r="H4" i="19"/>
  <c r="H5" i="19"/>
  <c r="G58" i="19"/>
  <c r="F6" i="19"/>
  <c r="I58" i="19"/>
  <c r="J570" i="2"/>
  <c r="B7" i="19"/>
  <c r="R569" i="2" l="1"/>
  <c r="P569" i="2"/>
  <c r="T569" i="2"/>
  <c r="S569" i="2"/>
  <c r="Q569" i="2"/>
  <c r="E80" i="19"/>
  <c r="E55" i="19"/>
  <c r="E79" i="19"/>
  <c r="E84" i="19"/>
  <c r="E83" i="19"/>
  <c r="E82" i="19"/>
  <c r="E57" i="19"/>
  <c r="E81" i="19"/>
  <c r="E56" i="19"/>
  <c r="C57" i="19"/>
  <c r="C82" i="19"/>
  <c r="C84" i="19"/>
  <c r="C56" i="19"/>
  <c r="C83" i="19"/>
  <c r="C55" i="19"/>
  <c r="C81" i="19"/>
  <c r="C80" i="19"/>
  <c r="C79" i="19"/>
  <c r="I84" i="19"/>
  <c r="I57" i="19"/>
  <c r="I83" i="19"/>
  <c r="I56" i="19"/>
  <c r="I82" i="19"/>
  <c r="I55" i="19"/>
  <c r="I81" i="19"/>
  <c r="I80" i="19"/>
  <c r="I79" i="19"/>
  <c r="G82" i="19"/>
  <c r="G81" i="19"/>
  <c r="G80" i="19"/>
  <c r="G79" i="19"/>
  <c r="G57" i="19"/>
  <c r="G56" i="19"/>
  <c r="G55" i="19"/>
  <c r="G84" i="19"/>
  <c r="G83" i="19"/>
  <c r="E34" i="19"/>
  <c r="E5" i="19"/>
  <c r="E29" i="19"/>
  <c r="E6" i="19"/>
  <c r="E7" i="19"/>
  <c r="E4" i="19"/>
  <c r="E30" i="19"/>
  <c r="E31" i="19"/>
  <c r="E32" i="19"/>
  <c r="E33" i="19"/>
  <c r="C30" i="19"/>
  <c r="C31" i="19"/>
  <c r="C32" i="19"/>
  <c r="C5" i="19"/>
  <c r="C33" i="19"/>
  <c r="C6" i="19"/>
  <c r="C34" i="19"/>
  <c r="C7" i="19"/>
  <c r="C29" i="19"/>
  <c r="C4" i="19"/>
  <c r="I30" i="19"/>
  <c r="I5" i="19"/>
  <c r="I31" i="19"/>
  <c r="I6" i="19"/>
  <c r="I32" i="19"/>
  <c r="I7" i="19"/>
  <c r="I33" i="19"/>
  <c r="I4" i="19"/>
  <c r="I34" i="19"/>
  <c r="I29" i="19"/>
  <c r="G32" i="19"/>
  <c r="G33" i="19"/>
  <c r="G34" i="19"/>
  <c r="G29" i="19"/>
  <c r="G5" i="19"/>
  <c r="G6" i="19"/>
  <c r="G30" i="19"/>
  <c r="G7" i="19"/>
  <c r="G31" i="19"/>
  <c r="G4" i="1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Beispieldatei" description="Verbindung mit der Abfrage 'Beispieldatei' in der Arbeitsmappe." type="5" refreshedVersion="0" background="1">
    <dbPr connection="Provider=Microsoft.Mashup.OleDb.1;Data Source=$Workbook$;Location=Beispieldatei;Extended Properties=&quot;&quot;" command="SELECT * FROM [Beispieldatei]"/>
  </connection>
  <connection id="2" xr16:uid="{00000000-0015-0000-FFFF-FFFF01000000}" keepAlive="1" name="Abfrage - Beispieldatei transformieren" description="Verbindung mit der Abfrage 'Beispieldatei transformieren' in der Arbeitsmappe." type="5" refreshedVersion="0" background="1">
    <dbPr connection="Provider=Microsoft.Mashup.OleDb.1;Data Source=$Workbook$;Location=&quot;Beispieldatei transformieren&quot;;Extended Properties=&quot;&quot;" command="SELECT * FROM [Beispieldatei transformieren]"/>
  </connection>
  <connection id="3" xr16:uid="{00000000-0015-0000-FFFF-FFFF02000000}" keepAlive="1" name="Abfrage - Datei transformieren" description="Verbindung mit der Abfrage 'Datei transformieren' in der Arbeitsmappe." type="5" refreshedVersion="0" background="1">
    <dbPr connection="Provider=Microsoft.Mashup.OleDb.1;Data Source=$Workbook$;Location=&quot;Datei transformieren&quot;;Extended Properties=&quot;&quot;" command="SELECT * FROM [Datei transformieren]"/>
  </connection>
  <connection id="4" xr16:uid="{79BC8F9B-30E8-4706-8477-0266ABE18E01}" keepAlive="1" name="Abfrage - Der_Bildschnitzer_von_Wuerzburg" description="Verbindung mit der Abfrage 'Der_Bildschnitzer_von_Wuerzburg' in der Arbeitsmappe." type="5" refreshedVersion="0" background="1">
    <dbPr connection="Provider=Microsoft.Mashup.OleDb.1;Data Source=$Workbook$;Location=Der_Bildschnitzer_von_Wuerzburg;Extended Properties=&quot;&quot;" command="SELECT * FROM [Der_Bildschnitzer_von_Wuerzburg]"/>
  </connection>
  <connection id="5" xr16:uid="{3C8BA38B-ABF5-4EEA-8E07-3987BCE347E4}" keepAlive="1" name="Abfrage - Fehler in Metrics" description="Verbindung mit der Abfrage 'Fehler in Metrics' in der Arbeitsmappe." type="5" refreshedVersion="0" background="1">
    <dbPr connection="Provider=Microsoft.Mashup.OleDb.1;Data Source=$Workbook$;Location=&quot;Fehler in Metrics&quot;;Extended Properties=&quot;&quot;" command="SELECT * FROM [Fehler in Metrics]"/>
  </connection>
  <connection id="6" xr16:uid="{00000000-0015-0000-FFFF-FFFF03000000}" keepAlive="1" name="Abfrage - Nodes" description="Verbindung mit der Abfrage 'Nodes' in der Arbeitsmappe." type="5" refreshedVersion="8" background="1" saveData="1">
    <dbPr connection="Provider=Microsoft.Mashup.OleDb.1;Data Source=$Workbook$;Location=Nodes;Extended Properties=&quot;&quot;" command="SELECT * FROM [Nodes]"/>
  </connection>
  <connection id="7" xr16:uid="{00000000-0015-0000-FFFF-FFFF04000000}" keepAlive="1" name="Abfrage - Parameter1" description="Verbindung mit der Abfrage 'Parameter1' in der Arbeitsmappe." type="5" refreshedVersion="0" background="1">
    <dbPr connection="Provider=Microsoft.Mashup.OleDb.1;Data Source=$Workbook$;Location=Parameter1;Extended Properties=&quot;&quot;" command="SELECT * FROM [Parameter1]"/>
  </connection>
  <connection id="8" xr16:uid="{1BF6D495-93DD-4FB9-B364-41B780C6171D}" keepAlive="1" name="Query - Adam_und_Eva_metrics" description="Connection to the 'Adam_und_Eva_metrics' query in the workbook." type="5" refreshedVersion="8" background="1" saveData="1">
    <dbPr connection="Provider=Microsoft.Mashup.OleDb.1;Data Source=$Workbook$;Location=Adam_und_Eva_metrics;Extended Properties=&quot;&quot;" command="SELECT * FROM [Adam_und_Eva_metrics]"/>
  </connection>
  <connection id="9" xr16:uid="{F4663D9E-087E-4876-9380-1CDB0823EDBB}" keepAlive="1" name="Query - Metrics" description="Connection to the 'Metrics' query in the workbook." type="5" refreshedVersion="8" background="1" saveData="1">
    <dbPr connection="Provider=Microsoft.Mashup.OleDb.1;Data Source=$Workbook$;Location=Metrics;Extended Properties=&quot;&quot;" command="SELECT * FROM [Metrics]"/>
  </connection>
  <connection id="10" xr16:uid="{87DAFD71-1491-434B-B2D3-8EEF3AA4103F}" keepAlive="1" name="Query - Parameter2" description="Connection to the 'Parameter2' query in the workbook." type="5" refreshedVersion="0" background="1">
    <dbPr connection="Provider=Microsoft.Mashup.OleDb.1;Data Source=$Workbook$;Location=Parameter2;Extended Properties=&quot;&quot;" command="SELECT * FROM [Parameter2]"/>
  </connection>
  <connection id="11" xr16:uid="{78EB643D-D678-4E7D-B1B2-4A4B8A1121BB}"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12" xr16:uid="{B3CA9004-8D27-44B1-B22D-56102102F805}"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13" xr16:uid="{3D53F27C-9F40-4353-94FE-10E6376C0A23}"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<sst xmlns="http://schemas.openxmlformats.org/spreadsheetml/2006/main" count="6189" uniqueCount="857">
  <si>
    <t>name,geschlecht,stand,alter,bezeichnung,rolle</t>
  </si>
  <si>
    <t>#Adam,maennlich,NA,mittel,ehemann,hauptfigur</t>
  </si>
  <si>
    <t>#Leser,NA,NA,NA,leser,leser</t>
  </si>
  <si>
    <t>#Erzaehler,NA,NA,NA,erzaehler,erzaehler</t>
  </si>
  <si>
    <t>#Eva,weiblich,NA,mittel,ehefrau,hauptfigur</t>
  </si>
  <si>
    <t>#Tiuvel,NA,NA,NA,teufel,nebenfigur</t>
  </si>
  <si>
    <t>#Got,NA,NA,NA,gott,nebenfigur</t>
  </si>
  <si>
    <t>#Kain,maennlich,NA,jung,sohn,nebenfigur</t>
  </si>
  <si>
    <t>#Michel,maennlich,NA,NA,engel,nebenfigur</t>
  </si>
  <si>
    <t>Source.Name</t>
  </si>
  <si>
    <t>Name</t>
  </si>
  <si>
    <t>Geschlecht</t>
  </si>
  <si>
    <t>Stand:Beruf</t>
  </si>
  <si>
    <t>Alter</t>
  </si>
  <si>
    <t>Bezeichnung</t>
  </si>
  <si>
    <t>Rolle</t>
  </si>
  <si>
    <t>Adam_und_Eva.csv</t>
  </si>
  <si>
    <t>#Adam</t>
  </si>
  <si>
    <t>maennlich</t>
  </si>
  <si>
    <t>NA</t>
  </si>
  <si>
    <t>mittel</t>
  </si>
  <si>
    <t>ehemann</t>
  </si>
  <si>
    <t>hauptfigur</t>
  </si>
  <si>
    <t>#Eva</t>
  </si>
  <si>
    <t>weiblich</t>
  </si>
  <si>
    <t>ehefrau</t>
  </si>
  <si>
    <t>nebenfigur</t>
  </si>
  <si>
    <t>#Kain</t>
  </si>
  <si>
    <t>jung</t>
  </si>
  <si>
    <t>Aristoteles_und_Phyllis.csv</t>
  </si>
  <si>
    <t>#Fillipus</t>
  </si>
  <si>
    <t>adel:koenig</t>
  </si>
  <si>
    <t>alt</t>
  </si>
  <si>
    <t>vater</t>
  </si>
  <si>
    <t>#Frau-Koenigin</t>
  </si>
  <si>
    <t>adel:koenigin</t>
  </si>
  <si>
    <t>mutter</t>
  </si>
  <si>
    <t>#Alexander</t>
  </si>
  <si>
    <t>adel:koenigssohn</t>
  </si>
  <si>
    <t>liebender</t>
  </si>
  <si>
    <t>#Aristoteles</t>
  </si>
  <si>
    <t>buergerlich:gelehrter</t>
  </si>
  <si>
    <t>#Fillis</t>
  </si>
  <si>
    <t>adel:hofstaat</t>
  </si>
  <si>
    <t>liebende</t>
  </si>
  <si>
    <t>#Der-Koeniginnen-Jungfrauen</t>
  </si>
  <si>
    <t>gruppe</t>
  </si>
  <si>
    <t>unbekannt</t>
  </si>
  <si>
    <t>Berchta_mit_der_langen_Nase.csv</t>
  </si>
  <si>
    <t>#Vater</t>
  </si>
  <si>
    <t>ehemann/betrogener</t>
  </si>
  <si>
    <t>#Gesinde</t>
  </si>
  <si>
    <t>#Kinde</t>
  </si>
  <si>
    <t>helfer</t>
  </si>
  <si>
    <t>#Muoter</t>
  </si>
  <si>
    <t>ehefrau/betrueger</t>
  </si>
  <si>
    <t>#Ritter</t>
  </si>
  <si>
    <t>adel:ritter</t>
  </si>
  <si>
    <t>#Frauwe</t>
  </si>
  <si>
    <t>#Zagel</t>
  </si>
  <si>
    <t>#Nunnen</t>
  </si>
  <si>
    <t>klerus:nonne</t>
  </si>
  <si>
    <t>#Eine-nunne4</t>
  </si>
  <si>
    <t>#Ein-nunne2</t>
  </si>
  <si>
    <t>#Ein-scharpfe-nunne</t>
  </si>
  <si>
    <t>#Ein-zarte-nunne</t>
  </si>
  <si>
    <t>#Ein-biederbe-nunne-frum</t>
  </si>
  <si>
    <t>#Die-den-segen-las-zu-tische</t>
  </si>
  <si>
    <t>#Ein-zarte-nunne-frische</t>
  </si>
  <si>
    <t>#Kuesterin</t>
  </si>
  <si>
    <t>klerus:kuesterin</t>
  </si>
  <si>
    <t>gegner</t>
  </si>
  <si>
    <t>#Eine-nunne1</t>
  </si>
  <si>
    <t>#Aptissinne</t>
  </si>
  <si>
    <t>#Eine-nunne5</t>
  </si>
  <si>
    <t>#Kovent</t>
  </si>
  <si>
    <t>#Eine-nunne3</t>
  </si>
  <si>
    <t>#Dirnen</t>
  </si>
  <si>
    <t>klerus:magd</t>
  </si>
  <si>
    <t>#Eine-nunne</t>
  </si>
  <si>
    <t>#Adelheit</t>
  </si>
  <si>
    <t>#Margreth</t>
  </si>
  <si>
    <t>#Ein-alte-nunne</t>
  </si>
  <si>
    <t>Das_Auge.csv</t>
  </si>
  <si>
    <t>#Herre</t>
  </si>
  <si>
    <t>#Wip</t>
  </si>
  <si>
    <t>adel:edelfrau</t>
  </si>
  <si>
    <t>gegenspieler</t>
  </si>
  <si>
    <t>#Knappe</t>
  </si>
  <si>
    <t>adel:knappe</t>
  </si>
  <si>
    <t>Das_Gaenselein.csv</t>
  </si>
  <si>
    <t>#Junger-muenche</t>
  </si>
  <si>
    <t>klerus:moench</t>
  </si>
  <si>
    <t>betrogener</t>
  </si>
  <si>
    <t>#Tohter-des-wirts</t>
  </si>
  <si>
    <t>buergerlich:tochter</t>
  </si>
  <si>
    <t>betrueger</t>
  </si>
  <si>
    <t>#Moenche-des-klosters</t>
  </si>
  <si>
    <t>#Apte</t>
  </si>
  <si>
    <t>klerus:abt</t>
  </si>
  <si>
    <t>#Wirt</t>
  </si>
  <si>
    <t>buergerlich:wirt</t>
  </si>
  <si>
    <t>#Wip-des-wirts</t>
  </si>
  <si>
    <t>#Ein-moench</t>
  </si>
  <si>
    <t>bote</t>
  </si>
  <si>
    <t>Das_Haeselein.csv</t>
  </si>
  <si>
    <t>#Maget</t>
  </si>
  <si>
    <t>#Junk-vroeuwelin</t>
  </si>
  <si>
    <t>buergerlich:unbekannt</t>
  </si>
  <si>
    <t>#Muoter-des-kints</t>
  </si>
  <si>
    <t>#Zukuenftiges-wip-des-ritters</t>
  </si>
  <si>
    <t>#Kappelan</t>
  </si>
  <si>
    <t>klerus:kaplan</t>
  </si>
  <si>
    <t>#Vriunde-des-ritters</t>
  </si>
  <si>
    <t>Das_heiße_Eisen.csv</t>
  </si>
  <si>
    <t>#Man</t>
  </si>
  <si>
    <t>Das_Herz.csv</t>
  </si>
  <si>
    <t>#Vrouwe</t>
  </si>
  <si>
    <t>#Kneht</t>
  </si>
  <si>
    <t>adel:knecht</t>
  </si>
  <si>
    <t>#Koch</t>
  </si>
  <si>
    <t>buergerlich:koch</t>
  </si>
  <si>
    <t>Das_Raedlein.csv</t>
  </si>
  <si>
    <t>#Burgaere</t>
  </si>
  <si>
    <t>buergerlich:ehefrau</t>
  </si>
  <si>
    <t>#Schribaerc</t>
  </si>
  <si>
    <t>buergerlich:schreiber</t>
  </si>
  <si>
    <t>liebender/betrueger</t>
  </si>
  <si>
    <t>#Meidin</t>
  </si>
  <si>
    <t>buergerlich:magd</t>
  </si>
  <si>
    <t>#Geste</t>
  </si>
  <si>
    <t>Das_Schneekind.csv</t>
  </si>
  <si>
    <t>#Koufman</t>
  </si>
  <si>
    <t>buergerlich:kaufmann</t>
  </si>
  <si>
    <t>#Schneekind</t>
  </si>
  <si>
    <t>buergerlich:NA</t>
  </si>
  <si>
    <t>kind</t>
  </si>
  <si>
    <t>#Knehte</t>
  </si>
  <si>
    <t>buergerlich:knecht</t>
  </si>
  <si>
    <t>#Fremder-koufman</t>
  </si>
  <si>
    <t>Das_Schraetel_und_der_Wasserbaer.csv</t>
  </si>
  <si>
    <t>#Schretel</t>
  </si>
  <si>
    <t>#Kuenige-von-Norwegen</t>
  </si>
  <si>
    <t>#Kuenige-von-Tenemarken</t>
  </si>
  <si>
    <t>#Wazzer-ber</t>
  </si>
  <si>
    <t>tier</t>
  </si>
  <si>
    <t>#Norman</t>
  </si>
  <si>
    <t>begleiter</t>
  </si>
  <si>
    <t>bauer</t>
  </si>
  <si>
    <t>#Kint</t>
  </si>
  <si>
    <t>#Armer-man</t>
  </si>
  <si>
    <t>Der_begrabene_Ehemann.csv</t>
  </si>
  <si>
    <t>#Pfaffe</t>
  </si>
  <si>
    <t>klerus:pfarrer</t>
  </si>
  <si>
    <t>Der_blossgestellte_Ritter.csv</t>
  </si>
  <si>
    <t>#Tohter</t>
  </si>
  <si>
    <t>Der_entlaufene_Hasenbraten.csv</t>
  </si>
  <si>
    <t>#Hus-vrouwe</t>
  </si>
  <si>
    <t>#Niftel</t>
  </si>
  <si>
    <t>#Muome</t>
  </si>
  <si>
    <t>#Base</t>
  </si>
  <si>
    <t>Der_Frauen_Trost.csv</t>
  </si>
  <si>
    <t>ehefrau/betrogener</t>
  </si>
  <si>
    <t>Der_Frauen_Turnei.csv</t>
  </si>
  <si>
    <t>#Rittergruppe</t>
  </si>
  <si>
    <t>#Houb-(e)-tman</t>
  </si>
  <si>
    <t>adel:hauptmann</t>
  </si>
  <si>
    <t>#Frauengruppe</t>
  </si>
  <si>
    <t>#Fremder-ritter</t>
  </si>
  <si>
    <t>#Eine-der-vrouwen-4</t>
  </si>
  <si>
    <t>#Eine-der-vrouwen-3</t>
  </si>
  <si>
    <t>#Eine-der-vrouwen-1</t>
  </si>
  <si>
    <t>#Ein-vrouwe-wol-gezogen</t>
  </si>
  <si>
    <t>#Eine-der-vrouwen-2</t>
  </si>
  <si>
    <t>#Junk-vrouwe</t>
  </si>
  <si>
    <t>#Vater-der-junk-vrouwe</t>
  </si>
  <si>
    <t>adel:unbekannt</t>
  </si>
  <si>
    <t>#Knechte-der-ritter</t>
  </si>
  <si>
    <t>#Einer-der-ritter-3</t>
  </si>
  <si>
    <t>#Einer-der-ritter-2</t>
  </si>
  <si>
    <t>#Einer-der-ritter</t>
  </si>
  <si>
    <t>#Herzoge-Walraben-von-Limburk</t>
  </si>
  <si>
    <t>adel:herzog</t>
  </si>
  <si>
    <t>#Knecht-des-herzogs</t>
  </si>
  <si>
    <t>#Richer-man</t>
  </si>
  <si>
    <t>bauer:knecht</t>
  </si>
  <si>
    <t>Der_Guertel.csv</t>
  </si>
  <si>
    <t>#Das-maere-selbst</t>
  </si>
  <si>
    <t>#Konrad</t>
  </si>
  <si>
    <t>#Wip/Heinrich</t>
  </si>
  <si>
    <t>#Magt-der-vrouwe</t>
  </si>
  <si>
    <t>adel:magd</t>
  </si>
  <si>
    <t>#Ein-knecht</t>
  </si>
  <si>
    <t>#Knechte-der-vrouwe</t>
  </si>
  <si>
    <t>#Knechte-von-heinrich</t>
  </si>
  <si>
    <t>#Herzoge</t>
  </si>
  <si>
    <t>#Knechte-des-herzogs</t>
  </si>
  <si>
    <t>#Ein-ritter</t>
  </si>
  <si>
    <t>#Ein-brite</t>
  </si>
  <si>
    <t>Der_junge_Ratgeber.csv</t>
  </si>
  <si>
    <t>#Kunic</t>
  </si>
  <si>
    <t>#Alter-ratgeben</t>
  </si>
  <si>
    <t>adel:ratgeber</t>
  </si>
  <si>
    <t>#Sun-(neuer-ratgeben)</t>
  </si>
  <si>
    <t>ratgeber</t>
  </si>
  <si>
    <t>#Bote</t>
  </si>
  <si>
    <t>#Besten-von-dem-lande</t>
  </si>
  <si>
    <t>#Nidaere</t>
  </si>
  <si>
    <t>Der_nackte_Bote.csv</t>
  </si>
  <si>
    <t>#Knehten</t>
  </si>
  <si>
    <t>Der_nackte_Koenig.csv</t>
  </si>
  <si>
    <t>#Kunik</t>
  </si>
  <si>
    <t>#Engel</t>
  </si>
  <si>
    <t>#Bader</t>
  </si>
  <si>
    <t>adel:bader</t>
  </si>
  <si>
    <t>#Bader-gesinde</t>
  </si>
  <si>
    <t>#Schenke</t>
  </si>
  <si>
    <t>#Portenaere</t>
  </si>
  <si>
    <t>buergerlich:torwart</t>
  </si>
  <si>
    <t>#Hove-gesinde</t>
  </si>
  <si>
    <t>#Kuenegin</t>
  </si>
  <si>
    <t>#Hove-riter</t>
  </si>
  <si>
    <t>Der_Nußberg.csv</t>
  </si>
  <si>
    <t>#Ritter-von-nuzberk</t>
  </si>
  <si>
    <t>#Kuenik</t>
  </si>
  <si>
    <t>#Kuenik-der-heiden</t>
  </si>
  <si>
    <t>Der_Pfaffe_im_Kaesekorb.csv</t>
  </si>
  <si>
    <t>#Pur</t>
  </si>
  <si>
    <t>bauer:meyer</t>
  </si>
  <si>
    <t>#Wib</t>
  </si>
  <si>
    <t>bauer:ehefrau</t>
  </si>
  <si>
    <t>Der_Raubritter_und_sein_Kaemmerer.csv</t>
  </si>
  <si>
    <t>#Muench</t>
  </si>
  <si>
    <t>#Kamerer</t>
  </si>
  <si>
    <t>adel:kaemmerer</t>
  </si>
  <si>
    <t>Der_Reiher.csv</t>
  </si>
  <si>
    <t>#Meit</t>
  </si>
  <si>
    <t>#Gewatern</t>
  </si>
  <si>
    <t>Der_Richter_und_der_Teufel.csv</t>
  </si>
  <si>
    <t>#Rihter</t>
  </si>
  <si>
    <t>buergerlich:richter</t>
  </si>
  <si>
    <t>#Wip-1</t>
  </si>
  <si>
    <t>#Wip-2</t>
  </si>
  <si>
    <t>#Wip-3</t>
  </si>
  <si>
    <t>#Witwe</t>
  </si>
  <si>
    <t>Der_Ritter_und_die_Nuesse.csv</t>
  </si>
  <si>
    <t>#Buoler</t>
  </si>
  <si>
    <t>Der_Ritter_unterm_Zuber.csv</t>
  </si>
  <si>
    <t>#Brueder-dri-des-ritters</t>
  </si>
  <si>
    <t>#Einer-der-bruider</t>
  </si>
  <si>
    <t>#Brot-bekkerin</t>
  </si>
  <si>
    <t>buergerlich:baecker</t>
  </si>
  <si>
    <t>#Megede-der-bekkerin</t>
  </si>
  <si>
    <t>Der_Schueler_zu_Paris.csv</t>
  </si>
  <si>
    <t>buergerlich:buerger</t>
  </si>
  <si>
    <t>#Junc-vrouwe</t>
  </si>
  <si>
    <t>#Schuoler</t>
  </si>
  <si>
    <t>buergerlich:schueler</t>
  </si>
  <si>
    <t>#Vater-der-vrouwe</t>
  </si>
  <si>
    <t>#Megede-dri</t>
  </si>
  <si>
    <t>#Kellaerin</t>
  </si>
  <si>
    <t>#Barvuoz</t>
  </si>
  <si>
    <t>klerus:priester</t>
  </si>
  <si>
    <t>#Knecht-des-schuelers</t>
  </si>
  <si>
    <t>#Wirt-des-schuelers</t>
  </si>
  <si>
    <t>#Vriund-des-vaters</t>
  </si>
  <si>
    <t>Der_schwangere_Moench.csv</t>
  </si>
  <si>
    <t>#Apt</t>
  </si>
  <si>
    <t>#Kneht[e-]</t>
  </si>
  <si>
    <t>unbekannt:knecht</t>
  </si>
  <si>
    <t>#Man-der-vrouwe</t>
  </si>
  <si>
    <t>#Muenche</t>
  </si>
  <si>
    <t>#Hof-man</t>
  </si>
  <si>
    <t>#Witwen-sun</t>
  </si>
  <si>
    <t>#Alter-muench</t>
  </si>
  <si>
    <t>Der_verkehrte_Wirt.csv</t>
  </si>
  <si>
    <t>#Gevaterin</t>
  </si>
  <si>
    <t>Der_wahrsagende_Baum.csv</t>
  </si>
  <si>
    <t>Der_weiße_Rosendorn.csv</t>
  </si>
  <si>
    <t>#Junk-vrouw</t>
  </si>
  <si>
    <t>#Vut</t>
  </si>
  <si>
    <t>Der_Weltheilige.csv</t>
  </si>
  <si>
    <t>#Luoderaere</t>
  </si>
  <si>
    <t>#Vriunden</t>
  </si>
  <si>
    <t>#Knecht-von-wip-1</t>
  </si>
  <si>
    <t>Der_Welt_Lohn.csv</t>
  </si>
  <si>
    <t>#Her-Wirent-da-von-Gravenberk</t>
  </si>
  <si>
    <t>#Werlt</t>
  </si>
  <si>
    <t>Der_Wiener_Meerfahrt.csv</t>
  </si>
  <si>
    <t>#Einer</t>
  </si>
  <si>
    <t>#Ein-ander</t>
  </si>
  <si>
    <t>#Schribaere</t>
  </si>
  <si>
    <t>#Ein-burger</t>
  </si>
  <si>
    <t>#Einer-2</t>
  </si>
  <si>
    <t>#Dri-buerger</t>
  </si>
  <si>
    <t>#Richer-burger</t>
  </si>
  <si>
    <t>#Dritte</t>
  </si>
  <si>
    <t>#Vierde</t>
  </si>
  <si>
    <t>#Vijnfte</t>
  </si>
  <si>
    <t>#Nuechterne</t>
  </si>
  <si>
    <t>#Vriunde-des-richen</t>
  </si>
  <si>
    <t>Des_Bruders_Felix_Verzueckung.csv</t>
  </si>
  <si>
    <t>#Felix</t>
  </si>
  <si>
    <t>#Pfortenaere</t>
  </si>
  <si>
    <t>klerus:pfortner</t>
  </si>
  <si>
    <t>#Eldisten</t>
  </si>
  <si>
    <t>Die_alte_Mutter_und_Kaiser_Friedrich.csv</t>
  </si>
  <si>
    <t>#Keiser-Vridrich</t>
  </si>
  <si>
    <t>adel:kaiser</t>
  </si>
  <si>
    <t>#Liute</t>
  </si>
  <si>
    <t>#Man-der-muoter</t>
  </si>
  <si>
    <t>tot</t>
  </si>
  <si>
    <t>#Sun</t>
  </si>
  <si>
    <t>#Ein-ritter-2</t>
  </si>
  <si>
    <t>#Schar-des-suns</t>
  </si>
  <si>
    <t>Die_Beichte.csv</t>
  </si>
  <si>
    <t>ehefrau/betrueger/betrogener</t>
  </si>
  <si>
    <t>Die_drei_Moenche_von_Kolmar.csv</t>
  </si>
  <si>
    <t>ehemann/betrueger</t>
  </si>
  <si>
    <t>#Bruoder-TetiÃ </t>
  </si>
  <si>
    <t>#Augustiner-muench</t>
  </si>
  <si>
    <t>#Ein-bruoder</t>
  </si>
  <si>
    <t>Die_drei_Wuensche.csv</t>
  </si>
  <si>
    <t>#Wibe</t>
  </si>
  <si>
    <t>ehefrau/gegenspieler</t>
  </si>
  <si>
    <t>#Vriund-der-vrouwe</t>
  </si>
  <si>
    <t>Die_eingemauerte_Frau.csv</t>
  </si>
  <si>
    <t>#Ein-Wip</t>
  </si>
  <si>
    <t>#Ire-mage</t>
  </si>
  <si>
    <t>#Ire-vriunden</t>
  </si>
  <si>
    <t>#Ein-friunt</t>
  </si>
  <si>
    <t>#Sumliche</t>
  </si>
  <si>
    <t>Die_halbe_Birn.csv</t>
  </si>
  <si>
    <t>#Kuenig</t>
  </si>
  <si>
    <t>#Koenigin</t>
  </si>
  <si>
    <t>#Tohter-des-kuniks</t>
  </si>
  <si>
    <t>adel:koenigstochter</t>
  </si>
  <si>
    <t>#Vuersten</t>
  </si>
  <si>
    <t>adel:fuerst</t>
  </si>
  <si>
    <t>#Ritter-Arnolt</t>
  </si>
  <si>
    <t>betrogener/betrueger</t>
  </si>
  <si>
    <t>#Heinrich-der-kneht</t>
  </si>
  <si>
    <t>#junk-vrouwen-der-tohter</t>
  </si>
  <si>
    <t>#Eine-vrouwe</t>
  </si>
  <si>
    <t>#Eine-kamerruze</t>
  </si>
  <si>
    <t>adel:kammerzofe</t>
  </si>
  <si>
    <t>#Zwei-vroeuwelin</t>
  </si>
  <si>
    <t>#Kamer-wip-Irmegart</t>
  </si>
  <si>
    <t>Die_halbe_Decke.csv</t>
  </si>
  <si>
    <t>#Burgaer</t>
  </si>
  <si>
    <t>#Wip-des-alten</t>
  </si>
  <si>
    <t>#Sun-des-buergers</t>
  </si>
  <si>
    <t>#Kindelin</t>
  </si>
  <si>
    <t>#Vrouwe-des-jungen</t>
  </si>
  <si>
    <t>#Kneh?</t>
  </si>
  <si>
    <t>Die_Heidin.csv</t>
  </si>
  <si>
    <t>#Koenig-der-heiden</t>
  </si>
  <si>
    <t>adel:graf</t>
  </si>
  <si>
    <t>#Ritter-des-graven</t>
  </si>
  <si>
    <t>#Knehte-des-graven</t>
  </si>
  <si>
    <t>#Ratman</t>
  </si>
  <si>
    <t>adel:berater</t>
  </si>
  <si>
    <t>buergerlich:bote</t>
  </si>
  <si>
    <t>#Herren-von-den-vesten</t>
  </si>
  <si>
    <t>#Ein-bote-2</t>
  </si>
  <si>
    <t>#Heren-des-heiden</t>
  </si>
  <si>
    <t>#Ritter-Ringelolt</t>
  </si>
  <si>
    <t>#Helde-dri</t>
  </si>
  <si>
    <t>#Ritter-Wolfart</t>
  </si>
  <si>
    <t>#Ritter-Tituban</t>
  </si>
  <si>
    <t>#Ritter-Kuonrich</t>
  </si>
  <si>
    <t>#Genoz-des-Ringlelolt</t>
  </si>
  <si>
    <t>#Vierter-ritter</t>
  </si>
  <si>
    <t>#Fuenfter-ritter</t>
  </si>
  <si>
    <t>#Sehster-ritter</t>
  </si>
  <si>
    <t>#Sibender-ritter</t>
  </si>
  <si>
    <t>#Ahter-ritter</t>
  </si>
  <si>
    <t>#Niunder-ritter</t>
  </si>
  <si>
    <t>#Die-heidenschaft</t>
  </si>
  <si>
    <t>#Ein-bote-3</t>
  </si>
  <si>
    <t>Die_Koenigin_von_Frankreich_und_der_ungetreue_Marschall.csv</t>
  </si>
  <si>
    <t>#Kuenik-von-Frankreich</t>
  </si>
  <si>
    <t>#Koenigin-von-Frankreich</t>
  </si>
  <si>
    <t>#Marschal</t>
  </si>
  <si>
    <t>adel:marschall</t>
  </si>
  <si>
    <t>#Twerig</t>
  </si>
  <si>
    <t>maennlich/zwerg</t>
  </si>
  <si>
    <t>#Herzoge-Liupolt</t>
  </si>
  <si>
    <t>#Koler</t>
  </si>
  <si>
    <t>buergerlich:koler</t>
  </si>
  <si>
    <t>#Hunt</t>
  </si>
  <si>
    <t>#Alter-ritter</t>
  </si>
  <si>
    <t>#Henker</t>
  </si>
  <si>
    <t>buergerlich:henker</t>
  </si>
  <si>
    <t>#Kramerin</t>
  </si>
  <si>
    <t>buergerlich:kraemer</t>
  </si>
  <si>
    <t>#Herren</t>
  </si>
  <si>
    <t>Die_Meierin_mit_der_Geiß.csv</t>
  </si>
  <si>
    <t>#Meir</t>
  </si>
  <si>
    <t>#Swester-des-mannes</t>
  </si>
  <si>
    <t>#Werberin</t>
  </si>
  <si>
    <t>bauer:weber</t>
  </si>
  <si>
    <t>#Schuoler-des-ritters</t>
  </si>
  <si>
    <t>adel:schueler</t>
  </si>
  <si>
    <t>#Kneht-des-ritter</t>
  </si>
  <si>
    <t>Die_Nachtigall.csv</t>
  </si>
  <si>
    <t>#Vater-des-jungen</t>
  </si>
  <si>
    <t>#Muoter-der-vrouwe</t>
  </si>
  <si>
    <t>Die_Teufelsacht.csv</t>
  </si>
  <si>
    <t>#Swester-des-mans</t>
  </si>
  <si>
    <t>#Knehte-und-man</t>
  </si>
  <si>
    <t>#Vrouwen</t>
  </si>
  <si>
    <t>Edelmann_und_Pferdehaendler.csv</t>
  </si>
  <si>
    <t>#Rosteuscher</t>
  </si>
  <si>
    <t>buergerlich:pferdehaendler</t>
  </si>
  <si>
    <t>#Sine-magen</t>
  </si>
  <si>
    <t>#Einer-der-magen</t>
  </si>
  <si>
    <t>Ehefrau_und_Buhlerin.csv</t>
  </si>
  <si>
    <t>ehemann/betrueger/betrogener</t>
  </si>
  <si>
    <t>#Buhlerin-1</t>
  </si>
  <si>
    <t>#Buhlerin-2</t>
  </si>
  <si>
    <t>#Ander-man</t>
  </si>
  <si>
    <t>#Ein-anderer-man</t>
  </si>
  <si>
    <t>#Ein-man</t>
  </si>
  <si>
    <t>#Burger</t>
  </si>
  <si>
    <t>#Zwo-voruwen</t>
  </si>
  <si>
    <t>Ehestand_Tod_und_Hochzeit.csv</t>
  </si>
  <si>
    <t>#Gevater</t>
  </si>
  <si>
    <t>#Knehte-des-pfarrers</t>
  </si>
  <si>
    <t>#Vriunde-des-mans</t>
  </si>
  <si>
    <t>#Lant-liute</t>
  </si>
  <si>
    <t>Ehe_im_Leben_und_Tode.csv</t>
  </si>
  <si>
    <t>#Gevatern</t>
  </si>
  <si>
    <t>#Ihre-magen</t>
  </si>
  <si>
    <t>unbekannt:magd</t>
  </si>
  <si>
    <t>#Seine-magen</t>
  </si>
  <si>
    <t>Ein_boeses_Weib_scheidet_eine_Ehe.csv</t>
  </si>
  <si>
    <t>#Gesellen</t>
  </si>
  <si>
    <t>#Frowen</t>
  </si>
  <si>
    <t>Frauenbestaendigkeit.csv</t>
  </si>
  <si>
    <t>#Kneht-Henselin</t>
  </si>
  <si>
    <t>#JÃºnk-vrouwen</t>
  </si>
  <si>
    <t>#Kamer-wip</t>
  </si>
  <si>
    <t>#Arzt</t>
  </si>
  <si>
    <t>buergerlich:arzt</t>
  </si>
  <si>
    <t>Frauenlist.csv</t>
  </si>
  <si>
    <t>#Schuolaer</t>
  </si>
  <si>
    <t>#Dirne</t>
  </si>
  <si>
    <t>#E-man</t>
  </si>
  <si>
    <t>Frauentreue.csv</t>
  </si>
  <si>
    <t>#Buerger</t>
  </si>
  <si>
    <t>#Ein-tumber</t>
  </si>
  <si>
    <t>#Magd-der-vrouwe</t>
  </si>
  <si>
    <t>#Ritters-knehte</t>
  </si>
  <si>
    <t>Frauenzucht.csv</t>
  </si>
  <si>
    <t>#Sin-vriunt</t>
  </si>
  <si>
    <t>#Zwen-knehte</t>
  </si>
  <si>
    <t>Heinrich_von_Kempten_und_des_Kaisers_Bart.csv</t>
  </si>
  <si>
    <t>#Keiser-Otte</t>
  </si>
  <si>
    <t>#Junk-herre-von-Heinrich</t>
  </si>
  <si>
    <t>#Truhsaeze</t>
  </si>
  <si>
    <t>#Heinrich-von-Kempten</t>
  </si>
  <si>
    <t>#Herr-von-Heinrich</t>
  </si>
  <si>
    <t>#Keiser-maere</t>
  </si>
  <si>
    <t>Hero_und_Leander.csv</t>
  </si>
  <si>
    <t>#Leander</t>
  </si>
  <si>
    <t>#Vater-Leanders</t>
  </si>
  <si>
    <t>#Muoter-Leanders</t>
  </si>
  <si>
    <t>#Hero</t>
  </si>
  <si>
    <t>#Vater-Heros</t>
  </si>
  <si>
    <t>#Muoter-Heros</t>
  </si>
  <si>
    <t>#Amme-Heros</t>
  </si>
  <si>
    <t>adel:amme</t>
  </si>
  <si>
    <t>#Vischer</t>
  </si>
  <si>
    <t>buergerlich:fischer</t>
  </si>
  <si>
    <t>Herr_Friedrich_von_Auchenfurt.csv</t>
  </si>
  <si>
    <t>#Keiser</t>
  </si>
  <si>
    <t>#Ouchenvurt-ber-Vrid(e)rich</t>
  </si>
  <si>
    <t>#Graevin</t>
  </si>
  <si>
    <t>adel:graefin</t>
  </si>
  <si>
    <t>#Grave</t>
  </si>
  <si>
    <t>#Junk-vrouwen-der-graefin</t>
  </si>
  <si>
    <t>Irregang_und_Girregar.csv</t>
  </si>
  <si>
    <t>#Geselle-1</t>
  </si>
  <si>
    <t>#Geselle-2</t>
  </si>
  <si>
    <t>tochter/betrueger</t>
  </si>
  <si>
    <t>#Wirtin</t>
  </si>
  <si>
    <t>Martinsfest.csv</t>
  </si>
  <si>
    <t>#Diebe</t>
  </si>
  <si>
    <t>#Dieb</t>
  </si>
  <si>
    <t>#KnÃ©hte</t>
  </si>
  <si>
    <t>Minnedurst.csv</t>
  </si>
  <si>
    <t>#Knabe</t>
  </si>
  <si>
    <t>#Meier</t>
  </si>
  <si>
    <t>buergerlich:meyer</t>
  </si>
  <si>
    <t>Rittertreue.csv</t>
  </si>
  <si>
    <t>#Grave-Willekin</t>
  </si>
  <si>
    <t>#Vater-Willekins</t>
  </si>
  <si>
    <t>#Rat-geben-der-vrouwe</t>
  </si>
  <si>
    <t>#Kneht(e-)-der-vrouwe</t>
  </si>
  <si>
    <t>#Garzuon</t>
  </si>
  <si>
    <t>buergerlich:garzuon</t>
  </si>
  <si>
    <t>#Willekins-kneht</t>
  </si>
  <si>
    <t>#Muoter-Willekins</t>
  </si>
  <si>
    <t>#Richer-manne-dri</t>
  </si>
  <si>
    <t>#Ritter-Willekins</t>
  </si>
  <si>
    <t>Scheidung_und_Suehne.csv</t>
  </si>
  <si>
    <t>Thomas_von_Kandelberg.csv</t>
  </si>
  <si>
    <t>#Schuolaere</t>
  </si>
  <si>
    <t>#Ein-jungelink</t>
  </si>
  <si>
    <t>#Sante-Tomas-von-Kandelberk</t>
  </si>
  <si>
    <t>#Bischof</t>
  </si>
  <si>
    <t>klerus:bischof</t>
  </si>
  <si>
    <t>#Babest</t>
  </si>
  <si>
    <t>klerus:papst</t>
  </si>
  <si>
    <t>Turandot.csv</t>
  </si>
  <si>
    <t>#Dorf-man</t>
  </si>
  <si>
    <t>#Konni</t>
  </si>
  <si>
    <t>#Junk-her</t>
  </si>
  <si>
    <t>adel:edelmann</t>
  </si>
  <si>
    <t>#Dri-stolzen-rittern</t>
  </si>
  <si>
    <t>Unser_Frauen_Ritter_und_die_Jungfrau.csv</t>
  </si>
  <si>
    <t>Von_der_ueblen_Adelheit_und_irem_Man.csv</t>
  </si>
  <si>
    <t>#Der-guot-Markhart</t>
  </si>
  <si>
    <t>#Diu-uebel-Adelheit</t>
  </si>
  <si>
    <t>#Ein-her</t>
  </si>
  <si>
    <t>Weiberlist.csv</t>
  </si>
  <si>
    <t>#Buhler</t>
  </si>
  <si>
    <t>#Nah-gebueren</t>
  </si>
  <si>
    <t>#Vuegerinne</t>
  </si>
  <si>
    <t>buergerlich:kupplerin</t>
  </si>
  <si>
    <t>Zwei_Kaufmaenner_und_die_treue_Hausfrau.csv</t>
  </si>
  <si>
    <t>#Gillam</t>
  </si>
  <si>
    <t>#Gillot</t>
  </si>
  <si>
    <t>#Bertram</t>
  </si>
  <si>
    <t>#Irmengart</t>
  </si>
  <si>
    <t>#Gillots-frau</t>
  </si>
  <si>
    <t>#Hogier</t>
  </si>
  <si>
    <t>#Erster</t>
  </si>
  <si>
    <t>#Zweiter</t>
  </si>
  <si>
    <t>#Dritter</t>
  </si>
  <si>
    <t>#Vriunde</t>
  </si>
  <si>
    <t>buergerlich:gesinde</t>
  </si>
  <si>
    <t>#Dirn-Amelin</t>
  </si>
  <si>
    <t>#Muomen-von-Irmegart</t>
  </si>
  <si>
    <t>buergerlich:mume</t>
  </si>
  <si>
    <t>#Gillams-vrouwe</t>
  </si>
  <si>
    <t>Anzahl von Geschlecht</t>
  </si>
  <si>
    <t>Anzahl von Alter</t>
  </si>
  <si>
    <t>Anzahl von Rolle</t>
  </si>
  <si>
    <t>Stand</t>
  </si>
  <si>
    <t>adel</t>
  </si>
  <si>
    <t>Anzahl von Stand</t>
  </si>
  <si>
    <t>Konstellation</t>
  </si>
  <si>
    <t>Das_warme_Almosen.csv</t>
  </si>
  <si>
    <t>buergerlich:maler</t>
  </si>
  <si>
    <t>#Weib</t>
  </si>
  <si>
    <t>#Probst</t>
  </si>
  <si>
    <t>klerus:probst</t>
  </si>
  <si>
    <t>Alten_Weibes_List.csv</t>
  </si>
  <si>
    <t>#Morolf</t>
  </si>
  <si>
    <t>#Frau-Mez-die-Kouflerin</t>
  </si>
  <si>
    <t>klerus:chor</t>
  </si>
  <si>
    <t>#Heinrich</t>
  </si>
  <si>
    <t>klerus:domprobst</t>
  </si>
  <si>
    <t>klerus:schreiber</t>
  </si>
  <si>
    <t>Das_Nonnentunier.csv</t>
  </si>
  <si>
    <t>Der_Bildschnitzer_von_Wuerzburg.csv</t>
  </si>
  <si>
    <t>Der_falsche_Blinde.csv</t>
  </si>
  <si>
    <t>#Kinder</t>
  </si>
  <si>
    <t>#Wiben</t>
  </si>
  <si>
    <t>Der_kluge_Knecht.csv</t>
  </si>
  <si>
    <t>#Pfarraere</t>
  </si>
  <si>
    <t>Der_Schlaegel.csv</t>
  </si>
  <si>
    <t>#Zweite-tochter</t>
  </si>
  <si>
    <t>#Erste-tochter</t>
  </si>
  <si>
    <t>#Erster-sun</t>
  </si>
  <si>
    <t>#Zweiter-sun</t>
  </si>
  <si>
    <t>#Dritter-sun</t>
  </si>
  <si>
    <t>#Wip-des-koufmans</t>
  </si>
  <si>
    <t>#Wip-des-zweiten</t>
  </si>
  <si>
    <t>#Wip-des-ersten</t>
  </si>
  <si>
    <t>#Wip-des-dritten</t>
  </si>
  <si>
    <t>#Torwertel</t>
  </si>
  <si>
    <t>buergerlich:torwaechter</t>
  </si>
  <si>
    <t>#Kneht-des-ersten</t>
  </si>
  <si>
    <t>#Knecht-des-zweiten</t>
  </si>
  <si>
    <t>#Magd-des-dritten</t>
  </si>
  <si>
    <t>Der_Sperber.csv</t>
  </si>
  <si>
    <t>#Nonnen</t>
  </si>
  <si>
    <t>#Schuole-meisterin</t>
  </si>
  <si>
    <t>Der_unbelehrbare_Zecher.csv</t>
  </si>
  <si>
    <t>#Wines-slunt</t>
  </si>
  <si>
    <t>#Freunt</t>
  </si>
  <si>
    <t>#Kuenegin-Demuot</t>
  </si>
  <si>
    <t>#Grave-Alpharius</t>
  </si>
  <si>
    <t>#Ein-bote-1</t>
  </si>
  <si>
    <t>Die_Katze_als_Nonne.csv</t>
  </si>
  <si>
    <t>#Katz</t>
  </si>
  <si>
    <t>#Ein-muÃŸ</t>
  </si>
  <si>
    <t>buergerlich:burger</t>
  </si>
  <si>
    <t>#Ein-Jude</t>
  </si>
  <si>
    <t>#Kor-herren-viere</t>
  </si>
  <si>
    <t>#Einer-krame</t>
  </si>
  <si>
    <t>#Dienst-magt</t>
  </si>
  <si>
    <t>#Schreiber</t>
  </si>
  <si>
    <t>#Der-vrouwen-eman</t>
  </si>
  <si>
    <t>#Triegaere</t>
  </si>
  <si>
    <t>#Hou(b)-est-dienst-man</t>
  </si>
  <si>
    <t xml:space="preserve">NA </t>
  </si>
  <si>
    <t>Spalte1</t>
  </si>
  <si>
    <t>Spalte2</t>
  </si>
  <si>
    <t>bauer:narr</t>
  </si>
  <si>
    <t>Column1</t>
  </si>
  <si>
    <t>name</t>
  </si>
  <si>
    <t>degree_centrality</t>
  </si>
  <si>
    <t>df_bet$betweenness_centrality</t>
  </si>
  <si>
    <t>df_close$closeness_centrality</t>
  </si>
  <si>
    <t>df_eigenv$eigenvector_centrality</t>
  </si>
  <si>
    <t>Adam_und_Eva_metrics.csv</t>
  </si>
  <si>
    <t>Alten_Weibes_List_metrics.csv</t>
  </si>
  <si>
    <t>Aristoteles_und_Phyllis_metrics.csv</t>
  </si>
  <si>
    <t>Berchta_mit_der_langen_Nase_metrics.csv</t>
  </si>
  <si>
    <t>Das_Auge_metrics.csv</t>
  </si>
  <si>
    <t>Das_Gaenselein_metrics.csv</t>
  </si>
  <si>
    <t>Das_Haeselein_metrics.csv</t>
  </si>
  <si>
    <t>Das_heiße_Eisen_metrics.csv</t>
  </si>
  <si>
    <t>Das_Herz_metrics.csv</t>
  </si>
  <si>
    <t>Das_Nonnentunier_metrics.csv</t>
  </si>
  <si>
    <t>Das_Raedlein_metrics.csv</t>
  </si>
  <si>
    <t>Das_Schneekind_metrics.csv</t>
  </si>
  <si>
    <t>Das_Schraetel_und_der_Wasserbaer_metrics.csv</t>
  </si>
  <si>
    <t>Das_warme_Almosen_metrics.csv</t>
  </si>
  <si>
    <t>Der_begrabene_Ehemann_metrics.csv</t>
  </si>
  <si>
    <t>Der_Bildschnitzer_von_Wuerzburg_metrics.csv</t>
  </si>
  <si>
    <t>Der_blossgestellte_Ritter_metrics.csv</t>
  </si>
  <si>
    <t>Der_entlaufene_Hasenbraten_metrics.csv</t>
  </si>
  <si>
    <t>Der_falsche_Blinde_metrics.csv</t>
  </si>
  <si>
    <t>Der_Frauen_Trost_metrics.csv</t>
  </si>
  <si>
    <t>Der_Frauen_Turnei_metrics.csv</t>
  </si>
  <si>
    <t>Der_geaeffte_Pfaffe_metrics.csv</t>
  </si>
  <si>
    <t>Der_Guertel_metrics.csv</t>
  </si>
  <si>
    <t>Der_junge_Ratgeber_metrics.csv</t>
  </si>
  <si>
    <t>Der_kluge_Knecht_metrics.csv</t>
  </si>
  <si>
    <t>Der_nackte_Bote_metrics.csv</t>
  </si>
  <si>
    <t>Der_nackte_Koenig_metrics.csv</t>
  </si>
  <si>
    <t>Der_Nußberg_metrics.csv</t>
  </si>
  <si>
    <t>Der_Pfaffe_im_Kaesekorb_metrics.csv</t>
  </si>
  <si>
    <t>Der_Raubritter_und_sein_Kaemmerer_metrics.csv</t>
  </si>
  <si>
    <t>Der_Reiher_metrics.csv</t>
  </si>
  <si>
    <t>Der_Richter_und_der_Teufel_metrics.csv</t>
  </si>
  <si>
    <t>Der_Ritter_und_die_Nuesse_metrics.csv</t>
  </si>
  <si>
    <t>Der_Ritter_unterm_Zuber_metrics.csv</t>
  </si>
  <si>
    <t>Der_Schlaegel_metrics.csv</t>
  </si>
  <si>
    <t>Der_Schueler_zu_Paris_metrics.csv</t>
  </si>
  <si>
    <t>Der_schwangere_Moench_metrics.csv</t>
  </si>
  <si>
    <t>Der_Sperber_metrics.csv</t>
  </si>
  <si>
    <t>Der_unbelehrbare_Zecher_metrics.csv</t>
  </si>
  <si>
    <t>Der_verkehrte_Wirt_metrics.csv</t>
  </si>
  <si>
    <t>Der_wahrsagende_Baum_metrics.csv</t>
  </si>
  <si>
    <t>Der_weiße_Rosendorn_metrics.csv</t>
  </si>
  <si>
    <t>Der_Weltheilige_metrics.csv</t>
  </si>
  <si>
    <t>Der_Welt_Lohn_metrics.csv</t>
  </si>
  <si>
    <t>Der_Wiener_Meerfahrt_metrics.csv</t>
  </si>
  <si>
    <t>Des_Bruders_Felix_Verzueckung_metrics.csv</t>
  </si>
  <si>
    <t>Die_alte_Mutter_und_Kaiser_Friedrich_metrics.csv</t>
  </si>
  <si>
    <t>Die_Beichte_metrics.csv</t>
  </si>
  <si>
    <t>Die_drei_Moenche_von_Kolmar_metrics.csv</t>
  </si>
  <si>
    <t>Die_drei_Wuensche_metrics.csv</t>
  </si>
  <si>
    <t>Die_eingemauerte_Frau_metrics.csv</t>
  </si>
  <si>
    <t>Die_halbe_Birn_metrics.csv</t>
  </si>
  <si>
    <t>Die_halbe_Decke_metrics.csv</t>
  </si>
  <si>
    <t>Die_Heidin_metrics.csv</t>
  </si>
  <si>
    <t>Die_Katze_als_Nonne_metrics.csv</t>
  </si>
  <si>
    <t>Die_Koenigin_von_Frankreich_und_der_ungetreue_Marschall_metrics.csv</t>
  </si>
  <si>
    <t>Die_Meierin_mit_der_Geiß_metrics.csv</t>
  </si>
  <si>
    <t>Die_Nachtigall_metrics.csv</t>
  </si>
  <si>
    <t>Die_Teufelsacht_metrics.csv</t>
  </si>
  <si>
    <t>Edelmann_und_Pferdehaendler_metrics.csv</t>
  </si>
  <si>
    <t>Ehefrau_und_Buhlerin_metrics.csv</t>
  </si>
  <si>
    <t>Ehestand_Tod_und_Hochzeit_metrics.csv</t>
  </si>
  <si>
    <t>Ehe_im_Leben_und_Tode_metrics.csv</t>
  </si>
  <si>
    <t>Ein_boeses_Weib_scheidet_eine_Ehe_metrics.csv</t>
  </si>
  <si>
    <t>Frauenbestaendigkeit_metrics.csv</t>
  </si>
  <si>
    <t>Frauenlist_metrics.csv</t>
  </si>
  <si>
    <t>Frauentreue_metrics.csv</t>
  </si>
  <si>
    <t>Frauenzucht_metrics.csv</t>
  </si>
  <si>
    <t>Heinrich_von_Kempten_und_des_Kaisers_Bart_metrics.csv</t>
  </si>
  <si>
    <t>Hero_und_Leander_metrics.csv</t>
  </si>
  <si>
    <t>Herr_Friedrich_von_Auchenfurt_metrics.csv</t>
  </si>
  <si>
    <t>Irregang_und_Girregar_metrics.csv</t>
  </si>
  <si>
    <t>Martinsfest_metrics.csv</t>
  </si>
  <si>
    <t>Minnedurst_metrics.csv</t>
  </si>
  <si>
    <t>Rittertreue_metrics.csv</t>
  </si>
  <si>
    <t>Scheidung_und_Suehne_metrics.csv</t>
  </si>
  <si>
    <t>Thomas_von_Kandelberg_metrics.csv</t>
  </si>
  <si>
    <t>Turandot_metrics.csv</t>
  </si>
  <si>
    <t>Unser_Frauen_Ritter_und_die_Jungfrau_metrics.csv</t>
  </si>
  <si>
    <t>Von_der_ueblen_Adelheit_und_irem_Man_metrics.csv</t>
  </si>
  <si>
    <t>Weiberlist_metrics.csv</t>
  </si>
  <si>
    <t>Zwei_Kaufmaenner_und_die_treue_Hausfrau_metrics.csv</t>
  </si>
  <si>
    <t>closeness_centrality</t>
  </si>
  <si>
    <t>betweenness_centrality</t>
  </si>
  <si>
    <t>eigenvector_centrality</t>
  </si>
  <si>
    <t>Average</t>
  </si>
  <si>
    <t>Average Ehekonstellation</t>
  </si>
  <si>
    <t>Average Liebeskonstellation</t>
  </si>
  <si>
    <t>Average Un. Verhältnis</t>
  </si>
  <si>
    <t>Degree Centrality</t>
  </si>
  <si>
    <t>Betweenness Centrality</t>
  </si>
  <si>
    <t>Closeness Centrality</t>
  </si>
  <si>
    <t>Eigenvector Centrality</t>
  </si>
  <si>
    <t>Average overall</t>
  </si>
  <si>
    <t>Degree Average</t>
  </si>
  <si>
    <t>Betwenness Average</t>
  </si>
  <si>
    <t>Closeness Average</t>
  </si>
  <si>
    <t>Eigenvector Average</t>
  </si>
  <si>
    <t>Average adel</t>
  </si>
  <si>
    <t>Average bügrerlich</t>
  </si>
  <si>
    <t>Average klerus</t>
  </si>
  <si>
    <t>Average bauer</t>
  </si>
  <si>
    <t>Average NA</t>
  </si>
  <si>
    <t>Average unbekannt</t>
  </si>
  <si>
    <t>Bezeichnung2</t>
  </si>
  <si>
    <t>Count of Bezeichnung2</t>
  </si>
  <si>
    <t>Average männlich</t>
  </si>
  <si>
    <t>Average weiblich</t>
  </si>
  <si>
    <t>Average gruppe</t>
  </si>
  <si>
    <t>Average betrueger</t>
  </si>
  <si>
    <t>Average betrogener</t>
  </si>
  <si>
    <t>Average helfer</t>
  </si>
  <si>
    <t>Average bote (zur Verifizierung)</t>
  </si>
  <si>
    <t>entweder Erzähler oder Sache (Bild,Vut,etc.) oder Gott, Teufel etc.</t>
  </si>
  <si>
    <t>Average bote</t>
  </si>
  <si>
    <t>#Vriunt-und-onch</t>
  </si>
  <si>
    <t>two tailed and two sampled</t>
  </si>
  <si>
    <t>T-Wert (Degree) Ehekonstellation-Liebeskonstellation</t>
  </si>
  <si>
    <t>T-Wert (Degree) Liebeskonstellation - Unerotisches Verhältnis</t>
  </si>
  <si>
    <t>Standarderror</t>
  </si>
  <si>
    <t>Zeilenbeschriftungen</t>
  </si>
  <si>
    <t>Gesamtergebnis</t>
  </si>
  <si>
    <t>Average liebender</t>
  </si>
  <si>
    <t>Average liebende</t>
  </si>
  <si>
    <t>Average gegenspieler</t>
  </si>
  <si>
    <t>Adam_und_Eva</t>
  </si>
  <si>
    <t>Alten_Weibes_List</t>
  </si>
  <si>
    <t>Aristoteles_und_Phyllis</t>
  </si>
  <si>
    <t>Berchta_mit_der_langen_Nase</t>
  </si>
  <si>
    <t>Das_Auge</t>
  </si>
  <si>
    <t>Das_Gaenselein</t>
  </si>
  <si>
    <t>Das_Haeselein</t>
  </si>
  <si>
    <t>Das_heiße_Eisen</t>
  </si>
  <si>
    <t>Das_Herz</t>
  </si>
  <si>
    <t>Das_Nonnentunier</t>
  </si>
  <si>
    <t>Das_Raedlein</t>
  </si>
  <si>
    <t>Das_Schneekind</t>
  </si>
  <si>
    <t>Das_Schraetel_und_der_Wasserbaer</t>
  </si>
  <si>
    <t>Das_warme_Almosen</t>
  </si>
  <si>
    <t>Der_begrabene_Ehemann</t>
  </si>
  <si>
    <t>Der_Bildschnitzer_von_Wuerzburg</t>
  </si>
  <si>
    <t>Der_blossgestellte_Ritter</t>
  </si>
  <si>
    <t>Der_entlaufene_Hasenbraten</t>
  </si>
  <si>
    <t>Der_falsche_Blinde</t>
  </si>
  <si>
    <t>Der_Frauen_Trost</t>
  </si>
  <si>
    <t>Der_Frauen_Turnei</t>
  </si>
  <si>
    <t>Der_Guertel</t>
  </si>
  <si>
    <t>Der_junge_Ratgeber</t>
  </si>
  <si>
    <t>Der_kluge_Knecht</t>
  </si>
  <si>
    <t>Der_nackte_Bote</t>
  </si>
  <si>
    <t>Der_nackte_Koenig</t>
  </si>
  <si>
    <t>Der_Nußberg</t>
  </si>
  <si>
    <t>Der_Pfaffe_im_Kaesekorb</t>
  </si>
  <si>
    <t>Der_Raubritter_und_sein_Kaemmerer</t>
  </si>
  <si>
    <t>Der_Reiher</t>
  </si>
  <si>
    <t>Der_Richter_und_der_Teufel</t>
  </si>
  <si>
    <t>Der_Ritter_und_die_Nuesse</t>
  </si>
  <si>
    <t>Der_Ritter_unterm_Zuber</t>
  </si>
  <si>
    <t>Der_Schlaegel</t>
  </si>
  <si>
    <t>Der_Schueler_zu_Paris</t>
  </si>
  <si>
    <t>Der_schwangere_Moench</t>
  </si>
  <si>
    <t>Der_Sperber</t>
  </si>
  <si>
    <t>Der_unbelehrbare_Zecher</t>
  </si>
  <si>
    <t>Der_verkehrte_Wirt</t>
  </si>
  <si>
    <t>Der_wahrsagende_Baum</t>
  </si>
  <si>
    <t>Der_weiße_Rosendorn</t>
  </si>
  <si>
    <t>Der_Welt_Lohn</t>
  </si>
  <si>
    <t>Der_Weltheilige</t>
  </si>
  <si>
    <t>Der_Wiener_Meerfahrt</t>
  </si>
  <si>
    <t>Des_Bruders_Felix_Verzueckung</t>
  </si>
  <si>
    <t>Die_alte_Mutter_und_Kaiser_Friedrich</t>
  </si>
  <si>
    <t>Die_Beichte</t>
  </si>
  <si>
    <t>Die_drei_Moenche_von_Kolmar</t>
  </si>
  <si>
    <t>Die_drei_Wuensche</t>
  </si>
  <si>
    <t>Die_eingemauerte_Frau</t>
  </si>
  <si>
    <t>Die_halbe_Birn</t>
  </si>
  <si>
    <t>Die_halbe_Decke</t>
  </si>
  <si>
    <t>Die_Heidin</t>
  </si>
  <si>
    <t>Die_Katze_als_Nonne</t>
  </si>
  <si>
    <t>Die_Koenigin_von_Frankreich_und_der_ungetreue_Marschall</t>
  </si>
  <si>
    <t>Die_Meierin_mit_der_Geiß</t>
  </si>
  <si>
    <t>Die_Nachtigall</t>
  </si>
  <si>
    <t>Die_Teufelsacht</t>
  </si>
  <si>
    <t>Edelmann_und_Pferdehaendler</t>
  </si>
  <si>
    <t>Ehe_im_Leben_und_Tode</t>
  </si>
  <si>
    <t>Ehefrau_und_Buhlerin</t>
  </si>
  <si>
    <t>Ehestand_Tod_und_Hochzeit</t>
  </si>
  <si>
    <t>Ein_boeses_Weib_scheidet_eine_Ehe</t>
  </si>
  <si>
    <t>Frauenbestaendigkeit</t>
  </si>
  <si>
    <t>Frauenlist</t>
  </si>
  <si>
    <t>Frauentreue</t>
  </si>
  <si>
    <t>Frauenzucht</t>
  </si>
  <si>
    <t>Heinrich_von_Kempten_und_des_Kaisers_Bart</t>
  </si>
  <si>
    <t>Hero_und_Leander</t>
  </si>
  <si>
    <t>Herr_Friedrich_von_Auchenfurt</t>
  </si>
  <si>
    <t>Irregang_und_Girregar</t>
  </si>
  <si>
    <t>Martinsfest</t>
  </si>
  <si>
    <t>Minnedurst</t>
  </si>
  <si>
    <t>Rittertreue</t>
  </si>
  <si>
    <t>Scheidung_und_Suehne</t>
  </si>
  <si>
    <t>Thomas_von_Kandelberg</t>
  </si>
  <si>
    <t>Turandot</t>
  </si>
  <si>
    <t>Von_der_ueblen_Adelheit_und_irem_man</t>
  </si>
  <si>
    <t>Weiberlist</t>
  </si>
  <si>
    <t>Zwei_Kaufmaenner_und_die_treue_Hausfrau</t>
  </si>
  <si>
    <t>Von_der_ueblen_Adelheit_und_irem_Man</t>
  </si>
  <si>
    <t>Degree Durchschnitt</t>
  </si>
  <si>
    <t>Betweenness Durchschnitt</t>
  </si>
  <si>
    <t>Closeness Durchschnitt</t>
  </si>
  <si>
    <t>Eigenvector Durchschnitt</t>
  </si>
  <si>
    <t>Label</t>
  </si>
  <si>
    <t>Anzahl von Label</t>
  </si>
  <si>
    <t>Figurenkonstellation</t>
  </si>
  <si>
    <t>Betrüger</t>
  </si>
  <si>
    <t>Betrogener</t>
  </si>
  <si>
    <t>Liebender</t>
  </si>
  <si>
    <t>Liebende</t>
  </si>
  <si>
    <t>Gegenspieler</t>
  </si>
  <si>
    <t>1</t>
  </si>
  <si>
    <t>2</t>
  </si>
  <si>
    <t>3</t>
  </si>
  <si>
    <t>Drei_listige_Frauen_metrics.csv</t>
  </si>
  <si>
    <t>#Frau-Maechilt</t>
  </si>
  <si>
    <t>#Frau-Juet</t>
  </si>
  <si>
    <t>#Frau-Hiltgart</t>
  </si>
  <si>
    <t>#Mair-Perchtold</t>
  </si>
  <si>
    <t>#Knecht-Heinz-von-Mair-Perchtold</t>
  </si>
  <si>
    <t>#Pfarrer</t>
  </si>
  <si>
    <t>#Nachpuerin</t>
  </si>
  <si>
    <t>#Mair-Cuonrat</t>
  </si>
  <si>
    <t>#Mair-Seifrid</t>
  </si>
  <si>
    <t>#Volk</t>
  </si>
  <si>
    <t>Drei_listige_Frauen.csv</t>
  </si>
  <si>
    <t>Drei_listige_Frauen</t>
  </si>
  <si>
    <t>Unser_Frauen_Ritter_und_die_Jungfrau</t>
  </si>
  <si>
    <t>adel:truhtsaeze</t>
  </si>
  <si>
    <t>buergerlich</t>
  </si>
  <si>
    <t>klerus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</si>
</sst>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sz val="10"/>
      <color theme="1"/>
      <name val="Calibri"/>
      <family val="2"/>
      <scheme val="minor"/>
    </font>
    <font>
      <sz val="20"/>
      <color theme="1"/>
      <name val="Calibri"/>
      <family val="2"/>
      <scheme val="minor"/>
    </font>
    <font>
      <b/>
      <sz val="11"/>
      <color theme="4" tint="-0.249977111117893"/>
      <name val="Calibri"/>
      <family val="2"/>
      <scheme val="minor"/>
    </font>
    <font>
      <sz val="11"/>
      <color theme="4" tint="-0.249977111117893"/>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bottom style="thin">
        <color theme="4"/>
      </bottom>
      <diagonal/>
    </border>
    <border>
      <left style="thin">
        <color theme="4" tint="0.39997558519241921"/>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0" fillId="0" borderId="0" xfId="0" pivotButton="1"/>
    <xf numFmtId="0" fontId="0" fillId="0" borderId="0" xfId="0" applyAlignment="1">
      <alignment horizontal="left"/>
    </xf>
    <xf numFmtId="0" fontId="0" fillId="0" borderId="0" xfId="0" applyAlignment="1">
      <alignment wrapText="1"/>
    </xf>
    <xf numFmtId="164" fontId="0" fillId="0" borderId="0" xfId="0" applyNumberFormat="1"/>
    <xf numFmtId="0" fontId="18" fillId="0" borderId="0" xfId="0" applyFont="1"/>
    <xf numFmtId="164" fontId="18" fillId="0" borderId="0" xfId="0" applyNumberFormat="1" applyFont="1"/>
    <xf numFmtId="0" fontId="19" fillId="0" borderId="0" xfId="0" applyFont="1"/>
    <xf numFmtId="164" fontId="19" fillId="0" borderId="0" xfId="0" applyNumberFormat="1" applyFont="1"/>
    <xf numFmtId="0" fontId="20" fillId="0" borderId="0" xfId="0" applyFont="1"/>
    <xf numFmtId="165" fontId="19" fillId="0" borderId="0" xfId="0" applyNumberFormat="1" applyFont="1"/>
    <xf numFmtId="2" fontId="0" fillId="0" borderId="0" xfId="0" applyNumberFormat="1"/>
    <xf numFmtId="0" fontId="22" fillId="33" borderId="10" xfId="0" applyFont="1" applyFill="1" applyBorder="1"/>
    <xf numFmtId="164" fontId="22" fillId="33" borderId="0" xfId="0" applyNumberFormat="1" applyFont="1" applyFill="1"/>
    <xf numFmtId="0" fontId="22" fillId="0" borderId="10" xfId="0" applyFont="1" applyBorder="1"/>
    <xf numFmtId="0" fontId="22" fillId="0" borderId="10" xfId="0" applyFont="1" applyBorder="1" applyAlignment="1">
      <alignment wrapText="1"/>
    </xf>
    <xf numFmtId="0" fontId="21" fillId="0" borderId="11" xfId="0" applyFont="1" applyBorder="1"/>
    <xf numFmtId="164" fontId="21" fillId="0" borderId="11" xfId="0" applyNumberFormat="1" applyFont="1" applyBorder="1"/>
    <xf numFmtId="1" fontId="21" fillId="0" borderId="11" xfId="0" applyNumberFormat="1" applyFont="1" applyBorder="1"/>
    <xf numFmtId="1" fontId="22" fillId="33" borderId="0" xfId="0" applyNumberFormat="1" applyFont="1" applyFill="1"/>
    <xf numFmtId="1" fontId="0" fillId="0" borderId="0" xfId="0" applyNumberFormat="1"/>
    <xf numFmtId="1" fontId="0" fillId="0" borderId="0" xfId="0" applyNumberFormat="1" applyAlignment="1">
      <alignment horizontal="left"/>
    </xf>
    <xf numFmtId="0" fontId="22" fillId="33" borderId="12" xfId="0" applyFont="1" applyFill="1" applyBorder="1"/>
    <xf numFmtId="164" fontId="0" fillId="33" borderId="0" xfId="0" applyNumberFormat="1" applyFill="1"/>
    <xf numFmtId="0"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64">
    <dxf>
      <alignment horizontal="general" vertical="bottom" textRotation="0" wrapText="1" indent="0" justifyLastLine="0" shrinkToFit="0" readingOrder="0"/>
    </dxf>
    <dxf>
      <numFmt numFmtId="0" formatCode="General"/>
    </dxf>
    <dxf>
      <numFmt numFmtId="0" formatCode="General"/>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00"/>
    </dxf>
    <dxf>
      <numFmt numFmtId="164" formatCode="0.000"/>
    </dxf>
    <dxf>
      <numFmt numFmtId="164" formatCode="0.000"/>
    </dxf>
    <dxf>
      <numFmt numFmtId="164" formatCode="0.000"/>
    </dxf>
    <dxf>
      <numFmt numFmtId="0" formatCode="General"/>
    </dxf>
    <dxf>
      <font>
        <b val="0"/>
        <i val="0"/>
        <strike val="0"/>
        <condense val="0"/>
        <extend val="0"/>
        <outline val="0"/>
        <shadow val="0"/>
        <u val="none"/>
        <vertAlign val="baseline"/>
        <sz val="11"/>
        <color theme="4" tint="-0.249977111117893"/>
        <name val="Calibri"/>
        <family val="2"/>
        <scheme val="minor"/>
      </font>
      <numFmt numFmtId="164" formatCode="0.000"/>
      <fill>
        <patternFill patternType="solid">
          <fgColor theme="4" tint="0.79998168889431442"/>
          <bgColor theme="4" tint="0.79998168889431442"/>
        </patternFill>
      </fill>
    </dxf>
    <dxf>
      <font>
        <b val="0"/>
        <i val="0"/>
        <strike val="0"/>
        <condense val="0"/>
        <extend val="0"/>
        <outline val="0"/>
        <shadow val="0"/>
        <u val="none"/>
        <vertAlign val="baseline"/>
        <sz val="11"/>
        <color theme="4" tint="-0.249977111117893"/>
        <name val="Calibri"/>
        <family val="2"/>
        <scheme val="minor"/>
      </font>
      <numFmt numFmtId="164" formatCode="0.000"/>
      <fill>
        <patternFill patternType="solid">
          <fgColor theme="4" tint="0.79998168889431442"/>
          <bgColor theme="4" tint="0.79998168889431442"/>
        </patternFill>
      </fill>
    </dxf>
    <dxf>
      <font>
        <b val="0"/>
        <i val="0"/>
        <strike val="0"/>
        <condense val="0"/>
        <extend val="0"/>
        <outline val="0"/>
        <shadow val="0"/>
        <u val="none"/>
        <vertAlign val="baseline"/>
        <sz val="11"/>
        <color theme="4" tint="-0.249977111117893"/>
        <name val="Calibri"/>
        <family val="2"/>
        <scheme val="minor"/>
      </font>
      <numFmt numFmtId="164" formatCode="0.000"/>
      <fill>
        <patternFill patternType="solid">
          <fgColor theme="4" tint="0.79998168889431442"/>
          <bgColor theme="4" tint="0.79998168889431442"/>
        </patternFill>
      </fill>
    </dxf>
    <dxf>
      <font>
        <b val="0"/>
        <i val="0"/>
        <strike val="0"/>
        <condense val="0"/>
        <extend val="0"/>
        <outline val="0"/>
        <shadow val="0"/>
        <u val="none"/>
        <vertAlign val="baseline"/>
        <sz val="11"/>
        <color theme="4" tint="-0.249977111117893"/>
        <name val="Calibri"/>
        <family val="2"/>
        <scheme val="minor"/>
      </font>
      <numFmt numFmtId="164" formatCode="0.000"/>
      <fill>
        <patternFill patternType="solid">
          <fgColor theme="4" tint="0.79998168889431442"/>
          <bgColor theme="4" tint="0.79998168889431442"/>
        </patternFill>
      </fill>
    </dxf>
    <dxf>
      <font>
        <b val="0"/>
        <i val="0"/>
        <strike val="0"/>
        <condense val="0"/>
        <extend val="0"/>
        <outline val="0"/>
        <shadow val="0"/>
        <u val="none"/>
        <vertAlign val="baseline"/>
        <sz val="11"/>
        <color theme="4" tint="-0.249977111117893"/>
        <name val="Calibri"/>
        <family val="2"/>
        <scheme val="minor"/>
      </font>
      <numFmt numFmtId="164" formatCode="0.000"/>
      <fill>
        <patternFill patternType="solid">
          <fgColor theme="4" tint="0.79998168889431442"/>
          <bgColor theme="4" tint="0.79998168889431442"/>
        </patternFill>
      </fill>
    </dxf>
    <dxf>
      <font>
        <b val="0"/>
        <i val="0"/>
        <strike val="0"/>
        <condense val="0"/>
        <extend val="0"/>
        <outline val="0"/>
        <shadow val="0"/>
        <u val="none"/>
        <vertAlign val="baseline"/>
        <sz val="11"/>
        <color theme="4" tint="-0.249977111117893"/>
        <name val="Calibri"/>
        <family val="2"/>
        <scheme val="minor"/>
      </font>
      <numFmt numFmtId="1" formatCode="0"/>
      <fill>
        <patternFill patternType="solid">
          <fgColor theme="4" tint="0.79998168889431442"/>
          <bgColor theme="4" tint="0.79998168889431442"/>
        </patternFill>
      </fill>
    </dxf>
    <dxf>
      <font>
        <b val="0"/>
        <i val="0"/>
        <strike val="0"/>
        <condense val="0"/>
        <extend val="0"/>
        <outline val="0"/>
        <shadow val="0"/>
        <u val="none"/>
        <vertAlign val="baseline"/>
        <sz val="11"/>
        <color theme="4" tint="-0.249977111117893"/>
        <name val="Calibri"/>
        <family val="2"/>
        <scheme val="minor"/>
      </font>
      <numFmt numFmtId="164" formatCode="0.000"/>
      <fill>
        <patternFill patternType="solid">
          <fgColor theme="4" tint="0.79998168889431442"/>
          <bgColor theme="4" tint="0.79998168889431442"/>
        </patternFill>
      </fill>
    </dxf>
    <dxf>
      <font>
        <b val="0"/>
        <i val="0"/>
        <strike val="0"/>
        <condense val="0"/>
        <extend val="0"/>
        <outline val="0"/>
        <shadow val="0"/>
        <u val="none"/>
        <vertAlign val="baseline"/>
        <sz val="11"/>
        <color theme="4" tint="-0.249977111117893"/>
        <name val="Calibri"/>
        <family val="2"/>
        <scheme val="minor"/>
      </font>
      <numFmt numFmtId="164" formatCode="0.000"/>
      <fill>
        <patternFill patternType="solid">
          <fgColor theme="4" tint="0.79998168889431442"/>
          <bgColor theme="4" tint="0.79998168889431442"/>
        </patternFill>
      </fill>
    </dxf>
    <dxf>
      <font>
        <b val="0"/>
        <i val="0"/>
        <strike val="0"/>
        <condense val="0"/>
        <extend val="0"/>
        <outline val="0"/>
        <shadow val="0"/>
        <u val="none"/>
        <vertAlign val="baseline"/>
        <sz val="11"/>
        <color theme="4" tint="-0.249977111117893"/>
        <name val="Calibri"/>
        <family val="2"/>
        <scheme val="minor"/>
      </font>
      <numFmt numFmtId="164" formatCode="0.000"/>
      <fill>
        <patternFill patternType="solid">
          <fgColor theme="4" tint="0.79998168889431442"/>
          <bgColor theme="4" tint="0.79998168889431442"/>
        </patternFill>
      </fill>
    </dxf>
    <dxf>
      <font>
        <b val="0"/>
        <i val="0"/>
        <strike val="0"/>
        <condense val="0"/>
        <extend val="0"/>
        <outline val="0"/>
        <shadow val="0"/>
        <u val="none"/>
        <vertAlign val="baseline"/>
        <sz val="11"/>
        <color theme="4" tint="-0.249977111117893"/>
        <name val="Calibri"/>
        <family val="2"/>
        <scheme val="minor"/>
      </font>
      <numFmt numFmtId="164" formatCode="0.000"/>
      <fill>
        <patternFill patternType="solid">
          <fgColor theme="4" tint="0.79998168889431442"/>
          <bgColor theme="4" tint="0.79998168889431442"/>
        </patternFill>
      </fill>
    </dxf>
    <dxf>
      <font>
        <b val="0"/>
        <i val="0"/>
        <strike val="0"/>
        <condense val="0"/>
        <extend val="0"/>
        <outline val="0"/>
        <shadow val="0"/>
        <u val="none"/>
        <vertAlign val="baseline"/>
        <sz val="11"/>
        <color theme="4" tint="-0.249977111117893"/>
        <name val="Calibri"/>
        <family val="2"/>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op>
      </border>
    </dxf>
    <dxf>
      <font>
        <b val="0"/>
        <i val="0"/>
        <strike val="0"/>
        <condense val="0"/>
        <extend val="0"/>
        <outline val="0"/>
        <shadow val="0"/>
        <u val="none"/>
        <vertAlign val="baseline"/>
        <sz val="11"/>
        <color theme="4" tint="-0.249977111117893"/>
        <name val="Calibri"/>
        <family val="2"/>
        <scheme val="minor"/>
      </font>
      <fill>
        <patternFill patternType="solid">
          <fgColor theme="4" tint="0.79998168889431442"/>
          <bgColor theme="4" tint="0.79998168889431442"/>
        </patternFill>
      </fill>
    </dxf>
    <dxf>
      <border outline="0">
        <bottom style="thin">
          <color theme="4"/>
        </bottom>
      </border>
    </dxf>
    <dxf>
      <font>
        <b/>
        <i val="0"/>
        <strike val="0"/>
        <condense val="0"/>
        <extend val="0"/>
        <outline val="0"/>
        <shadow val="0"/>
        <u val="none"/>
        <vertAlign val="baseline"/>
        <sz val="11"/>
        <color theme="4" tint="-0.249977111117893"/>
        <name val="Calibri"/>
        <family val="2"/>
        <scheme val="minor"/>
      </font>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microsoft.com/office/2007/relationships/slicerCache" Target="slicerCaches/slicerCache7.xml"/><Relationship Id="rId39" Type="http://schemas.microsoft.com/office/2007/relationships/slicerCache" Target="slicerCaches/slicerCache20.xml"/><Relationship Id="rId21" Type="http://schemas.microsoft.com/office/2007/relationships/slicerCache" Target="slicerCaches/slicerCache2.xml"/><Relationship Id="rId34" Type="http://schemas.microsoft.com/office/2007/relationships/slicerCache" Target="slicerCaches/slicerCache15.xml"/><Relationship Id="rId42" Type="http://schemas.microsoft.com/office/2007/relationships/slicerCache" Target="slicerCaches/slicerCache23.xml"/><Relationship Id="rId47" Type="http://schemas.openxmlformats.org/officeDocument/2006/relationships/styles" Target="styles.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9" Type="http://schemas.microsoft.com/office/2007/relationships/slicerCache" Target="slicerCaches/slicerCache10.xml"/><Relationship Id="rId11" Type="http://schemas.openxmlformats.org/officeDocument/2006/relationships/worksheet" Target="worksheets/sheet11.xml"/><Relationship Id="rId24" Type="http://schemas.microsoft.com/office/2007/relationships/slicerCache" Target="slicerCaches/slicerCache5.xml"/><Relationship Id="rId32" Type="http://schemas.microsoft.com/office/2007/relationships/slicerCache" Target="slicerCaches/slicerCache13.xml"/><Relationship Id="rId37" Type="http://schemas.microsoft.com/office/2007/relationships/slicerCache" Target="slicerCaches/slicerCache18.xml"/><Relationship Id="rId40" Type="http://schemas.microsoft.com/office/2007/relationships/slicerCache" Target="slicerCaches/slicerCache21.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microsoft.com/office/2007/relationships/slicerCache" Target="slicerCaches/slicerCache4.xml"/><Relationship Id="rId28" Type="http://schemas.microsoft.com/office/2007/relationships/slicerCache" Target="slicerCaches/slicerCache9.xml"/><Relationship Id="rId36" Type="http://schemas.microsoft.com/office/2007/relationships/slicerCache" Target="slicerCaches/slicerCache17.xml"/><Relationship Id="rId49"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6.xml"/><Relationship Id="rId31" Type="http://schemas.microsoft.com/office/2007/relationships/slicerCache" Target="slicerCaches/slicerCache12.xml"/><Relationship Id="rId44" Type="http://schemas.microsoft.com/office/2007/relationships/slicerCache" Target="slicerCaches/slicerCache2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3.xml"/><Relationship Id="rId27" Type="http://schemas.microsoft.com/office/2007/relationships/slicerCache" Target="slicerCaches/slicerCache8.xml"/><Relationship Id="rId30" Type="http://schemas.microsoft.com/office/2007/relationships/slicerCache" Target="slicerCaches/slicerCache11.xml"/><Relationship Id="rId35" Type="http://schemas.microsoft.com/office/2007/relationships/slicerCache" Target="slicerCaches/slicerCache16.xml"/><Relationship Id="rId43" Type="http://schemas.microsoft.com/office/2007/relationships/slicerCache" Target="slicerCaches/slicerCache24.xml"/><Relationship Id="rId48"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microsoft.com/office/2007/relationships/slicerCache" Target="slicerCaches/slicerCache6.xml"/><Relationship Id="rId33" Type="http://schemas.microsoft.com/office/2007/relationships/slicerCache" Target="slicerCaches/slicerCache14.xml"/><Relationship Id="rId38" Type="http://schemas.microsoft.com/office/2007/relationships/slicerCache" Target="slicerCaches/slicerCache19.xml"/><Relationship Id="rId46" Type="http://schemas.openxmlformats.org/officeDocument/2006/relationships/connections" Target="connections.xml"/><Relationship Id="rId20" Type="http://schemas.microsoft.com/office/2007/relationships/slicerCache" Target="slicerCaches/slicerCache1.xml"/><Relationship Id="rId41" Type="http://schemas.microsoft.com/office/2007/relationships/slicerCache" Target="slicerCaches/slicerCache22.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0.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1.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2.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3.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4.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5.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6.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7.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[Statistiken_und_ Metriken_Berechnung.xlsx]Korpuszusammensetzung!PivotTable6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Korpuszusammensetzung!$B$3</c:f>
              <c:strCache>
                <c:ptCount val="1"/>
                <c:pt idx="0">
                  <c:v>Ergebnis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F35-4104-AE8F-4833B572945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F35-4104-AE8F-4833B572945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F35-4104-AE8F-4833B572945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F35-4104-AE8F-4833B5729459}"/>
              </c:ext>
            </c:extLst>
          </c:dPt>
          <c:cat>
            <c:strRef>
              <c:f>Korpuszusammensetzung!$A$4:$A$8</c:f>
              <c:strCache>
                <c:ptCount val="4"/>
                <c:pt idx="0">
                  <c:v>1</c:v>
                </c:pt>
                <c:pt idx="1">
                  <c:v>2</c:v>
                </c:pt>
                <c:pt idx="2">
                  <c:v>3</c:v>
                </c:pt>
                <c:pt idx="3">
                  <c:v>4</c:v>
                </c:pt>
              </c:strCache>
            </c:strRef>
          </c:cat>
          <c:val>
            <c:numRef>
              <c:f>Korpuszusammensetzung!$B$4:$B$8</c:f>
              <c:numCache>
                <c:formatCode>General</c:formatCode>
                <c:ptCount val="4"/>
                <c:pt idx="0">
                  <c:v>64</c:v>
                </c:pt>
                <c:pt idx="1">
                  <c:v>6</c:v>
                </c:pt>
                <c:pt idx="2">
                  <c:v>3</c:v>
                </c:pt>
                <c:pt idx="3">
                  <c:v>9</c:v>
                </c:pt>
              </c:numCache>
            </c:numRef>
          </c:val>
          <c:extLst>
            <c:ext xmlns:c16="http://schemas.microsoft.com/office/drawing/2014/chart" uri="{C3380CC4-5D6E-409C-BE32-E72D297353CC}">
              <c16:uniqueId val="{00000000-F4ED-4AB9-87EF-98EA9B4DE3B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[Statistiken_und_ Metriken_Berechnung.xlsx]Geschlecht!PivotTable4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Anzahl von Geschlecht</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Geschlecht!$B$3</c:f>
              <c:strCache>
                <c:ptCount val="1"/>
                <c:pt idx="0">
                  <c:v>Ergebnis</c:v>
                </c:pt>
              </c:strCache>
            </c:strRef>
          </c:tx>
          <c:spPr>
            <a:solidFill>
              <a:schemeClr val="accent1"/>
            </a:solidFill>
            <a:ln>
              <a:noFill/>
            </a:ln>
            <a:effectLst/>
          </c:spPr>
          <c:invertIfNegative val="0"/>
          <c:cat>
            <c:strRef>
              <c:f>Geschlecht!$A$4:$A$9</c:f>
              <c:strCache>
                <c:ptCount val="6"/>
                <c:pt idx="0">
                  <c:v>maennlich</c:v>
                </c:pt>
                <c:pt idx="1">
                  <c:v>weiblich</c:v>
                </c:pt>
                <c:pt idx="2">
                  <c:v>gruppe</c:v>
                </c:pt>
                <c:pt idx="3">
                  <c:v>unbekannt</c:v>
                </c:pt>
                <c:pt idx="4">
                  <c:v>tier</c:v>
                </c:pt>
                <c:pt idx="5">
                  <c:v>maennlich/zwerg</c:v>
                </c:pt>
              </c:strCache>
            </c:strRef>
          </c:cat>
          <c:val>
            <c:numRef>
              <c:f>Geschlecht!$B$4:$B$9</c:f>
              <c:numCache>
                <c:formatCode>General</c:formatCode>
                <c:ptCount val="6"/>
                <c:pt idx="0">
                  <c:v>296</c:v>
                </c:pt>
                <c:pt idx="1">
                  <c:v>162</c:v>
                </c:pt>
                <c:pt idx="2">
                  <c:v>95</c:v>
                </c:pt>
                <c:pt idx="3">
                  <c:v>5</c:v>
                </c:pt>
                <c:pt idx="4">
                  <c:v>4</c:v>
                </c:pt>
                <c:pt idx="5">
                  <c:v>1</c:v>
                </c:pt>
              </c:numCache>
            </c:numRef>
          </c:val>
          <c:extLst>
            <c:ext xmlns:c16="http://schemas.microsoft.com/office/drawing/2014/chart" uri="{C3380CC4-5D6E-409C-BE32-E72D297353CC}">
              <c16:uniqueId val="{00000002-142C-4BE0-A44D-97026119BFD6}"/>
            </c:ext>
          </c:extLst>
        </c:ser>
        <c:dLbls>
          <c:showLegendKey val="0"/>
          <c:showVal val="0"/>
          <c:showCatName val="0"/>
          <c:showSerName val="0"/>
          <c:showPercent val="0"/>
          <c:showBubbleSize val="0"/>
        </c:dLbls>
        <c:gapWidth val="182"/>
        <c:axId val="1775576832"/>
        <c:axId val="1775575168"/>
      </c:barChart>
      <c:catAx>
        <c:axId val="1775576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75575168"/>
        <c:crosses val="autoZero"/>
        <c:auto val="1"/>
        <c:lblAlgn val="ctr"/>
        <c:lblOffset val="100"/>
        <c:noMultiLvlLbl val="0"/>
      </c:catAx>
      <c:valAx>
        <c:axId val="1775575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75576832"/>
        <c:crosses val="autoZero"/>
        <c:crossBetween val="between"/>
      </c:valAx>
    </c:plotArea>
    <c:plotVisOnly val="1"/>
    <c:dispBlanksAs val="gap"/>
    <c:showDLblsOverMax val="0"/>
  </c:chart>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[Statistiken_und_ Metriken_Berechnung.xlsx]Geschlecht!PivotTable4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Geschlecht</a:t>
            </a:r>
          </a:p>
        </c:rich>
      </c:tx>
      <c:layout>
        <c:manualLayout>
          <c:xMode val="edge"/>
          <c:yMode val="edge"/>
          <c:x val="0.81106358856464078"/>
          <c:y val="8.49479560987417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dLbl>
          <c:idx val="0"/>
          <c:layout>
            <c:manualLayout>
              <c:x val="-4.9885461208331289E-2"/>
              <c:y val="-4.955130960288622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5.1937151956593E-2"/>
              <c:y val="-8.1761200640698799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4.1949238118786723E-2"/>
              <c:y val="8.1761200640698799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dLbl>
          <c:idx val="0"/>
          <c:layout>
            <c:manualLayout>
              <c:x val="0.14327541867431928"/>
              <c:y val="-1.575331548371055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pivotFmt>
    </c:pivotFmts>
    <c:plotArea>
      <c:layout/>
      <c:pieChart>
        <c:varyColors val="1"/>
        <c:ser>
          <c:idx val="0"/>
          <c:order val="0"/>
          <c:tx>
            <c:strRef>
              <c:f>Geschlecht!$B$3</c:f>
              <c:strCache>
                <c:ptCount val="1"/>
                <c:pt idx="0">
                  <c:v>Ergebnis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660-484B-871F-74B47584AAE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660-484B-871F-74B47584AAE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660-484B-871F-74B47584AAE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660-484B-871F-74B47584AAE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7FA-4556-8349-8C02BE1B224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7FA-4556-8349-8C02BE1B224B}"/>
              </c:ext>
            </c:extLst>
          </c:dPt>
          <c:dLbls>
            <c:dLbl>
              <c:idx val="2"/>
              <c:layout>
                <c:manualLayout>
                  <c:x val="-4.9885461208331289E-2"/>
                  <c:y val="-4.955130960288622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660-484B-871F-74B47584AAEF}"/>
                </c:ext>
              </c:extLst>
            </c:dLbl>
            <c:dLbl>
              <c:idx val="3"/>
              <c:layout>
                <c:manualLayout>
                  <c:x val="5.1937151956593E-2"/>
                  <c:y val="-8.1761200640698799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E660-484B-871F-74B47584AAEF}"/>
                </c:ext>
              </c:extLst>
            </c:dLbl>
            <c:dLbl>
              <c:idx val="4"/>
              <c:layout>
                <c:manualLayout>
                  <c:x val="-4.1949238118786723E-2"/>
                  <c:y val="8.1761200640698799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97FA-4556-8349-8C02BE1B224B}"/>
                </c:ext>
              </c:extLst>
            </c:dLbl>
            <c:dLbl>
              <c:idx val="5"/>
              <c:layout>
                <c:manualLayout>
                  <c:x val="0.14327541867431928"/>
                  <c:y val="-1.575331548371055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97FA-4556-8349-8C02BE1B224B}"/>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Geschlecht!$A$4:$A$9</c:f>
              <c:strCache>
                <c:ptCount val="6"/>
                <c:pt idx="0">
                  <c:v>maennlich</c:v>
                </c:pt>
                <c:pt idx="1">
                  <c:v>weiblich</c:v>
                </c:pt>
                <c:pt idx="2">
                  <c:v>gruppe</c:v>
                </c:pt>
                <c:pt idx="3">
                  <c:v>unbekannt</c:v>
                </c:pt>
                <c:pt idx="4">
                  <c:v>tier</c:v>
                </c:pt>
                <c:pt idx="5">
                  <c:v>maennlich/zwerg</c:v>
                </c:pt>
              </c:strCache>
            </c:strRef>
          </c:cat>
          <c:val>
            <c:numRef>
              <c:f>Geschlecht!$B$4:$B$9</c:f>
              <c:numCache>
                <c:formatCode>General</c:formatCode>
                <c:ptCount val="6"/>
                <c:pt idx="0">
                  <c:v>296</c:v>
                </c:pt>
                <c:pt idx="1">
                  <c:v>162</c:v>
                </c:pt>
                <c:pt idx="2">
                  <c:v>95</c:v>
                </c:pt>
                <c:pt idx="3">
                  <c:v>5</c:v>
                </c:pt>
                <c:pt idx="4">
                  <c:v>4</c:v>
                </c:pt>
                <c:pt idx="5">
                  <c:v>1</c:v>
                </c:pt>
              </c:numCache>
            </c:numRef>
          </c:val>
          <c:extLst>
            <c:ext xmlns:c16="http://schemas.microsoft.com/office/drawing/2014/chart" uri="{C3380CC4-5D6E-409C-BE32-E72D297353CC}">
              <c16:uniqueId val="{00000010-316B-4E59-9B44-1E941DE854B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[Statistiken_und_ Metriken_Berechnung.xlsx]Alter!PivotTable7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Anzahl von Alter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Alter!$B$3</c:f>
              <c:strCache>
                <c:ptCount val="1"/>
                <c:pt idx="0">
                  <c:v>Ergebnis</c:v>
                </c:pt>
              </c:strCache>
            </c:strRef>
          </c:tx>
          <c:spPr>
            <a:solidFill>
              <a:schemeClr val="accent1"/>
            </a:solidFill>
            <a:ln>
              <a:noFill/>
            </a:ln>
            <a:effectLst/>
          </c:spPr>
          <c:invertIfNegative val="0"/>
          <c:cat>
            <c:strRef>
              <c:f>Alter!$A$4:$A$8</c:f>
              <c:strCache>
                <c:ptCount val="5"/>
                <c:pt idx="0">
                  <c:v>unbekannt</c:v>
                </c:pt>
                <c:pt idx="1">
                  <c:v>mittel</c:v>
                </c:pt>
                <c:pt idx="2">
                  <c:v>alt</c:v>
                </c:pt>
                <c:pt idx="3">
                  <c:v>jung</c:v>
                </c:pt>
                <c:pt idx="4">
                  <c:v>tot</c:v>
                </c:pt>
              </c:strCache>
            </c:strRef>
          </c:cat>
          <c:val>
            <c:numRef>
              <c:f>Alter!$B$4:$B$8</c:f>
              <c:numCache>
                <c:formatCode>General</c:formatCode>
                <c:ptCount val="5"/>
                <c:pt idx="0">
                  <c:v>430</c:v>
                </c:pt>
                <c:pt idx="1">
                  <c:v>73</c:v>
                </c:pt>
                <c:pt idx="2">
                  <c:v>38</c:v>
                </c:pt>
                <c:pt idx="3">
                  <c:v>12</c:v>
                </c:pt>
                <c:pt idx="4">
                  <c:v>8</c:v>
                </c:pt>
              </c:numCache>
            </c:numRef>
          </c:val>
          <c:extLst>
            <c:ext xmlns:c16="http://schemas.microsoft.com/office/drawing/2014/chart" uri="{C3380CC4-5D6E-409C-BE32-E72D297353CC}">
              <c16:uniqueId val="{00000000-D5F7-439B-BE82-1B1EFB43F1A5}"/>
            </c:ext>
          </c:extLst>
        </c:ser>
        <c:dLbls>
          <c:showLegendKey val="0"/>
          <c:showVal val="0"/>
          <c:showCatName val="0"/>
          <c:showSerName val="0"/>
          <c:showPercent val="0"/>
          <c:showBubbleSize val="0"/>
        </c:dLbls>
        <c:gapWidth val="219"/>
        <c:overlap val="-27"/>
        <c:axId val="549931680"/>
        <c:axId val="549932096"/>
      </c:barChart>
      <c:catAx>
        <c:axId val="549931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49932096"/>
        <c:crosses val="autoZero"/>
        <c:auto val="1"/>
        <c:lblAlgn val="ctr"/>
        <c:lblOffset val="100"/>
        <c:noMultiLvlLbl val="0"/>
      </c:catAx>
      <c:valAx>
        <c:axId val="549932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499316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[Statistiken_und_ Metriken_Berechnung.xlsx]Alter!PivotTable7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Alter</a:t>
            </a:r>
          </a:p>
        </c:rich>
      </c:tx>
      <c:layout>
        <c:manualLayout>
          <c:xMode val="edge"/>
          <c:yMode val="edge"/>
          <c:x val="0.79826015485016344"/>
          <c:y val="0.1393194271768660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dLbl>
          <c:idx val="0"/>
          <c:layout>
            <c:manualLayout>
              <c:x val="2.4976794393393936E-2"/>
              <c:y val="-9.2591057696735056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c:spPr>
      </c:pivotFmt>
    </c:pivotFmts>
    <c:plotArea>
      <c:layout/>
      <c:pieChart>
        <c:varyColors val="1"/>
        <c:ser>
          <c:idx val="0"/>
          <c:order val="0"/>
          <c:tx>
            <c:strRef>
              <c:f>Alter!$B$3</c:f>
              <c:strCache>
                <c:ptCount val="1"/>
                <c:pt idx="0">
                  <c:v>Ergebnis</c:v>
                </c:pt>
              </c:strCache>
            </c:strRef>
          </c:tx>
          <c:dPt>
            <c:idx val="0"/>
            <c:bubble3D val="0"/>
            <c:spPr>
              <a:solidFill>
                <a:schemeClr val="accent1"/>
              </a:solidFill>
              <a:ln>
                <a:noFill/>
              </a:ln>
              <a:effectLst/>
            </c:spPr>
            <c:extLst>
              <c:ext xmlns:c16="http://schemas.microsoft.com/office/drawing/2014/chart" uri="{C3380CC4-5D6E-409C-BE32-E72D297353CC}">
                <c16:uniqueId val="{00000001-DE69-454E-AAFB-FF348A122459}"/>
              </c:ext>
            </c:extLst>
          </c:dPt>
          <c:dPt>
            <c:idx val="1"/>
            <c:bubble3D val="0"/>
            <c:spPr>
              <a:solidFill>
                <a:schemeClr val="accent2"/>
              </a:solidFill>
              <a:ln>
                <a:noFill/>
              </a:ln>
              <a:effectLst/>
            </c:spPr>
            <c:extLst>
              <c:ext xmlns:c16="http://schemas.microsoft.com/office/drawing/2014/chart" uri="{C3380CC4-5D6E-409C-BE32-E72D297353CC}">
                <c16:uniqueId val="{00000003-DE69-454E-AAFB-FF348A122459}"/>
              </c:ext>
            </c:extLst>
          </c:dPt>
          <c:dPt>
            <c:idx val="2"/>
            <c:bubble3D val="0"/>
            <c:spPr>
              <a:solidFill>
                <a:schemeClr val="accent3"/>
              </a:solidFill>
              <a:ln>
                <a:noFill/>
              </a:ln>
              <a:effectLst/>
            </c:spPr>
            <c:extLst>
              <c:ext xmlns:c16="http://schemas.microsoft.com/office/drawing/2014/chart" uri="{C3380CC4-5D6E-409C-BE32-E72D297353CC}">
                <c16:uniqueId val="{00000005-DE69-454E-AAFB-FF348A122459}"/>
              </c:ext>
            </c:extLst>
          </c:dPt>
          <c:dPt>
            <c:idx val="3"/>
            <c:bubble3D val="0"/>
            <c:spPr>
              <a:solidFill>
                <a:schemeClr val="accent4"/>
              </a:solidFill>
              <a:ln>
                <a:noFill/>
              </a:ln>
              <a:effectLst/>
            </c:spPr>
            <c:extLst>
              <c:ext xmlns:c16="http://schemas.microsoft.com/office/drawing/2014/chart" uri="{C3380CC4-5D6E-409C-BE32-E72D297353CC}">
                <c16:uniqueId val="{00000007-DE69-454E-AAFB-FF348A122459}"/>
              </c:ext>
            </c:extLst>
          </c:dPt>
          <c:dPt>
            <c:idx val="4"/>
            <c:bubble3D val="0"/>
            <c:spPr>
              <a:solidFill>
                <a:schemeClr val="accent5"/>
              </a:solidFill>
              <a:ln>
                <a:noFill/>
              </a:ln>
              <a:effectLst/>
            </c:spPr>
            <c:extLst>
              <c:ext xmlns:c16="http://schemas.microsoft.com/office/drawing/2014/chart" uri="{C3380CC4-5D6E-409C-BE32-E72D297353CC}">
                <c16:uniqueId val="{00000009-DE69-454E-AAFB-FF348A122459}"/>
              </c:ext>
            </c:extLst>
          </c:dPt>
          <c:dPt>
            <c:idx val="5"/>
            <c:bubble3D val="0"/>
            <c:spPr>
              <a:solidFill>
                <a:schemeClr val="accent6"/>
              </a:solidFill>
              <a:ln>
                <a:noFill/>
              </a:ln>
              <a:effectLst/>
            </c:spPr>
            <c:extLst>
              <c:ext xmlns:c16="http://schemas.microsoft.com/office/drawing/2014/chart" uri="{C3380CC4-5D6E-409C-BE32-E72D297353CC}">
                <c16:uniqueId val="{0000000B-DE69-454E-AAFB-FF348A122459}"/>
              </c:ext>
            </c:extLst>
          </c:dPt>
          <c:dLbls>
            <c:dLbl>
              <c:idx val="3"/>
              <c:layout>
                <c:manualLayout>
                  <c:x val="2.4976794393393936E-2"/>
                  <c:y val="-9.2591057696735056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DE69-454E-AAFB-FF348A122459}"/>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Alter!$A$4:$A$8</c:f>
              <c:strCache>
                <c:ptCount val="5"/>
                <c:pt idx="0">
                  <c:v>unbekannt</c:v>
                </c:pt>
                <c:pt idx="1">
                  <c:v>mittel</c:v>
                </c:pt>
                <c:pt idx="2">
                  <c:v>alt</c:v>
                </c:pt>
                <c:pt idx="3">
                  <c:v>jung</c:v>
                </c:pt>
                <c:pt idx="4">
                  <c:v>tot</c:v>
                </c:pt>
              </c:strCache>
            </c:strRef>
          </c:cat>
          <c:val>
            <c:numRef>
              <c:f>Alter!$B$4:$B$8</c:f>
              <c:numCache>
                <c:formatCode>General</c:formatCode>
                <c:ptCount val="5"/>
                <c:pt idx="0">
                  <c:v>430</c:v>
                </c:pt>
                <c:pt idx="1">
                  <c:v>73</c:v>
                </c:pt>
                <c:pt idx="2">
                  <c:v>38</c:v>
                </c:pt>
                <c:pt idx="3">
                  <c:v>12</c:v>
                </c:pt>
                <c:pt idx="4">
                  <c:v>8</c:v>
                </c:pt>
              </c:numCache>
            </c:numRef>
          </c:val>
          <c:extLst>
            <c:ext xmlns:c16="http://schemas.microsoft.com/office/drawing/2014/chart" uri="{C3380CC4-5D6E-409C-BE32-E72D297353CC}">
              <c16:uniqueId val="{00000000-488B-4603-81D0-D425A8FDADB1}"/>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[Statistiken_und_ Metriken_Berechnung.xlsx]Stand!PivotTable9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Anzahl von Stand</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Stand!$B$3</c:f>
              <c:strCache>
                <c:ptCount val="1"/>
                <c:pt idx="0">
                  <c:v>Ergebnis</c:v>
                </c:pt>
              </c:strCache>
            </c:strRef>
          </c:tx>
          <c:spPr>
            <a:solidFill>
              <a:schemeClr val="accent1"/>
            </a:solidFill>
            <a:ln>
              <a:noFill/>
            </a:ln>
            <a:effectLst/>
          </c:spPr>
          <c:invertIfNegative val="0"/>
          <c:cat>
            <c:strRef>
              <c:f>Stand!$A$4:$A$9</c:f>
              <c:strCache>
                <c:ptCount val="6"/>
                <c:pt idx="0">
                  <c:v>adel</c:v>
                </c:pt>
                <c:pt idx="1">
                  <c:v>unbekannt</c:v>
                </c:pt>
                <c:pt idx="2">
                  <c:v>buergerlich</c:v>
                </c:pt>
                <c:pt idx="3">
                  <c:v>bauer</c:v>
                </c:pt>
                <c:pt idx="4">
                  <c:v>klerus</c:v>
                </c:pt>
                <c:pt idx="5">
                  <c:v>NA</c:v>
                </c:pt>
              </c:strCache>
            </c:strRef>
          </c:cat>
          <c:val>
            <c:numRef>
              <c:f>Stand!$B$4:$B$9</c:f>
              <c:numCache>
                <c:formatCode>General</c:formatCode>
                <c:ptCount val="6"/>
                <c:pt idx="0">
                  <c:v>73</c:v>
                </c:pt>
                <c:pt idx="1">
                  <c:v>59</c:v>
                </c:pt>
                <c:pt idx="2">
                  <c:v>37</c:v>
                </c:pt>
                <c:pt idx="3">
                  <c:v>10</c:v>
                </c:pt>
                <c:pt idx="4">
                  <c:v>9</c:v>
                </c:pt>
                <c:pt idx="5">
                  <c:v>8</c:v>
                </c:pt>
              </c:numCache>
            </c:numRef>
          </c:val>
          <c:extLst>
            <c:ext xmlns:c16="http://schemas.microsoft.com/office/drawing/2014/chart" uri="{C3380CC4-5D6E-409C-BE32-E72D297353CC}">
              <c16:uniqueId val="{00000003-1F34-4019-8C6C-FD2318FA6EF3}"/>
            </c:ext>
          </c:extLst>
        </c:ser>
        <c:dLbls>
          <c:showLegendKey val="0"/>
          <c:showVal val="0"/>
          <c:showCatName val="0"/>
          <c:showSerName val="0"/>
          <c:showPercent val="0"/>
          <c:showBubbleSize val="0"/>
        </c:dLbls>
        <c:gapWidth val="219"/>
        <c:overlap val="-27"/>
        <c:axId val="843515616"/>
        <c:axId val="843491072"/>
      </c:barChart>
      <c:catAx>
        <c:axId val="843515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843491072"/>
        <c:crosses val="autoZero"/>
        <c:auto val="1"/>
        <c:lblAlgn val="ctr"/>
        <c:lblOffset val="100"/>
        <c:noMultiLvlLbl val="0"/>
      </c:catAx>
      <c:valAx>
        <c:axId val="843491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843515616"/>
        <c:crosses val="autoZero"/>
        <c:crossBetween val="between"/>
      </c:valAx>
    </c:plotArea>
    <c:plotVisOnly val="1"/>
    <c:dispBlanksAs val="gap"/>
    <c:showDLblsOverMax val="0"/>
  </c:chart>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[Statistiken_und_ Metriken_Berechnung.xlsx]Stand!PivotTable9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Stand</a:t>
            </a:r>
          </a:p>
        </c:rich>
      </c:tx>
      <c:layout>
        <c:manualLayout>
          <c:xMode val="edge"/>
          <c:yMode val="edge"/>
          <c:x val="0.87632297209731569"/>
          <c:y val="9.195503281755051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1"/>
          </a:solidFill>
          <a:ln w="19050">
            <a:solidFill>
              <a:schemeClr val="lt1"/>
            </a:solidFill>
          </a:ln>
          <a:effectLst/>
        </c:spPr>
        <c:dLbl>
          <c:idx val="0"/>
          <c:layout>
            <c:manualLayout>
              <c:x val="-4.9473854341013569E-2"/>
              <c:y val="-4.651832800169097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3"/>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4"/>
          </a:solidFill>
          <a:ln w="19050">
            <a:solidFill>
              <a:schemeClr val="lt1"/>
            </a:solidFill>
          </a:ln>
          <a:effectLst/>
        </c:spPr>
      </c:pivotFmt>
      <c:pivotFmt>
        <c:idx val="12"/>
        <c:spPr>
          <a:solidFill>
            <a:schemeClr val="accent3"/>
          </a:solidFill>
          <a:ln w="19050">
            <a:solidFill>
              <a:schemeClr val="lt1"/>
            </a:solidFill>
          </a:ln>
          <a:effectLst/>
        </c:spPr>
      </c:pivotFmt>
    </c:pivotFmts>
    <c:plotArea>
      <c:layout/>
      <c:pieChart>
        <c:varyColors val="1"/>
        <c:ser>
          <c:idx val="0"/>
          <c:order val="0"/>
          <c:tx>
            <c:strRef>
              <c:f>Stand!$B$3</c:f>
              <c:strCache>
                <c:ptCount val="1"/>
                <c:pt idx="0">
                  <c:v>Ergebnis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07-4208-988A-DC4B02C28BB9}"/>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4907-4208-988A-DC4B02C28BB9}"/>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907-4208-988A-DC4B02C28BB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907-4208-988A-DC4B02C28BB9}"/>
              </c:ext>
            </c:extLst>
          </c:dPt>
          <c:dPt>
            <c:idx val="4"/>
            <c:bubble3D val="0"/>
            <c:spPr>
              <a:solidFill>
                <a:schemeClr val="accent3"/>
              </a:solidFill>
              <a:ln w="19050">
                <a:solidFill>
                  <a:schemeClr val="lt1"/>
                </a:solidFill>
              </a:ln>
              <a:effectLst/>
            </c:spPr>
            <c:extLst>
              <c:ext xmlns:c16="http://schemas.microsoft.com/office/drawing/2014/chart" uri="{C3380CC4-5D6E-409C-BE32-E72D297353CC}">
                <c16:uniqueId val="{00000009-4907-4208-988A-DC4B02C28BB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907-4208-988A-DC4B02C28BB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907-4208-988A-DC4B02C28BB9}"/>
              </c:ext>
            </c:extLst>
          </c:dPt>
          <c:dLbls>
            <c:dLbl>
              <c:idx val="0"/>
              <c:layout>
                <c:manualLayout>
                  <c:x val="-4.9473854341013569E-2"/>
                  <c:y val="-4.651832800169097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907-4208-988A-DC4B02C28BB9}"/>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Stand!$A$4:$A$9</c:f>
              <c:strCache>
                <c:ptCount val="6"/>
                <c:pt idx="0">
                  <c:v>adel</c:v>
                </c:pt>
                <c:pt idx="1">
                  <c:v>unbekannt</c:v>
                </c:pt>
                <c:pt idx="2">
                  <c:v>buergerlich</c:v>
                </c:pt>
                <c:pt idx="3">
                  <c:v>bauer</c:v>
                </c:pt>
                <c:pt idx="4">
                  <c:v>klerus</c:v>
                </c:pt>
                <c:pt idx="5">
                  <c:v>NA</c:v>
                </c:pt>
              </c:strCache>
            </c:strRef>
          </c:cat>
          <c:val>
            <c:numRef>
              <c:f>Stand!$B$4:$B$9</c:f>
              <c:numCache>
                <c:formatCode>General</c:formatCode>
                <c:ptCount val="6"/>
                <c:pt idx="0">
                  <c:v>73</c:v>
                </c:pt>
                <c:pt idx="1">
                  <c:v>59</c:v>
                </c:pt>
                <c:pt idx="2">
                  <c:v>37</c:v>
                </c:pt>
                <c:pt idx="3">
                  <c:v>10</c:v>
                </c:pt>
                <c:pt idx="4">
                  <c:v>9</c:v>
                </c:pt>
                <c:pt idx="5">
                  <c:v>8</c:v>
                </c:pt>
              </c:numCache>
            </c:numRef>
          </c:val>
          <c:extLst>
            <c:ext xmlns:c16="http://schemas.microsoft.com/office/drawing/2014/chart" uri="{C3380CC4-5D6E-409C-BE32-E72D297353CC}">
              <c16:uniqueId val="{00000000-DC93-43D9-8E34-05B8069866FF}"/>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[Statistiken_und_ Metriken_Berechnung.xlsx]Bezeichnung!PivotTable7</c:name>
    <c:fmtId val="0"/>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de-DE"/>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3">
              <a:lumMod val="60000"/>
            </a:schemeClr>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4"/>
          </a:solidFill>
          <a:ln w="19050">
            <a:solidFill>
              <a:schemeClr val="lt1"/>
            </a:solidFill>
          </a:ln>
          <a:effectLst/>
        </c:spPr>
      </c:pivotFmt>
      <c:pivotFmt>
        <c:idx val="4"/>
        <c:spPr>
          <a:solidFill>
            <a:schemeClr val="accent3"/>
          </a:solidFill>
          <a:ln w="19050">
            <a:solidFill>
              <a:schemeClr val="lt1"/>
            </a:solidFill>
          </a:ln>
          <a:effectLst/>
        </c:spPr>
      </c:pivotFmt>
      <c:pivotFmt>
        <c:idx val="5"/>
        <c:spPr>
          <a:solidFill>
            <a:schemeClr val="accent5"/>
          </a:solidFill>
          <a:ln w="19050">
            <a:solidFill>
              <a:schemeClr val="lt1"/>
            </a:solidFill>
          </a:ln>
          <a:effectLst/>
        </c:spPr>
        <c:dLbl>
          <c:idx val="0"/>
          <c:layout>
            <c:manualLayout>
              <c:x val="-4.1109969167523124E-2"/>
              <c:y val="1.894477315200450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de-DE"/>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lumMod val="60000"/>
            </a:schemeClr>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1">
              <a:lumMod val="60000"/>
            </a:schemeClr>
          </a:solidFill>
          <a:ln w="19050">
            <a:solidFill>
              <a:schemeClr val="lt1"/>
            </a:solidFill>
          </a:ln>
          <a:effectLst/>
        </c:spPr>
      </c:pivotFmt>
      <c:pivotFmt>
        <c:idx val="9"/>
        <c:spPr>
          <a:solidFill>
            <a:schemeClr val="accent1">
              <a:lumMod val="80000"/>
            </a:schemeClr>
          </a:solidFill>
          <a:ln w="19050">
            <a:solidFill>
              <a:schemeClr val="lt1"/>
            </a:solidFill>
          </a:ln>
          <a:effectLst/>
        </c:spPr>
      </c:pivotFmt>
      <c:pivotFmt>
        <c:idx val="10"/>
        <c:spPr>
          <a:solidFill>
            <a:schemeClr val="accent5">
              <a:lumMod val="60000"/>
            </a:schemeClr>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6">
              <a:lumMod val="60000"/>
            </a:schemeClr>
          </a:solidFill>
          <a:ln w="19050">
            <a:solidFill>
              <a:schemeClr val="lt1"/>
            </a:solidFill>
          </a:ln>
          <a:effectLst/>
        </c:spPr>
      </c:pivotFmt>
      <c:pivotFmt>
        <c:idx val="13"/>
        <c:spPr>
          <a:solidFill>
            <a:schemeClr val="accent2">
              <a:lumMod val="80000"/>
              <a:lumOff val="20000"/>
            </a:schemeClr>
          </a:solidFill>
          <a:ln w="19050">
            <a:solidFill>
              <a:schemeClr val="lt1"/>
            </a:solidFill>
          </a:ln>
          <a:effectLst/>
        </c:spPr>
      </c:pivotFmt>
      <c:pivotFmt>
        <c:idx val="14"/>
        <c:spPr>
          <a:solidFill>
            <a:schemeClr val="accent1">
              <a:lumMod val="60000"/>
            </a:schemeClr>
          </a:solidFill>
          <a:ln w="19050">
            <a:solidFill>
              <a:schemeClr val="lt1"/>
            </a:solidFill>
          </a:ln>
          <a:effectLst/>
        </c:spPr>
      </c:pivotFmt>
      <c:pivotFmt>
        <c:idx val="15"/>
        <c:spPr>
          <a:solidFill>
            <a:schemeClr val="accent3">
              <a:lumMod val="80000"/>
              <a:lumOff val="20000"/>
            </a:schemeClr>
          </a:solidFill>
          <a:ln w="19050">
            <a:solidFill>
              <a:schemeClr val="lt1"/>
            </a:solidFill>
          </a:ln>
          <a:effectLst/>
        </c:spPr>
      </c:pivotFmt>
      <c:pivotFmt>
        <c:idx val="16"/>
        <c:spPr>
          <a:solidFill>
            <a:schemeClr val="accent6">
              <a:lumMod val="80000"/>
              <a:lumOff val="20000"/>
            </a:schemeClr>
          </a:solidFill>
          <a:ln w="19050">
            <a:solidFill>
              <a:schemeClr val="lt1"/>
            </a:solidFill>
          </a:ln>
          <a:effectLst/>
        </c:spPr>
      </c:pivotFmt>
      <c:pivotFmt>
        <c:idx val="17"/>
        <c:spPr>
          <a:solidFill>
            <a:schemeClr val="accent5">
              <a:lumMod val="80000"/>
              <a:lumOff val="20000"/>
            </a:schemeClr>
          </a:solidFill>
          <a:ln w="19050">
            <a:solidFill>
              <a:schemeClr val="lt1"/>
            </a:solidFill>
          </a:ln>
          <a:effectLst/>
        </c:spPr>
      </c:pivotFmt>
      <c:pivotFmt>
        <c:idx val="18"/>
        <c:spPr>
          <a:solidFill>
            <a:schemeClr val="accent4">
              <a:lumMod val="80000"/>
              <a:lumOff val="20000"/>
            </a:schemeClr>
          </a:solidFill>
          <a:ln w="19050">
            <a:solidFill>
              <a:schemeClr val="lt1"/>
            </a:solidFill>
          </a:ln>
          <a:effectLst/>
        </c:spPr>
      </c:pivotFmt>
      <c:pivotFmt>
        <c:idx val="19"/>
        <c:spPr>
          <a:solidFill>
            <a:schemeClr val="accent2">
              <a:lumMod val="80000"/>
            </a:schemeClr>
          </a:solidFill>
          <a:ln w="19050">
            <a:solidFill>
              <a:schemeClr val="lt1"/>
            </a:solidFill>
          </a:ln>
          <a:effectLst/>
        </c:spPr>
      </c:pivotFmt>
      <c:pivotFmt>
        <c:idx val="20"/>
        <c:spPr>
          <a:solidFill>
            <a:schemeClr val="accent3">
              <a:lumMod val="80000"/>
            </a:schemeClr>
          </a:solidFill>
          <a:ln w="19050">
            <a:solidFill>
              <a:schemeClr val="lt1"/>
            </a:solidFill>
          </a:ln>
          <a:effectLst/>
        </c:spPr>
      </c:pivotFmt>
      <c:pivotFmt>
        <c:idx val="21"/>
        <c:spPr>
          <a:solidFill>
            <a:schemeClr val="accent1">
              <a:lumMod val="60000"/>
              <a:lumOff val="40000"/>
            </a:schemeClr>
          </a:solidFill>
          <a:ln w="19050">
            <a:solidFill>
              <a:schemeClr val="lt1"/>
            </a:solidFill>
          </a:ln>
          <a:effectLst/>
        </c:spPr>
      </c:pivotFmt>
      <c:pivotFmt>
        <c:idx val="22"/>
        <c:spPr>
          <a:solidFill>
            <a:schemeClr val="accent4">
              <a:lumMod val="80000"/>
            </a:schemeClr>
          </a:solidFill>
          <a:ln w="19050">
            <a:solidFill>
              <a:schemeClr val="lt1"/>
            </a:solidFill>
          </a:ln>
          <a:effectLst/>
        </c:spPr>
      </c:pivotFmt>
      <c:pivotFmt>
        <c:idx val="23"/>
        <c:spPr>
          <a:solidFill>
            <a:schemeClr val="accent5">
              <a:lumMod val="80000"/>
            </a:schemeClr>
          </a:solidFill>
          <a:ln w="19050">
            <a:solidFill>
              <a:schemeClr val="lt1"/>
            </a:solidFill>
          </a:ln>
          <a:effectLst/>
        </c:spPr>
      </c:pivotFmt>
      <c:pivotFmt>
        <c:idx val="24"/>
        <c:spPr>
          <a:solidFill>
            <a:schemeClr val="accent6">
              <a:lumMod val="80000"/>
            </a:schemeClr>
          </a:solidFill>
          <a:ln w="19050">
            <a:solidFill>
              <a:schemeClr val="lt1"/>
            </a:solidFill>
          </a:ln>
          <a:effectLst/>
        </c:spPr>
      </c:pivotFmt>
      <c:pivotFmt>
        <c:idx val="25"/>
        <c:spPr>
          <a:solidFill>
            <a:schemeClr val="accent2">
              <a:lumMod val="60000"/>
              <a:lumOff val="40000"/>
            </a:schemeClr>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3">
              <a:lumMod val="60000"/>
              <a:lumOff val="40000"/>
            </a:schemeClr>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s>
    <c:plotArea>
      <c:layout/>
      <c:pieChart>
        <c:varyColors val="1"/>
        <c:ser>
          <c:idx val="0"/>
          <c:order val="0"/>
          <c:tx>
            <c:strRef>
              <c:f>Bezeichnung!$B$3</c:f>
              <c:strCache>
                <c:ptCount val="1"/>
                <c:pt idx="0">
                  <c:v>Ergebnis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04C-4D71-A4FA-4AF81B03F4C5}"/>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904C-4D71-A4FA-4AF81B03F4C5}"/>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904C-4D71-A4FA-4AF81B03F4C5}"/>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904C-4D71-A4FA-4AF81B03F4C5}"/>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904C-4D71-A4FA-4AF81B03F4C5}"/>
              </c:ext>
            </c:extLst>
          </c:dPt>
          <c:dPt>
            <c:idx val="5"/>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0B-904C-4D71-A4FA-4AF81B03F4C5}"/>
              </c:ext>
            </c:extLst>
          </c:dPt>
          <c:dPt>
            <c:idx val="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D-904C-4D71-A4FA-4AF81B03F4C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04C-4D71-A4FA-4AF81B03F4C5}"/>
              </c:ext>
            </c:extLst>
          </c:dPt>
          <c:dPt>
            <c:idx val="8"/>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1-904C-4D71-A4FA-4AF81B03F4C5}"/>
              </c:ext>
            </c:extLst>
          </c:dPt>
          <c:dPt>
            <c:idx val="9"/>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2-382A-4B3C-98B7-1B8F3CF13579}"/>
              </c:ext>
            </c:extLst>
          </c:dPt>
          <c:dPt>
            <c:idx val="10"/>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15-904C-4D71-A4FA-4AF81B03F4C5}"/>
              </c:ext>
            </c:extLst>
          </c:dPt>
          <c:dPt>
            <c:idx val="1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7-904C-4D71-A4FA-4AF81B03F4C5}"/>
              </c:ext>
            </c:extLst>
          </c:dPt>
          <c:dPt>
            <c:idx val="12"/>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19-904C-4D71-A4FA-4AF81B03F4C5}"/>
              </c:ext>
            </c:extLst>
          </c:dPt>
          <c:dPt>
            <c:idx val="13"/>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1B-904C-4D71-A4FA-4AF81B03F4C5}"/>
              </c:ext>
            </c:extLst>
          </c:dPt>
          <c:dPt>
            <c:idx val="1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1D-904C-4D71-A4FA-4AF81B03F4C5}"/>
              </c:ext>
            </c:extLst>
          </c:dPt>
          <c:dPt>
            <c:idx val="1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1F-904C-4D71-A4FA-4AF81B03F4C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904C-4D71-A4FA-4AF81B03F4C5}"/>
              </c:ext>
            </c:extLst>
          </c:dPt>
          <c:dPt>
            <c:idx val="17"/>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3-904C-4D71-A4FA-4AF81B03F4C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904C-4D71-A4FA-4AF81B03F4C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904C-4D71-A4FA-4AF81B03F4C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904C-4D71-A4FA-4AF81B03F4C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904C-4D71-A4FA-4AF81B03F4C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904C-4D71-A4FA-4AF81B03F4C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904C-4D71-A4FA-4AF81B03F4C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904C-4D71-A4FA-4AF81B03F4C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904C-4D71-A4FA-4AF81B03F4C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904C-4D71-A4FA-4AF81B03F4C5}"/>
              </c:ext>
            </c:extLst>
          </c:dPt>
          <c:dLbls>
            <c:dLbl>
              <c:idx val="2"/>
              <c:layout>
                <c:manualLayout>
                  <c:x val="-4.1109969167523124E-2"/>
                  <c:y val="1.894477315200450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04C-4D71-A4FA-4AF81B03F4C5}"/>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de-DE"/>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Bezeichnung!$A$4:$A$22</c:f>
              <c:strCache>
                <c:ptCount val="18"/>
                <c:pt idx="0">
                  <c:v>unbekannt</c:v>
                </c:pt>
                <c:pt idx="1">
                  <c:v>betrueger</c:v>
                </c:pt>
                <c:pt idx="2">
                  <c:v>helfer</c:v>
                </c:pt>
                <c:pt idx="3">
                  <c:v>betrogener</c:v>
                </c:pt>
                <c:pt idx="4">
                  <c:v>gegner</c:v>
                </c:pt>
                <c:pt idx="5">
                  <c:v>ehefrau</c:v>
                </c:pt>
                <c:pt idx="6">
                  <c:v>bote</c:v>
                </c:pt>
                <c:pt idx="7">
                  <c:v>ehemann</c:v>
                </c:pt>
                <c:pt idx="8">
                  <c:v>gegenspieler</c:v>
                </c:pt>
                <c:pt idx="9">
                  <c:v>vater</c:v>
                </c:pt>
                <c:pt idx="10">
                  <c:v>mutter</c:v>
                </c:pt>
                <c:pt idx="11">
                  <c:v>kind</c:v>
                </c:pt>
                <c:pt idx="12">
                  <c:v>liebender</c:v>
                </c:pt>
                <c:pt idx="13">
                  <c:v>begleiter</c:v>
                </c:pt>
                <c:pt idx="14">
                  <c:v>liebende</c:v>
                </c:pt>
                <c:pt idx="15">
                  <c:v>ratgeber</c:v>
                </c:pt>
                <c:pt idx="16">
                  <c:v>ehefrau/gegenspieler</c:v>
                </c:pt>
                <c:pt idx="17">
                  <c:v>NA</c:v>
                </c:pt>
              </c:strCache>
            </c:strRef>
          </c:cat>
          <c:val>
            <c:numRef>
              <c:f>Bezeichnung!$B$4:$B$22</c:f>
              <c:numCache>
                <c:formatCode>General</c:formatCode>
                <c:ptCount val="18"/>
                <c:pt idx="0">
                  <c:v>197</c:v>
                </c:pt>
                <c:pt idx="1">
                  <c:v>75</c:v>
                </c:pt>
                <c:pt idx="2">
                  <c:v>66</c:v>
                </c:pt>
                <c:pt idx="3">
                  <c:v>63</c:v>
                </c:pt>
                <c:pt idx="4">
                  <c:v>28</c:v>
                </c:pt>
                <c:pt idx="5">
                  <c:v>24</c:v>
                </c:pt>
                <c:pt idx="6">
                  <c:v>23</c:v>
                </c:pt>
                <c:pt idx="7">
                  <c:v>21</c:v>
                </c:pt>
                <c:pt idx="8">
                  <c:v>19</c:v>
                </c:pt>
                <c:pt idx="9">
                  <c:v>15</c:v>
                </c:pt>
                <c:pt idx="10">
                  <c:v>10</c:v>
                </c:pt>
                <c:pt idx="11">
                  <c:v>8</c:v>
                </c:pt>
                <c:pt idx="12">
                  <c:v>7</c:v>
                </c:pt>
                <c:pt idx="13">
                  <c:v>6</c:v>
                </c:pt>
                <c:pt idx="14">
                  <c:v>5</c:v>
                </c:pt>
                <c:pt idx="15">
                  <c:v>2</c:v>
                </c:pt>
                <c:pt idx="16">
                  <c:v>1</c:v>
                </c:pt>
                <c:pt idx="17">
                  <c:v>1</c:v>
                </c:pt>
              </c:numCache>
            </c:numRef>
          </c:val>
          <c:extLst>
            <c:ext xmlns:c16="http://schemas.microsoft.com/office/drawing/2014/chart" uri="{C3380CC4-5D6E-409C-BE32-E72D297353CC}">
              <c16:uniqueId val="{00000000-382A-4B3C-98B7-1B8F3CF13579}"/>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[Statistiken_und_ Metriken_Berechnung.xlsx]Bezeichnung!PivotTable7</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Bezeichnung!$B$3</c:f>
              <c:strCache>
                <c:ptCount val="1"/>
                <c:pt idx="0">
                  <c:v>Ergebnis</c:v>
                </c:pt>
              </c:strCache>
            </c:strRef>
          </c:tx>
          <c:spPr>
            <a:solidFill>
              <a:schemeClr val="accent1"/>
            </a:solidFill>
            <a:ln>
              <a:noFill/>
            </a:ln>
            <a:effectLst/>
          </c:spPr>
          <c:invertIfNegative val="0"/>
          <c:cat>
            <c:strRef>
              <c:f>Bezeichnung!$A$4:$A$22</c:f>
              <c:strCache>
                <c:ptCount val="18"/>
                <c:pt idx="0">
                  <c:v>unbekannt</c:v>
                </c:pt>
                <c:pt idx="1">
                  <c:v>betrueger</c:v>
                </c:pt>
                <c:pt idx="2">
                  <c:v>helfer</c:v>
                </c:pt>
                <c:pt idx="3">
                  <c:v>betrogener</c:v>
                </c:pt>
                <c:pt idx="4">
                  <c:v>gegner</c:v>
                </c:pt>
                <c:pt idx="5">
                  <c:v>ehefrau</c:v>
                </c:pt>
                <c:pt idx="6">
                  <c:v>bote</c:v>
                </c:pt>
                <c:pt idx="7">
                  <c:v>ehemann</c:v>
                </c:pt>
                <c:pt idx="8">
                  <c:v>gegenspieler</c:v>
                </c:pt>
                <c:pt idx="9">
                  <c:v>vater</c:v>
                </c:pt>
                <c:pt idx="10">
                  <c:v>mutter</c:v>
                </c:pt>
                <c:pt idx="11">
                  <c:v>kind</c:v>
                </c:pt>
                <c:pt idx="12">
                  <c:v>liebender</c:v>
                </c:pt>
                <c:pt idx="13">
                  <c:v>begleiter</c:v>
                </c:pt>
                <c:pt idx="14">
                  <c:v>liebende</c:v>
                </c:pt>
                <c:pt idx="15">
                  <c:v>ratgeber</c:v>
                </c:pt>
                <c:pt idx="16">
                  <c:v>ehefrau/gegenspieler</c:v>
                </c:pt>
                <c:pt idx="17">
                  <c:v>NA</c:v>
                </c:pt>
              </c:strCache>
            </c:strRef>
          </c:cat>
          <c:val>
            <c:numRef>
              <c:f>Bezeichnung!$B$4:$B$22</c:f>
              <c:numCache>
                <c:formatCode>General</c:formatCode>
                <c:ptCount val="18"/>
                <c:pt idx="0">
                  <c:v>197</c:v>
                </c:pt>
                <c:pt idx="1">
                  <c:v>75</c:v>
                </c:pt>
                <c:pt idx="2">
                  <c:v>66</c:v>
                </c:pt>
                <c:pt idx="3">
                  <c:v>63</c:v>
                </c:pt>
                <c:pt idx="4">
                  <c:v>28</c:v>
                </c:pt>
                <c:pt idx="5">
                  <c:v>24</c:v>
                </c:pt>
                <c:pt idx="6">
                  <c:v>23</c:v>
                </c:pt>
                <c:pt idx="7">
                  <c:v>21</c:v>
                </c:pt>
                <c:pt idx="8">
                  <c:v>19</c:v>
                </c:pt>
                <c:pt idx="9">
                  <c:v>15</c:v>
                </c:pt>
                <c:pt idx="10">
                  <c:v>10</c:v>
                </c:pt>
                <c:pt idx="11">
                  <c:v>8</c:v>
                </c:pt>
                <c:pt idx="12">
                  <c:v>7</c:v>
                </c:pt>
                <c:pt idx="13">
                  <c:v>6</c:v>
                </c:pt>
                <c:pt idx="14">
                  <c:v>5</c:v>
                </c:pt>
                <c:pt idx="15">
                  <c:v>2</c:v>
                </c:pt>
                <c:pt idx="16">
                  <c:v>1</c:v>
                </c:pt>
                <c:pt idx="17">
                  <c:v>1</c:v>
                </c:pt>
              </c:numCache>
            </c:numRef>
          </c:val>
          <c:extLst>
            <c:ext xmlns:c16="http://schemas.microsoft.com/office/drawing/2014/chart" uri="{C3380CC4-5D6E-409C-BE32-E72D297353CC}">
              <c16:uniqueId val="{00000000-A779-4CD9-877D-C6CF834F76F6}"/>
            </c:ext>
          </c:extLst>
        </c:ser>
        <c:dLbls>
          <c:showLegendKey val="0"/>
          <c:showVal val="0"/>
          <c:showCatName val="0"/>
          <c:showSerName val="0"/>
          <c:showPercent val="0"/>
          <c:showBubbleSize val="0"/>
        </c:dLbls>
        <c:gapWidth val="182"/>
        <c:axId val="922363935"/>
        <c:axId val="922362687"/>
      </c:barChart>
      <c:catAx>
        <c:axId val="922363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922362687"/>
        <c:crosses val="autoZero"/>
        <c:auto val="1"/>
        <c:lblAlgn val="ctr"/>
        <c:lblOffset val="100"/>
        <c:noMultiLvlLbl val="0"/>
      </c:catAx>
      <c:valAx>
        <c:axId val="922362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922363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[Statistiken_und_ Metriken_Berechnung.xlsx]Rolle!PivotTable25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Anzahl von Rolle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Rolle!$B$3</c:f>
              <c:strCache>
                <c:ptCount val="1"/>
                <c:pt idx="0">
                  <c:v>Ergebnis</c:v>
                </c:pt>
              </c:strCache>
            </c:strRef>
          </c:tx>
          <c:spPr>
            <a:solidFill>
              <a:schemeClr val="accent1"/>
            </a:solidFill>
            <a:ln>
              <a:noFill/>
            </a:ln>
            <a:effectLst/>
          </c:spPr>
          <c:invertIfNegative val="0"/>
          <c:cat>
            <c:strRef>
              <c:f>Rolle!$A$4:$A$5</c:f>
              <c:strCache>
                <c:ptCount val="2"/>
                <c:pt idx="0">
                  <c:v>nebenfigur</c:v>
                </c:pt>
                <c:pt idx="1">
                  <c:v>hauptfigur</c:v>
                </c:pt>
              </c:strCache>
            </c:strRef>
          </c:cat>
          <c:val>
            <c:numRef>
              <c:f>Rolle!$B$4:$B$5</c:f>
              <c:numCache>
                <c:formatCode>General</c:formatCode>
                <c:ptCount val="2"/>
                <c:pt idx="0">
                  <c:v>372</c:v>
                </c:pt>
                <c:pt idx="1">
                  <c:v>199</c:v>
                </c:pt>
              </c:numCache>
            </c:numRef>
          </c:val>
          <c:extLst>
            <c:ext xmlns:c16="http://schemas.microsoft.com/office/drawing/2014/chart" uri="{C3380CC4-5D6E-409C-BE32-E72D297353CC}">
              <c16:uniqueId val="{00000000-A806-40E1-99E5-EA6556C85ABB}"/>
            </c:ext>
          </c:extLst>
        </c:ser>
        <c:dLbls>
          <c:showLegendKey val="0"/>
          <c:showVal val="0"/>
          <c:showCatName val="0"/>
          <c:showSerName val="0"/>
          <c:showPercent val="0"/>
          <c:showBubbleSize val="0"/>
        </c:dLbls>
        <c:gapWidth val="182"/>
        <c:axId val="1898006144"/>
        <c:axId val="549204816"/>
      </c:barChart>
      <c:catAx>
        <c:axId val="1898006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49204816"/>
        <c:crosses val="autoZero"/>
        <c:auto val="1"/>
        <c:lblAlgn val="ctr"/>
        <c:lblOffset val="100"/>
        <c:noMultiLvlLbl val="0"/>
      </c:catAx>
      <c:valAx>
        <c:axId val="549204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8980061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[Statistiken_und_ Metriken_Berechnung.xlsx]Rolle!PivotTable25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Rolle</a:t>
            </a:r>
          </a:p>
        </c:rich>
      </c:tx>
      <c:layout>
        <c:manualLayout>
          <c:xMode val="edge"/>
          <c:yMode val="edge"/>
          <c:x val="0.86858680013385714"/>
          <c:y val="8.36683649837887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dLbl>
          <c:idx val="0"/>
          <c:layout>
            <c:manualLayout>
              <c:x val="-3.6040232987541103E-2"/>
              <c:y val="8.470588235294117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c:spPr>
        <c:dLbl>
          <c:idx val="0"/>
          <c:layout>
            <c:manualLayout>
              <c:x val="-5.2685566756115007E-2"/>
              <c:y val="8.470588235294117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a:noFill/>
          </a:ln>
          <a:effectLst/>
        </c:spPr>
        <c:dLbl>
          <c:idx val="0"/>
          <c:layout>
            <c:manualLayout>
              <c:x val="-7.4869962421223568E-2"/>
              <c:y val="1.41176470588235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dLbl>
          <c:idx val="0"/>
          <c:layout>
            <c:manualLayout>
              <c:x val="0.19160179183545256"/>
              <c:y val="4.660120426123200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a:noFill/>
          </a:ln>
          <a:effectLst/>
        </c:spPr>
        <c:dLbl>
          <c:idx val="0"/>
          <c:layout>
            <c:manualLayout>
              <c:x val="9.4305152956744562E-2"/>
              <c:y val="7.4508568781843226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a:noFill/>
          </a:ln>
          <a:effectLst/>
        </c:spPr>
        <c:dLbl>
          <c:idx val="0"/>
          <c:layout>
            <c:manualLayout>
              <c:x val="-5.2685566756115007E-2"/>
              <c:y val="8.470588235294117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a:noFill/>
          </a:ln>
          <a:effectLst/>
        </c:spPr>
      </c:pivotFmt>
      <c:pivotFmt>
        <c:idx val="14"/>
        <c:spPr>
          <a:solidFill>
            <a:schemeClr val="accent1"/>
          </a:solidFill>
          <a:ln>
            <a:noFill/>
          </a:ln>
          <a:effectLst/>
        </c:spPr>
      </c:pivotFmt>
    </c:pivotFmts>
    <c:plotArea>
      <c:layout/>
      <c:pieChart>
        <c:varyColors val="1"/>
        <c:ser>
          <c:idx val="0"/>
          <c:order val="0"/>
          <c:tx>
            <c:strRef>
              <c:f>Rolle!$B$3</c:f>
              <c:strCache>
                <c:ptCount val="1"/>
                <c:pt idx="0">
                  <c:v>Ergebnis</c:v>
                </c:pt>
              </c:strCache>
            </c:strRef>
          </c:tx>
          <c:dPt>
            <c:idx val="0"/>
            <c:bubble3D val="0"/>
            <c:spPr>
              <a:solidFill>
                <a:schemeClr val="accent1"/>
              </a:solidFill>
              <a:ln>
                <a:noFill/>
              </a:ln>
              <a:effectLst/>
            </c:spPr>
            <c:extLst>
              <c:ext xmlns:c16="http://schemas.microsoft.com/office/drawing/2014/chart" uri="{C3380CC4-5D6E-409C-BE32-E72D297353CC}">
                <c16:uniqueId val="{00000001-CC10-4AD5-A88A-F5CE8BBD8146}"/>
              </c:ext>
            </c:extLst>
          </c:dPt>
          <c:dPt>
            <c:idx val="1"/>
            <c:bubble3D val="0"/>
            <c:spPr>
              <a:solidFill>
                <a:schemeClr val="accent2"/>
              </a:solidFill>
              <a:ln>
                <a:noFill/>
              </a:ln>
              <a:effectLst/>
            </c:spPr>
            <c:extLst>
              <c:ext xmlns:c16="http://schemas.microsoft.com/office/drawing/2014/chart" uri="{C3380CC4-5D6E-409C-BE32-E72D297353CC}">
                <c16:uniqueId val="{00000003-CC10-4AD5-A88A-F5CE8BBD8146}"/>
              </c:ext>
            </c:extLst>
          </c:dPt>
          <c:dPt>
            <c:idx val="2"/>
            <c:bubble3D val="0"/>
            <c:spPr>
              <a:solidFill>
                <a:schemeClr val="accent3"/>
              </a:solidFill>
              <a:ln>
                <a:noFill/>
              </a:ln>
              <a:effectLst/>
            </c:spPr>
            <c:extLst>
              <c:ext xmlns:c16="http://schemas.microsoft.com/office/drawing/2014/chart" uri="{C3380CC4-5D6E-409C-BE32-E72D297353CC}">
                <c16:uniqueId val="{00000005-CC10-4AD5-A88A-F5CE8BBD8146}"/>
              </c:ext>
            </c:extLst>
          </c:dPt>
          <c:dPt>
            <c:idx val="3"/>
            <c:bubble3D val="0"/>
            <c:spPr>
              <a:solidFill>
                <a:schemeClr val="accent4"/>
              </a:solidFill>
              <a:ln>
                <a:noFill/>
              </a:ln>
              <a:effectLst/>
            </c:spPr>
            <c:extLst>
              <c:ext xmlns:c16="http://schemas.microsoft.com/office/drawing/2014/chart" uri="{C3380CC4-5D6E-409C-BE32-E72D297353CC}">
                <c16:uniqueId val="{00000007-CC10-4AD5-A88A-F5CE8BBD8146}"/>
              </c:ext>
            </c:extLst>
          </c:dPt>
          <c:dPt>
            <c:idx val="4"/>
            <c:bubble3D val="0"/>
            <c:spPr>
              <a:solidFill>
                <a:schemeClr val="accent5"/>
              </a:solidFill>
              <a:ln>
                <a:noFill/>
              </a:ln>
              <a:effectLst/>
            </c:spPr>
            <c:extLst>
              <c:ext xmlns:c16="http://schemas.microsoft.com/office/drawing/2014/chart" uri="{C3380CC4-5D6E-409C-BE32-E72D297353CC}">
                <c16:uniqueId val="{00000009-CC10-4AD5-A88A-F5CE8BBD8146}"/>
              </c:ext>
            </c:extLst>
          </c:dPt>
          <c:dPt>
            <c:idx val="5"/>
            <c:bubble3D val="0"/>
            <c:spPr>
              <a:solidFill>
                <a:schemeClr val="accent6"/>
              </a:solidFill>
              <a:ln>
                <a:noFill/>
              </a:ln>
              <a:effectLst/>
            </c:spPr>
            <c:extLst>
              <c:ext xmlns:c16="http://schemas.microsoft.com/office/drawing/2014/chart" uri="{C3380CC4-5D6E-409C-BE32-E72D297353CC}">
                <c16:uniqueId val="{0000000B-CC10-4AD5-A88A-F5CE8BBD8146}"/>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CC10-4AD5-A88A-F5CE8BBD8146}"/>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CC10-4AD5-A88A-F5CE8BBD8146}"/>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CC10-4AD5-A88A-F5CE8BBD8146}"/>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3-CC10-4AD5-A88A-F5CE8BBD8146}"/>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Rolle!$A$4:$A$5</c:f>
              <c:strCache>
                <c:ptCount val="2"/>
                <c:pt idx="0">
                  <c:v>nebenfigur</c:v>
                </c:pt>
                <c:pt idx="1">
                  <c:v>hauptfigur</c:v>
                </c:pt>
              </c:strCache>
            </c:strRef>
          </c:cat>
          <c:val>
            <c:numRef>
              <c:f>Rolle!$B$4:$B$5</c:f>
              <c:numCache>
                <c:formatCode>General</c:formatCode>
                <c:ptCount val="2"/>
                <c:pt idx="0">
                  <c:v>372</c:v>
                </c:pt>
                <c:pt idx="1">
                  <c:v>199</c:v>
                </c:pt>
              </c:numCache>
            </c:numRef>
          </c:val>
          <c:extLst>
            <c:ext xmlns:c16="http://schemas.microsoft.com/office/drawing/2014/chart" uri="{C3380CC4-5D6E-409C-BE32-E72D297353CC}">
              <c16:uniqueId val="{00000000-ECF3-4D18-A060-7EB052058567}"/>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Average Closeness Centrality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v>Average Category</c:v>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Figuren!$I$570:$I$572</c:f>
              <c:strCache>
                <c:ptCount val="3"/>
                <c:pt idx="0">
                  <c:v>Average Ehekonstellation</c:v>
                </c:pt>
                <c:pt idx="1">
                  <c:v>Average Liebeskonstellation</c:v>
                </c:pt>
                <c:pt idx="2">
                  <c:v>Average Un. Verhältnis</c:v>
                </c:pt>
              </c:strCache>
            </c:strRef>
          </c:cat>
          <c:val>
            <c:numRef>
              <c:f>Centrality!$F$5:$F$7</c:f>
              <c:numCache>
                <c:formatCode>0.000</c:formatCode>
                <c:ptCount val="3"/>
                <c:pt idx="0">
                  <c:v>0.36397061418145926</c:v>
                </c:pt>
                <c:pt idx="1">
                  <c:v>0.36881921009067509</c:v>
                </c:pt>
                <c:pt idx="2">
                  <c:v>0.33901094426364736</c:v>
                </c:pt>
              </c:numCache>
            </c:numRef>
          </c:val>
          <c:extLst>
            <c:ext xmlns:c16="http://schemas.microsoft.com/office/drawing/2014/chart" uri="{C3380CC4-5D6E-409C-BE32-E72D297353CC}">
              <c16:uniqueId val="{00000002-745A-404F-BABF-0D03FD032F80}"/>
            </c:ext>
          </c:extLst>
        </c:ser>
        <c:dLbls>
          <c:dLblPos val="inBase"/>
          <c:showLegendKey val="0"/>
          <c:showVal val="1"/>
          <c:showCatName val="0"/>
          <c:showSerName val="0"/>
          <c:showPercent val="0"/>
          <c:showBubbleSize val="0"/>
        </c:dLbls>
        <c:gapWidth val="219"/>
        <c:axId val="2016330863"/>
        <c:axId val="1523561391"/>
      </c:barChart>
      <c:lineChart>
        <c:grouping val="standard"/>
        <c:varyColors val="0"/>
        <c:ser>
          <c:idx val="1"/>
          <c:order val="1"/>
          <c:tx>
            <c:v>Average overall</c:v>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Centrality!$G$5:$G$7</c:f>
              <c:numCache>
                <c:formatCode>0.000</c:formatCode>
                <c:ptCount val="3"/>
                <c:pt idx="0">
                  <c:v>0.35223186090620551</c:v>
                </c:pt>
                <c:pt idx="1">
                  <c:v>0.35223186090620551</c:v>
                </c:pt>
                <c:pt idx="2">
                  <c:v>0.35223186090620551</c:v>
                </c:pt>
              </c:numCache>
            </c:numRef>
          </c:val>
          <c:smooth val="0"/>
          <c:extLst>
            <c:ext xmlns:c16="http://schemas.microsoft.com/office/drawing/2014/chart" uri="{C3380CC4-5D6E-409C-BE32-E72D297353CC}">
              <c16:uniqueId val="{00000005-745A-404F-BABF-0D03FD032F80}"/>
            </c:ext>
          </c:extLst>
        </c:ser>
        <c:dLbls>
          <c:showLegendKey val="0"/>
          <c:showVal val="1"/>
          <c:showCatName val="0"/>
          <c:showSerName val="0"/>
          <c:showPercent val="0"/>
          <c:showBubbleSize val="0"/>
        </c:dLbls>
        <c:marker val="1"/>
        <c:smooth val="0"/>
        <c:axId val="2016330863"/>
        <c:axId val="1523561391"/>
      </c:lineChart>
      <c:catAx>
        <c:axId val="2016330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1523561391"/>
        <c:crosses val="autoZero"/>
        <c:auto val="1"/>
        <c:lblAlgn val="ctr"/>
        <c:lblOffset val="100"/>
        <c:noMultiLvlLbl val="0"/>
      </c:catAx>
      <c:valAx>
        <c:axId val="1523561391"/>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0163308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Eigenvector Centrality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v>Average Category</c:v>
          </c:tx>
          <c:spPr>
            <a:solidFill>
              <a:schemeClr val="accent4">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Figuren!$I$570:$I$572</c:f>
              <c:strCache>
                <c:ptCount val="3"/>
                <c:pt idx="0">
                  <c:v>Average Ehekonstellation</c:v>
                </c:pt>
                <c:pt idx="1">
                  <c:v>Average Liebeskonstellation</c:v>
                </c:pt>
                <c:pt idx="2">
                  <c:v>Average Un. Verhältnis</c:v>
                </c:pt>
              </c:strCache>
            </c:strRef>
          </c:cat>
          <c:val>
            <c:numRef>
              <c:f>Centrality!$H$5:$H$7</c:f>
              <c:numCache>
                <c:formatCode>0.000</c:formatCode>
                <c:ptCount val="3"/>
                <c:pt idx="0">
                  <c:v>0.43745091381076634</c:v>
                </c:pt>
                <c:pt idx="1">
                  <c:v>0.41141616915073165</c:v>
                </c:pt>
                <c:pt idx="2">
                  <c:v>0.42242342720527315</c:v>
                </c:pt>
              </c:numCache>
            </c:numRef>
          </c:val>
          <c:extLst>
            <c:ext xmlns:c16="http://schemas.microsoft.com/office/drawing/2014/chart" uri="{C3380CC4-5D6E-409C-BE32-E72D297353CC}">
              <c16:uniqueId val="{00000000-036D-4906-87D8-5EC75906803B}"/>
            </c:ext>
          </c:extLst>
        </c:ser>
        <c:dLbls>
          <c:dLblPos val="inBase"/>
          <c:showLegendKey val="0"/>
          <c:showVal val="1"/>
          <c:showCatName val="0"/>
          <c:showSerName val="0"/>
          <c:showPercent val="0"/>
          <c:showBubbleSize val="0"/>
        </c:dLbls>
        <c:gapWidth val="219"/>
        <c:axId val="728656655"/>
        <c:axId val="728669135"/>
      </c:barChart>
      <c:lineChart>
        <c:grouping val="standard"/>
        <c:varyColors val="0"/>
        <c:ser>
          <c:idx val="1"/>
          <c:order val="1"/>
          <c:tx>
            <c:v>Average overall</c:v>
          </c:tx>
          <c:spPr>
            <a:ln w="28575" cap="rnd">
              <a:solidFill>
                <a:schemeClr val="accent4">
                  <a:tint val="77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Centrality!$I$5:$I$7</c:f>
              <c:numCache>
                <c:formatCode>0.000</c:formatCode>
                <c:ptCount val="3"/>
                <c:pt idx="0">
                  <c:v>0.42111383642162159</c:v>
                </c:pt>
                <c:pt idx="1">
                  <c:v>0.42111383642162159</c:v>
                </c:pt>
                <c:pt idx="2">
                  <c:v>0.42111383642162159</c:v>
                </c:pt>
              </c:numCache>
            </c:numRef>
          </c:val>
          <c:smooth val="0"/>
          <c:extLst>
            <c:ext xmlns:c16="http://schemas.microsoft.com/office/drawing/2014/chart" uri="{C3380CC4-5D6E-409C-BE32-E72D297353CC}">
              <c16:uniqueId val="{00000002-036D-4906-87D8-5EC75906803B}"/>
            </c:ext>
          </c:extLst>
        </c:ser>
        <c:dLbls>
          <c:showLegendKey val="0"/>
          <c:showVal val="1"/>
          <c:showCatName val="0"/>
          <c:showSerName val="0"/>
          <c:showPercent val="0"/>
          <c:showBubbleSize val="0"/>
        </c:dLbls>
        <c:marker val="1"/>
        <c:smooth val="0"/>
        <c:axId val="728656655"/>
        <c:axId val="728669135"/>
      </c:lineChart>
      <c:catAx>
        <c:axId val="728656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728669135"/>
        <c:crosses val="autoZero"/>
        <c:auto val="1"/>
        <c:lblAlgn val="ctr"/>
        <c:lblOffset val="100"/>
        <c:noMultiLvlLbl val="0"/>
      </c:catAx>
      <c:valAx>
        <c:axId val="728669135"/>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28656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Average Degree Centrality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v>Average Category</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de-D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Centrality!$A$5:$A$7</c:f>
              <c:strCache>
                <c:ptCount val="3"/>
                <c:pt idx="0">
                  <c:v>Average Ehekonstellation</c:v>
                </c:pt>
                <c:pt idx="1">
                  <c:v>Average Liebeskonstellation</c:v>
                </c:pt>
                <c:pt idx="2">
                  <c:v>Average Un. Verhältnis</c:v>
                </c:pt>
              </c:strCache>
            </c:strRef>
          </c:cat>
          <c:val>
            <c:numRef>
              <c:f>Centrality!$B$5:$B$7</c:f>
              <c:numCache>
                <c:formatCode>0.000</c:formatCode>
                <c:ptCount val="3"/>
                <c:pt idx="0">
                  <c:v>1.0713170469075983</c:v>
                </c:pt>
                <c:pt idx="1">
                  <c:v>1.1553806462897374</c:v>
                </c:pt>
                <c:pt idx="2">
                  <c:v>0.94286419580537217</c:v>
                </c:pt>
              </c:numCache>
            </c:numRef>
          </c:val>
          <c:extLst>
            <c:ext xmlns:c16="http://schemas.microsoft.com/office/drawing/2014/chart" uri="{C3380CC4-5D6E-409C-BE32-E72D297353CC}">
              <c16:uniqueId val="{00000000-07AB-49A5-BB85-8F15F708A02F}"/>
            </c:ext>
          </c:extLst>
        </c:ser>
        <c:dLbls>
          <c:dLblPos val="inBase"/>
          <c:showLegendKey val="0"/>
          <c:showVal val="1"/>
          <c:showCatName val="0"/>
          <c:showSerName val="0"/>
          <c:showPercent val="0"/>
          <c:showBubbleSize val="0"/>
        </c:dLbls>
        <c:gapWidth val="219"/>
        <c:overlap val="-27"/>
        <c:axId val="730299039"/>
        <c:axId val="730275327"/>
      </c:barChart>
      <c:lineChart>
        <c:grouping val="standard"/>
        <c:varyColors val="0"/>
        <c:ser>
          <c:idx val="1"/>
          <c:order val="1"/>
          <c:tx>
            <c:v>Average overall</c:v>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Centrality!$A$5:$A$7</c:f>
              <c:strCache>
                <c:ptCount val="3"/>
                <c:pt idx="0">
                  <c:v>Average Ehekonstellation</c:v>
                </c:pt>
                <c:pt idx="1">
                  <c:v>Average Liebeskonstellation</c:v>
                </c:pt>
                <c:pt idx="2">
                  <c:v>Average Un. Verhältnis</c:v>
                </c:pt>
              </c:strCache>
            </c:strRef>
          </c:cat>
          <c:val>
            <c:numRef>
              <c:f>Centrality!$C$5:$C$7</c:f>
              <c:numCache>
                <c:formatCode>0.000</c:formatCode>
                <c:ptCount val="3"/>
                <c:pt idx="0">
                  <c:v>1.0112031229367056</c:v>
                </c:pt>
                <c:pt idx="1">
                  <c:v>1.0112031229367056</c:v>
                </c:pt>
                <c:pt idx="2">
                  <c:v>1.0112031229367056</c:v>
                </c:pt>
              </c:numCache>
            </c:numRef>
          </c:val>
          <c:smooth val="0"/>
          <c:extLst>
            <c:ext xmlns:c16="http://schemas.microsoft.com/office/drawing/2014/chart" uri="{C3380CC4-5D6E-409C-BE32-E72D297353CC}">
              <c16:uniqueId val="{00000001-07AB-49A5-BB85-8F15F708A02F}"/>
            </c:ext>
          </c:extLst>
        </c:ser>
        <c:dLbls>
          <c:showLegendKey val="0"/>
          <c:showVal val="1"/>
          <c:showCatName val="0"/>
          <c:showSerName val="0"/>
          <c:showPercent val="0"/>
          <c:showBubbleSize val="0"/>
        </c:dLbls>
        <c:marker val="1"/>
        <c:smooth val="0"/>
        <c:axId val="730299039"/>
        <c:axId val="730275327"/>
      </c:lineChart>
      <c:catAx>
        <c:axId val="730299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730275327"/>
        <c:crosses val="autoZero"/>
        <c:auto val="1"/>
        <c:lblAlgn val="ctr"/>
        <c:lblOffset val="100"/>
        <c:noMultiLvlLbl val="0"/>
      </c:catAx>
      <c:valAx>
        <c:axId val="730275327"/>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302990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Average Betweenness Centrality</a:t>
            </a:r>
          </a:p>
        </c:rich>
      </c:tx>
      <c:layout>
        <c:manualLayout>
          <c:xMode val="edge"/>
          <c:yMode val="edge"/>
          <c:x val="0.11010211074899294"/>
          <c:y val="2.77296310030375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v>Average Category</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Centrality!$A$5:$A$7</c:f>
              <c:strCache>
                <c:ptCount val="3"/>
                <c:pt idx="0">
                  <c:v>Average Ehekonstellation</c:v>
                </c:pt>
                <c:pt idx="1">
                  <c:v>Average Liebeskonstellation</c:v>
                </c:pt>
                <c:pt idx="2">
                  <c:v>Average Un. Verhältnis</c:v>
                </c:pt>
              </c:strCache>
            </c:strRef>
          </c:cat>
          <c:val>
            <c:numRef>
              <c:f>Centrality!$D$5:$D$7</c:f>
              <c:numCache>
                <c:formatCode>0.000</c:formatCode>
                <c:ptCount val="3"/>
                <c:pt idx="0">
                  <c:v>0.13378685266148896</c:v>
                </c:pt>
                <c:pt idx="1">
                  <c:v>0.14417187750521077</c:v>
                </c:pt>
                <c:pt idx="2">
                  <c:v>0.12056376903190628</c:v>
                </c:pt>
              </c:numCache>
            </c:numRef>
          </c:val>
          <c:extLst>
            <c:ext xmlns:c16="http://schemas.microsoft.com/office/drawing/2014/chart" uri="{C3380CC4-5D6E-409C-BE32-E72D297353CC}">
              <c16:uniqueId val="{00000000-EB6E-4C10-8364-74B5E8B62EE0}"/>
            </c:ext>
          </c:extLst>
        </c:ser>
        <c:dLbls>
          <c:dLblPos val="inBase"/>
          <c:showLegendKey val="0"/>
          <c:showVal val="1"/>
          <c:showCatName val="0"/>
          <c:showSerName val="0"/>
          <c:showPercent val="0"/>
          <c:showBubbleSize val="0"/>
        </c:dLbls>
        <c:gapWidth val="219"/>
        <c:axId val="1822602575"/>
        <c:axId val="1822602991"/>
      </c:barChart>
      <c:lineChart>
        <c:grouping val="standard"/>
        <c:varyColors val="0"/>
        <c:ser>
          <c:idx val="1"/>
          <c:order val="1"/>
          <c:tx>
            <c:v>Average overall</c:v>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Centrality!$E$5:$E$7</c:f>
              <c:numCache>
                <c:formatCode>0.000</c:formatCode>
                <c:ptCount val="3"/>
                <c:pt idx="0">
                  <c:v>0.12765998692644917</c:v>
                </c:pt>
                <c:pt idx="1">
                  <c:v>0.12765998692644917</c:v>
                </c:pt>
                <c:pt idx="2">
                  <c:v>0.12765998692644917</c:v>
                </c:pt>
              </c:numCache>
            </c:numRef>
          </c:val>
          <c:smooth val="0"/>
          <c:extLst>
            <c:ext xmlns:c16="http://schemas.microsoft.com/office/drawing/2014/chart" uri="{C3380CC4-5D6E-409C-BE32-E72D297353CC}">
              <c16:uniqueId val="{00000004-EB6E-4C10-8364-74B5E8B62EE0}"/>
            </c:ext>
          </c:extLst>
        </c:ser>
        <c:dLbls>
          <c:showLegendKey val="0"/>
          <c:showVal val="1"/>
          <c:showCatName val="0"/>
          <c:showSerName val="0"/>
          <c:showPercent val="0"/>
          <c:showBubbleSize val="0"/>
        </c:dLbls>
        <c:marker val="1"/>
        <c:smooth val="0"/>
        <c:axId val="1822602575"/>
        <c:axId val="1822602991"/>
      </c:lineChart>
      <c:catAx>
        <c:axId val="1822602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1822602991"/>
        <c:crosses val="autoZero"/>
        <c:auto val="1"/>
        <c:lblAlgn val="ctr"/>
        <c:lblOffset val="100"/>
        <c:noMultiLvlLbl val="0"/>
      </c:catAx>
      <c:valAx>
        <c:axId val="1822602991"/>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822602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Average Degree Centrality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v>Average Category</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de-D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Centrality!$A$29:$A$34</c:f>
              <c:strCache>
                <c:ptCount val="6"/>
                <c:pt idx="0">
                  <c:v>Average adel</c:v>
                </c:pt>
                <c:pt idx="1">
                  <c:v>Average bügrerlich</c:v>
                </c:pt>
                <c:pt idx="2">
                  <c:v>Average klerus</c:v>
                </c:pt>
                <c:pt idx="3">
                  <c:v>Average bauer</c:v>
                </c:pt>
                <c:pt idx="4">
                  <c:v>Average NA</c:v>
                </c:pt>
                <c:pt idx="5">
                  <c:v>Average unbekannt</c:v>
                </c:pt>
              </c:strCache>
            </c:strRef>
          </c:cat>
          <c:val>
            <c:numRef>
              <c:f>Centrality!$B$29:$B$34</c:f>
              <c:numCache>
                <c:formatCode>0.000</c:formatCode>
                <c:ptCount val="6"/>
                <c:pt idx="0">
                  <c:v>1.0564781384307096</c:v>
                </c:pt>
                <c:pt idx="1">
                  <c:v>1.0114381650095943</c:v>
                </c:pt>
                <c:pt idx="2">
                  <c:v>1.0043513957307055</c:v>
                </c:pt>
                <c:pt idx="3">
                  <c:v>1.0547619047619046</c:v>
                </c:pt>
                <c:pt idx="4">
                  <c:v>0.65553927553927527</c:v>
                </c:pt>
                <c:pt idx="5">
                  <c:v>0.98775127737391821</c:v>
                </c:pt>
              </c:numCache>
            </c:numRef>
          </c:val>
          <c:extLst>
            <c:ext xmlns:c16="http://schemas.microsoft.com/office/drawing/2014/chart" uri="{C3380CC4-5D6E-409C-BE32-E72D297353CC}">
              <c16:uniqueId val="{00000000-F82F-4DB1-8E41-ACFEF2AFFD00}"/>
            </c:ext>
          </c:extLst>
        </c:ser>
        <c:dLbls>
          <c:dLblPos val="inBase"/>
          <c:showLegendKey val="0"/>
          <c:showVal val="1"/>
          <c:showCatName val="0"/>
          <c:showSerName val="0"/>
          <c:showPercent val="0"/>
          <c:showBubbleSize val="0"/>
        </c:dLbls>
        <c:gapWidth val="219"/>
        <c:axId val="730299039"/>
        <c:axId val="730275327"/>
      </c:barChart>
      <c:lineChart>
        <c:grouping val="standard"/>
        <c:varyColors val="0"/>
        <c:ser>
          <c:idx val="1"/>
          <c:order val="1"/>
          <c:tx>
            <c:v>Average overall</c:v>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Centrality!$C$29:$C$34</c:f>
              <c:numCache>
                <c:formatCode>0.000</c:formatCode>
                <c:ptCount val="6"/>
                <c:pt idx="0">
                  <c:v>1.0112031229367056</c:v>
                </c:pt>
                <c:pt idx="1">
                  <c:v>1.0112031229367056</c:v>
                </c:pt>
                <c:pt idx="2">
                  <c:v>1.0112031229367056</c:v>
                </c:pt>
                <c:pt idx="3">
                  <c:v>1.0112031229367056</c:v>
                </c:pt>
                <c:pt idx="4">
                  <c:v>1.0112031229367056</c:v>
                </c:pt>
                <c:pt idx="5">
                  <c:v>1.0112031229367056</c:v>
                </c:pt>
              </c:numCache>
            </c:numRef>
          </c:val>
          <c:smooth val="0"/>
          <c:extLst>
            <c:ext xmlns:c16="http://schemas.microsoft.com/office/drawing/2014/chart" uri="{C3380CC4-5D6E-409C-BE32-E72D297353CC}">
              <c16:uniqueId val="{00000004-F82F-4DB1-8E41-ACFEF2AFFD00}"/>
            </c:ext>
          </c:extLst>
        </c:ser>
        <c:dLbls>
          <c:showLegendKey val="0"/>
          <c:showVal val="1"/>
          <c:showCatName val="0"/>
          <c:showSerName val="0"/>
          <c:showPercent val="0"/>
          <c:showBubbleSize val="0"/>
        </c:dLbls>
        <c:marker val="1"/>
        <c:smooth val="0"/>
        <c:axId val="730299039"/>
        <c:axId val="730275327"/>
      </c:lineChart>
      <c:catAx>
        <c:axId val="730299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730275327"/>
        <c:crosses val="autoZero"/>
        <c:auto val="1"/>
        <c:lblAlgn val="ctr"/>
        <c:lblOffset val="100"/>
        <c:noMultiLvlLbl val="0"/>
      </c:catAx>
      <c:valAx>
        <c:axId val="730275327"/>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30299039"/>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Average Betweenness Centrality</a:t>
            </a:r>
          </a:p>
        </c:rich>
      </c:tx>
      <c:layout>
        <c:manualLayout>
          <c:xMode val="edge"/>
          <c:yMode val="edge"/>
          <c:x val="0.20379367545546276"/>
          <c:y val="2.75576157331129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v>Average Category</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Centrality!$A$29:$A$34</c:f>
              <c:strCache>
                <c:ptCount val="6"/>
                <c:pt idx="0">
                  <c:v>Average adel</c:v>
                </c:pt>
                <c:pt idx="1">
                  <c:v>Average bügrerlich</c:v>
                </c:pt>
                <c:pt idx="2">
                  <c:v>Average klerus</c:v>
                </c:pt>
                <c:pt idx="3">
                  <c:v>Average bauer</c:v>
                </c:pt>
                <c:pt idx="4">
                  <c:v>Average NA</c:v>
                </c:pt>
                <c:pt idx="5">
                  <c:v>Average unbekannt</c:v>
                </c:pt>
              </c:strCache>
            </c:strRef>
          </c:cat>
          <c:val>
            <c:numRef>
              <c:f>Centrality!$D$29:$D$34</c:f>
              <c:numCache>
                <c:formatCode>0.000</c:formatCode>
                <c:ptCount val="6"/>
                <c:pt idx="0">
                  <c:v>0.12846499730680441</c:v>
                </c:pt>
                <c:pt idx="1">
                  <c:v>0.14159338891050424</c:v>
                </c:pt>
                <c:pt idx="2">
                  <c:v>0.12345374931581828</c:v>
                </c:pt>
                <c:pt idx="3">
                  <c:v>8.4369488536155168E-2</c:v>
                </c:pt>
                <c:pt idx="4">
                  <c:v>0.1112435095768429</c:v>
                </c:pt>
                <c:pt idx="5">
                  <c:v>0.12363528428523646</c:v>
                </c:pt>
              </c:numCache>
            </c:numRef>
          </c:val>
          <c:extLst>
            <c:ext xmlns:c16="http://schemas.microsoft.com/office/drawing/2014/chart" uri="{C3380CC4-5D6E-409C-BE32-E72D297353CC}">
              <c16:uniqueId val="{00000000-0554-437B-B8DF-39470CDCD418}"/>
            </c:ext>
          </c:extLst>
        </c:ser>
        <c:dLbls>
          <c:dLblPos val="inBase"/>
          <c:showLegendKey val="0"/>
          <c:showVal val="1"/>
          <c:showCatName val="0"/>
          <c:showSerName val="0"/>
          <c:showPercent val="0"/>
          <c:showBubbleSize val="0"/>
        </c:dLbls>
        <c:gapWidth val="219"/>
        <c:axId val="730299039"/>
        <c:axId val="730275327"/>
      </c:barChart>
      <c:lineChart>
        <c:grouping val="standard"/>
        <c:varyColors val="0"/>
        <c:ser>
          <c:idx val="1"/>
          <c:order val="1"/>
          <c:tx>
            <c:v>Average overall</c:v>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Centrality!$E$29:$E$34</c:f>
              <c:numCache>
                <c:formatCode>0.000</c:formatCode>
                <c:ptCount val="6"/>
                <c:pt idx="0">
                  <c:v>0.12765998692644917</c:v>
                </c:pt>
                <c:pt idx="1">
                  <c:v>0.12765998692644917</c:v>
                </c:pt>
                <c:pt idx="2">
                  <c:v>0.12765998692644917</c:v>
                </c:pt>
                <c:pt idx="3">
                  <c:v>0.12765998692644917</c:v>
                </c:pt>
                <c:pt idx="4">
                  <c:v>0.12765998692644917</c:v>
                </c:pt>
                <c:pt idx="5">
                  <c:v>0.12765998692644917</c:v>
                </c:pt>
              </c:numCache>
            </c:numRef>
          </c:val>
          <c:smooth val="0"/>
          <c:extLst>
            <c:ext xmlns:c16="http://schemas.microsoft.com/office/drawing/2014/chart" uri="{C3380CC4-5D6E-409C-BE32-E72D297353CC}">
              <c16:uniqueId val="{00000003-0554-437B-B8DF-39470CDCD418}"/>
            </c:ext>
          </c:extLst>
        </c:ser>
        <c:dLbls>
          <c:showLegendKey val="0"/>
          <c:showVal val="1"/>
          <c:showCatName val="0"/>
          <c:showSerName val="0"/>
          <c:showPercent val="0"/>
          <c:showBubbleSize val="0"/>
        </c:dLbls>
        <c:marker val="1"/>
        <c:smooth val="0"/>
        <c:axId val="730299039"/>
        <c:axId val="730275327"/>
      </c:lineChart>
      <c:catAx>
        <c:axId val="730299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730275327"/>
        <c:crosses val="autoZero"/>
        <c:auto val="1"/>
        <c:lblAlgn val="ctr"/>
        <c:lblOffset val="100"/>
        <c:noMultiLvlLbl val="0"/>
      </c:catAx>
      <c:valAx>
        <c:axId val="730275327"/>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30299039"/>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Average Closeness Centrality</a:t>
            </a:r>
          </a:p>
        </c:rich>
      </c:tx>
      <c:layout>
        <c:manualLayout>
          <c:xMode val="edge"/>
          <c:yMode val="edge"/>
          <c:x val="0.22154766886023305"/>
          <c:y val="2.755787069378784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v>Average Category</c:v>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Centrality!$A$29:$A$34</c:f>
              <c:strCache>
                <c:ptCount val="6"/>
                <c:pt idx="0">
                  <c:v>Average adel</c:v>
                </c:pt>
                <c:pt idx="1">
                  <c:v>Average bügrerlich</c:v>
                </c:pt>
                <c:pt idx="2">
                  <c:v>Average klerus</c:v>
                </c:pt>
                <c:pt idx="3">
                  <c:v>Average bauer</c:v>
                </c:pt>
                <c:pt idx="4">
                  <c:v>Average NA</c:v>
                </c:pt>
                <c:pt idx="5">
                  <c:v>Average unbekannt</c:v>
                </c:pt>
              </c:strCache>
            </c:strRef>
          </c:cat>
          <c:val>
            <c:numRef>
              <c:f>Centrality!$F$29:$F$34</c:f>
              <c:numCache>
                <c:formatCode>0.000</c:formatCode>
                <c:ptCount val="6"/>
                <c:pt idx="0">
                  <c:v>0.3605274137190041</c:v>
                </c:pt>
                <c:pt idx="1">
                  <c:v>0.36353373733632627</c:v>
                </c:pt>
                <c:pt idx="2">
                  <c:v>0.35556038757384911</c:v>
                </c:pt>
                <c:pt idx="3">
                  <c:v>0.29645081822685637</c:v>
                </c:pt>
                <c:pt idx="4">
                  <c:v>0.19516258023781957</c:v>
                </c:pt>
                <c:pt idx="5">
                  <c:v>0.35322907105771828</c:v>
                </c:pt>
              </c:numCache>
            </c:numRef>
          </c:val>
          <c:extLst>
            <c:ext xmlns:c16="http://schemas.microsoft.com/office/drawing/2014/chart" uri="{C3380CC4-5D6E-409C-BE32-E72D297353CC}">
              <c16:uniqueId val="{00000000-01F1-4810-AF39-21D006FBF1C0}"/>
            </c:ext>
          </c:extLst>
        </c:ser>
        <c:dLbls>
          <c:dLblPos val="inBase"/>
          <c:showLegendKey val="0"/>
          <c:showVal val="1"/>
          <c:showCatName val="0"/>
          <c:showSerName val="0"/>
          <c:showPercent val="0"/>
          <c:showBubbleSize val="0"/>
        </c:dLbls>
        <c:gapWidth val="219"/>
        <c:axId val="730299039"/>
        <c:axId val="730275327"/>
      </c:barChart>
      <c:lineChart>
        <c:grouping val="standard"/>
        <c:varyColors val="0"/>
        <c:ser>
          <c:idx val="1"/>
          <c:order val="1"/>
          <c:tx>
            <c:v>Average overall</c:v>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Centrality!$G$29:$G$34</c:f>
              <c:numCache>
                <c:formatCode>0.000</c:formatCode>
                <c:ptCount val="6"/>
                <c:pt idx="0">
                  <c:v>0.35223186090620551</c:v>
                </c:pt>
                <c:pt idx="1">
                  <c:v>0.35223186090620551</c:v>
                </c:pt>
                <c:pt idx="2">
                  <c:v>0.35223186090620551</c:v>
                </c:pt>
                <c:pt idx="3">
                  <c:v>0.35223186090620551</c:v>
                </c:pt>
                <c:pt idx="4">
                  <c:v>0.35223186090620551</c:v>
                </c:pt>
                <c:pt idx="5">
                  <c:v>0.35223186090620551</c:v>
                </c:pt>
              </c:numCache>
            </c:numRef>
          </c:val>
          <c:smooth val="0"/>
          <c:extLst>
            <c:ext xmlns:c16="http://schemas.microsoft.com/office/drawing/2014/chart" uri="{C3380CC4-5D6E-409C-BE32-E72D297353CC}">
              <c16:uniqueId val="{00000002-01F1-4810-AF39-21D006FBF1C0}"/>
            </c:ext>
          </c:extLst>
        </c:ser>
        <c:dLbls>
          <c:showLegendKey val="0"/>
          <c:showVal val="1"/>
          <c:showCatName val="0"/>
          <c:showSerName val="0"/>
          <c:showPercent val="0"/>
          <c:showBubbleSize val="0"/>
        </c:dLbls>
        <c:marker val="1"/>
        <c:smooth val="0"/>
        <c:axId val="730299039"/>
        <c:axId val="730275327"/>
      </c:lineChart>
      <c:catAx>
        <c:axId val="730299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730275327"/>
        <c:crosses val="autoZero"/>
        <c:auto val="1"/>
        <c:lblAlgn val="ctr"/>
        <c:lblOffset val="100"/>
        <c:noMultiLvlLbl val="0"/>
      </c:catAx>
      <c:valAx>
        <c:axId val="730275327"/>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30299039"/>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Average Eigenvector Centrality</a:t>
            </a:r>
          </a:p>
        </c:rich>
      </c:tx>
      <c:layout>
        <c:manualLayout>
          <c:xMode val="edge"/>
          <c:yMode val="edge"/>
          <c:x val="0.22154779595385346"/>
          <c:y val="2.75576939490247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v>Average Category</c:v>
          </c:tx>
          <c:spPr>
            <a:solidFill>
              <a:schemeClr val="accent4">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Centrality!$A$29:$A$34</c:f>
              <c:strCache>
                <c:ptCount val="6"/>
                <c:pt idx="0">
                  <c:v>Average adel</c:v>
                </c:pt>
                <c:pt idx="1">
                  <c:v>Average bügrerlich</c:v>
                </c:pt>
                <c:pt idx="2">
                  <c:v>Average klerus</c:v>
                </c:pt>
                <c:pt idx="3">
                  <c:v>Average bauer</c:v>
                </c:pt>
                <c:pt idx="4">
                  <c:v>Average NA</c:v>
                </c:pt>
                <c:pt idx="5">
                  <c:v>Average unbekannt</c:v>
                </c:pt>
              </c:strCache>
            </c:strRef>
          </c:cat>
          <c:val>
            <c:numRef>
              <c:f>Centrality!$H$29:$H$34</c:f>
              <c:numCache>
                <c:formatCode>0.000</c:formatCode>
                <c:ptCount val="6"/>
                <c:pt idx="0">
                  <c:v>0.47600025713304078</c:v>
                </c:pt>
                <c:pt idx="1">
                  <c:v>0.41859918210548586</c:v>
                </c:pt>
                <c:pt idx="2">
                  <c:v>0.3706479165109422</c:v>
                </c:pt>
                <c:pt idx="3">
                  <c:v>0.46265954828160211</c:v>
                </c:pt>
                <c:pt idx="4">
                  <c:v>0.3307837177668394</c:v>
                </c:pt>
                <c:pt idx="5">
                  <c:v>0.37940121006384703</c:v>
                </c:pt>
              </c:numCache>
            </c:numRef>
          </c:val>
          <c:extLst>
            <c:ext xmlns:c16="http://schemas.microsoft.com/office/drawing/2014/chart" uri="{C3380CC4-5D6E-409C-BE32-E72D297353CC}">
              <c16:uniqueId val="{00000000-ED6F-4337-A58D-0788A46A4DF4}"/>
            </c:ext>
          </c:extLst>
        </c:ser>
        <c:dLbls>
          <c:dLblPos val="inBase"/>
          <c:showLegendKey val="0"/>
          <c:showVal val="1"/>
          <c:showCatName val="0"/>
          <c:showSerName val="0"/>
          <c:showPercent val="0"/>
          <c:showBubbleSize val="0"/>
        </c:dLbls>
        <c:gapWidth val="219"/>
        <c:axId val="730299039"/>
        <c:axId val="730275327"/>
      </c:barChart>
      <c:lineChart>
        <c:grouping val="standard"/>
        <c:varyColors val="0"/>
        <c:ser>
          <c:idx val="1"/>
          <c:order val="1"/>
          <c:tx>
            <c:v>Average overall</c:v>
          </c:tx>
          <c:spPr>
            <a:ln w="28575" cap="rnd">
              <a:solidFill>
                <a:schemeClr val="accent4">
                  <a:tint val="77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Centrality!$I$29:$I$34</c:f>
              <c:numCache>
                <c:formatCode>0.000</c:formatCode>
                <c:ptCount val="6"/>
                <c:pt idx="0">
                  <c:v>0.42111383642162159</c:v>
                </c:pt>
                <c:pt idx="1">
                  <c:v>0.42111383642162159</c:v>
                </c:pt>
                <c:pt idx="2">
                  <c:v>0.42111383642162159</c:v>
                </c:pt>
                <c:pt idx="3">
                  <c:v>0.42111383642162159</c:v>
                </c:pt>
                <c:pt idx="4">
                  <c:v>0.42111383642162159</c:v>
                </c:pt>
                <c:pt idx="5">
                  <c:v>0.42111383642162159</c:v>
                </c:pt>
              </c:numCache>
            </c:numRef>
          </c:val>
          <c:smooth val="0"/>
          <c:extLst>
            <c:ext xmlns:c16="http://schemas.microsoft.com/office/drawing/2014/chart" uri="{C3380CC4-5D6E-409C-BE32-E72D297353CC}">
              <c16:uniqueId val="{00000002-ED6F-4337-A58D-0788A46A4DF4}"/>
            </c:ext>
          </c:extLst>
        </c:ser>
        <c:dLbls>
          <c:showLegendKey val="0"/>
          <c:showVal val="1"/>
          <c:showCatName val="0"/>
          <c:showSerName val="0"/>
          <c:showPercent val="0"/>
          <c:showBubbleSize val="0"/>
        </c:dLbls>
        <c:marker val="1"/>
        <c:smooth val="0"/>
        <c:axId val="730299039"/>
        <c:axId val="730275327"/>
      </c:lineChart>
      <c:catAx>
        <c:axId val="730299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730275327"/>
        <c:crosses val="autoZero"/>
        <c:auto val="1"/>
        <c:lblAlgn val="ctr"/>
        <c:lblOffset val="100"/>
        <c:noMultiLvlLbl val="0"/>
      </c:catAx>
      <c:valAx>
        <c:axId val="730275327"/>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30299039"/>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Average Degree Centrality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v>Average Category</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de-D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Centrality!$A$55:$A$58</c:f>
              <c:strCache>
                <c:ptCount val="4"/>
                <c:pt idx="0">
                  <c:v>Average männlich</c:v>
                </c:pt>
                <c:pt idx="1">
                  <c:v>Average weiblich</c:v>
                </c:pt>
                <c:pt idx="2">
                  <c:v>Average gruppe</c:v>
                </c:pt>
                <c:pt idx="3">
                  <c:v>Average NA</c:v>
                </c:pt>
              </c:strCache>
            </c:strRef>
          </c:cat>
          <c:val>
            <c:numRef>
              <c:f>Centrality!$B$55:$B$58</c:f>
              <c:numCache>
                <c:formatCode>0.000</c:formatCode>
                <c:ptCount val="4"/>
                <c:pt idx="0">
                  <c:v>1.0651446184534423</c:v>
                </c:pt>
                <c:pt idx="1">
                  <c:v>1.0130036085918435</c:v>
                </c:pt>
                <c:pt idx="2">
                  <c:v>0.87717133915276257</c:v>
                </c:pt>
                <c:pt idx="3">
                  <c:v>0.71978021978021867</c:v>
                </c:pt>
              </c:numCache>
            </c:numRef>
          </c:val>
          <c:extLst>
            <c:ext xmlns:c16="http://schemas.microsoft.com/office/drawing/2014/chart" uri="{C3380CC4-5D6E-409C-BE32-E72D297353CC}">
              <c16:uniqueId val="{00000000-05DD-4BC8-8C58-8688003885D9}"/>
            </c:ext>
          </c:extLst>
        </c:ser>
        <c:dLbls>
          <c:dLblPos val="inBase"/>
          <c:showLegendKey val="0"/>
          <c:showVal val="1"/>
          <c:showCatName val="0"/>
          <c:showSerName val="0"/>
          <c:showPercent val="0"/>
          <c:showBubbleSize val="0"/>
        </c:dLbls>
        <c:gapWidth val="219"/>
        <c:axId val="730299039"/>
        <c:axId val="730275327"/>
      </c:barChart>
      <c:lineChart>
        <c:grouping val="standard"/>
        <c:varyColors val="0"/>
        <c:ser>
          <c:idx val="1"/>
          <c:order val="1"/>
          <c:tx>
            <c:v>Average overall</c:v>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Centrality!$C$55:$C$58</c:f>
              <c:numCache>
                <c:formatCode>0.000</c:formatCode>
                <c:ptCount val="4"/>
                <c:pt idx="0">
                  <c:v>1.0112031229367056</c:v>
                </c:pt>
                <c:pt idx="1">
                  <c:v>1.0112031229367056</c:v>
                </c:pt>
                <c:pt idx="2">
                  <c:v>1.0112031229367056</c:v>
                </c:pt>
                <c:pt idx="3">
                  <c:v>1.0112031229367056</c:v>
                </c:pt>
              </c:numCache>
            </c:numRef>
          </c:val>
          <c:smooth val="0"/>
          <c:extLst>
            <c:ext xmlns:c16="http://schemas.microsoft.com/office/drawing/2014/chart" uri="{C3380CC4-5D6E-409C-BE32-E72D297353CC}">
              <c16:uniqueId val="{00000001-05DD-4BC8-8C58-8688003885D9}"/>
            </c:ext>
          </c:extLst>
        </c:ser>
        <c:dLbls>
          <c:showLegendKey val="0"/>
          <c:showVal val="1"/>
          <c:showCatName val="0"/>
          <c:showSerName val="0"/>
          <c:showPercent val="0"/>
          <c:showBubbleSize val="0"/>
        </c:dLbls>
        <c:marker val="1"/>
        <c:smooth val="0"/>
        <c:axId val="730299039"/>
        <c:axId val="730275327"/>
      </c:lineChart>
      <c:catAx>
        <c:axId val="730299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730275327"/>
        <c:crosses val="autoZero"/>
        <c:auto val="1"/>
        <c:lblAlgn val="ctr"/>
        <c:lblOffset val="100"/>
        <c:noMultiLvlLbl val="0"/>
      </c:catAx>
      <c:valAx>
        <c:axId val="730275327"/>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30299039"/>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Average Betweenness Centrality</a:t>
            </a:r>
          </a:p>
        </c:rich>
      </c:tx>
      <c:layout>
        <c:manualLayout>
          <c:xMode val="edge"/>
          <c:yMode val="edge"/>
          <c:x val="0.23111424549617496"/>
          <c:y val="2.30071752976270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v>Average Category</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Centrality!$A$55:$A$58</c:f>
              <c:strCache>
                <c:ptCount val="4"/>
                <c:pt idx="0">
                  <c:v>Average männlich</c:v>
                </c:pt>
                <c:pt idx="1">
                  <c:v>Average weiblich</c:v>
                </c:pt>
                <c:pt idx="2">
                  <c:v>Average gruppe</c:v>
                </c:pt>
                <c:pt idx="3">
                  <c:v>Average NA</c:v>
                </c:pt>
              </c:strCache>
            </c:strRef>
          </c:cat>
          <c:val>
            <c:numRef>
              <c:f>Centrality!$D$55:$D$58</c:f>
              <c:numCache>
                <c:formatCode>0.000</c:formatCode>
                <c:ptCount val="4"/>
                <c:pt idx="0">
                  <c:v>0.14191787718701873</c:v>
                </c:pt>
                <c:pt idx="1">
                  <c:v>0.10376238260654404</c:v>
                </c:pt>
                <c:pt idx="2">
                  <c:v>0.12164902787707003</c:v>
                </c:pt>
                <c:pt idx="3">
                  <c:v>0.15796703296703307</c:v>
                </c:pt>
              </c:numCache>
            </c:numRef>
          </c:val>
          <c:extLst>
            <c:ext xmlns:c16="http://schemas.microsoft.com/office/drawing/2014/chart" uri="{C3380CC4-5D6E-409C-BE32-E72D297353CC}">
              <c16:uniqueId val="{00000000-1FF4-4558-BBD4-775862A1D2B1}"/>
            </c:ext>
          </c:extLst>
        </c:ser>
        <c:dLbls>
          <c:dLblPos val="inBase"/>
          <c:showLegendKey val="0"/>
          <c:showVal val="1"/>
          <c:showCatName val="0"/>
          <c:showSerName val="0"/>
          <c:showPercent val="0"/>
          <c:showBubbleSize val="0"/>
        </c:dLbls>
        <c:gapWidth val="219"/>
        <c:axId val="730299039"/>
        <c:axId val="730275327"/>
      </c:barChart>
      <c:lineChart>
        <c:grouping val="standard"/>
        <c:varyColors val="0"/>
        <c:ser>
          <c:idx val="1"/>
          <c:order val="1"/>
          <c:tx>
            <c:v>Average overall</c:v>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Centrality!$E$55:$E$57</c:f>
              <c:numCache>
                <c:formatCode>0.000</c:formatCode>
                <c:ptCount val="3"/>
                <c:pt idx="0">
                  <c:v>0.12765998692644917</c:v>
                </c:pt>
                <c:pt idx="1">
                  <c:v>0.12765998692644917</c:v>
                </c:pt>
                <c:pt idx="2">
                  <c:v>0.12765998692644917</c:v>
                </c:pt>
              </c:numCache>
            </c:numRef>
          </c:cat>
          <c:val>
            <c:numRef>
              <c:f>Centrality!$E$55:$E$58</c:f>
              <c:numCache>
                <c:formatCode>0.000</c:formatCode>
                <c:ptCount val="4"/>
                <c:pt idx="0">
                  <c:v>0.12765998692644917</c:v>
                </c:pt>
                <c:pt idx="1">
                  <c:v>0.12765998692644917</c:v>
                </c:pt>
                <c:pt idx="2">
                  <c:v>0.12765998692644917</c:v>
                </c:pt>
                <c:pt idx="3">
                  <c:v>0.12765998692644917</c:v>
                </c:pt>
              </c:numCache>
            </c:numRef>
          </c:val>
          <c:smooth val="0"/>
          <c:extLst>
            <c:ext xmlns:c16="http://schemas.microsoft.com/office/drawing/2014/chart" uri="{C3380CC4-5D6E-409C-BE32-E72D297353CC}">
              <c16:uniqueId val="{00000001-1FF4-4558-BBD4-775862A1D2B1}"/>
            </c:ext>
          </c:extLst>
        </c:ser>
        <c:dLbls>
          <c:showLegendKey val="0"/>
          <c:showVal val="1"/>
          <c:showCatName val="0"/>
          <c:showSerName val="0"/>
          <c:showPercent val="0"/>
          <c:showBubbleSize val="0"/>
        </c:dLbls>
        <c:marker val="1"/>
        <c:smooth val="0"/>
        <c:axId val="730299039"/>
        <c:axId val="730275327"/>
      </c:lineChart>
      <c:catAx>
        <c:axId val="730299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730275327"/>
        <c:crosses val="autoZero"/>
        <c:auto val="1"/>
        <c:lblAlgn val="ctr"/>
        <c:lblOffset val="100"/>
        <c:noMultiLvlLbl val="0"/>
      </c:catAx>
      <c:valAx>
        <c:axId val="730275327"/>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30299039"/>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Average Closeness Centrality</a:t>
            </a:r>
          </a:p>
        </c:rich>
      </c:tx>
      <c:layout>
        <c:manualLayout>
          <c:xMode val="edge"/>
          <c:yMode val="edge"/>
          <c:x val="0.22154766886023305"/>
          <c:y val="2.755787069378784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v>Average Category</c:v>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Centrality!$A$55:$A$58</c:f>
              <c:strCache>
                <c:ptCount val="4"/>
                <c:pt idx="0">
                  <c:v>Average männlich</c:v>
                </c:pt>
                <c:pt idx="1">
                  <c:v>Average weiblich</c:v>
                </c:pt>
                <c:pt idx="2">
                  <c:v>Average gruppe</c:v>
                </c:pt>
                <c:pt idx="3">
                  <c:v>Average NA</c:v>
                </c:pt>
              </c:strCache>
            </c:strRef>
          </c:cat>
          <c:val>
            <c:numRef>
              <c:f>Centrality!$F$55:$F$58</c:f>
              <c:numCache>
                <c:formatCode>0.000</c:formatCode>
                <c:ptCount val="4"/>
                <c:pt idx="0">
                  <c:v>0.34937074679436719</c:v>
                </c:pt>
                <c:pt idx="1">
                  <c:v>0.34323585543171437</c:v>
                </c:pt>
                <c:pt idx="2">
                  <c:v>0.38527597000060565</c:v>
                </c:pt>
                <c:pt idx="3">
                  <c:v>0.26166736819951575</c:v>
                </c:pt>
              </c:numCache>
            </c:numRef>
          </c:val>
          <c:extLst>
            <c:ext xmlns:c16="http://schemas.microsoft.com/office/drawing/2014/chart" uri="{C3380CC4-5D6E-409C-BE32-E72D297353CC}">
              <c16:uniqueId val="{00000000-5119-49F9-B1B8-3C22DAACA9DB}"/>
            </c:ext>
          </c:extLst>
        </c:ser>
        <c:dLbls>
          <c:dLblPos val="inBase"/>
          <c:showLegendKey val="0"/>
          <c:showVal val="1"/>
          <c:showCatName val="0"/>
          <c:showSerName val="0"/>
          <c:showPercent val="0"/>
          <c:showBubbleSize val="0"/>
        </c:dLbls>
        <c:gapWidth val="219"/>
        <c:axId val="730299039"/>
        <c:axId val="730275327"/>
      </c:barChart>
      <c:lineChart>
        <c:grouping val="standard"/>
        <c:varyColors val="0"/>
        <c:ser>
          <c:idx val="1"/>
          <c:order val="1"/>
          <c:tx>
            <c:v>Average overall</c:v>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Centrality!$G$55:$G$58</c:f>
              <c:numCache>
                <c:formatCode>0.000</c:formatCode>
                <c:ptCount val="4"/>
                <c:pt idx="0">
                  <c:v>0.35223186090620551</c:v>
                </c:pt>
                <c:pt idx="1">
                  <c:v>0.35223186090620551</c:v>
                </c:pt>
                <c:pt idx="2">
                  <c:v>0.35223186090620551</c:v>
                </c:pt>
                <c:pt idx="3">
                  <c:v>0.35223186090620551</c:v>
                </c:pt>
              </c:numCache>
            </c:numRef>
          </c:val>
          <c:smooth val="0"/>
          <c:extLst>
            <c:ext xmlns:c16="http://schemas.microsoft.com/office/drawing/2014/chart" uri="{C3380CC4-5D6E-409C-BE32-E72D297353CC}">
              <c16:uniqueId val="{00000001-5119-49F9-B1B8-3C22DAACA9DB}"/>
            </c:ext>
          </c:extLst>
        </c:ser>
        <c:dLbls>
          <c:showLegendKey val="0"/>
          <c:showVal val="1"/>
          <c:showCatName val="0"/>
          <c:showSerName val="0"/>
          <c:showPercent val="0"/>
          <c:showBubbleSize val="0"/>
        </c:dLbls>
        <c:marker val="1"/>
        <c:smooth val="0"/>
        <c:axId val="730299039"/>
        <c:axId val="730275327"/>
      </c:lineChart>
      <c:catAx>
        <c:axId val="730299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730275327"/>
        <c:crosses val="autoZero"/>
        <c:auto val="1"/>
        <c:lblAlgn val="ctr"/>
        <c:lblOffset val="100"/>
        <c:noMultiLvlLbl val="0"/>
      </c:catAx>
      <c:valAx>
        <c:axId val="730275327"/>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30299039"/>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Average Eigenvector Centrality</a:t>
            </a:r>
          </a:p>
        </c:rich>
      </c:tx>
      <c:layout>
        <c:manualLayout>
          <c:xMode val="edge"/>
          <c:yMode val="edge"/>
          <c:x val="0.22154779595385346"/>
          <c:y val="2.75576939490247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v>Average Category</c:v>
          </c:tx>
          <c:spPr>
            <a:solidFill>
              <a:schemeClr val="accent4">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Centrality!$A$55:$A$58</c:f>
              <c:strCache>
                <c:ptCount val="4"/>
                <c:pt idx="0">
                  <c:v>Average männlich</c:v>
                </c:pt>
                <c:pt idx="1">
                  <c:v>Average weiblich</c:v>
                </c:pt>
                <c:pt idx="2">
                  <c:v>Average gruppe</c:v>
                </c:pt>
                <c:pt idx="3">
                  <c:v>Average NA</c:v>
                </c:pt>
              </c:strCache>
            </c:strRef>
          </c:cat>
          <c:val>
            <c:numRef>
              <c:f>Centrality!$H$55:$H$58</c:f>
              <c:numCache>
                <c:formatCode>0.000</c:formatCode>
                <c:ptCount val="4"/>
                <c:pt idx="0">
                  <c:v>0.44739550679606294</c:v>
                </c:pt>
                <c:pt idx="1">
                  <c:v>0.46759681818066456</c:v>
                </c:pt>
                <c:pt idx="2">
                  <c:v>0.26407334942874977</c:v>
                </c:pt>
                <c:pt idx="3">
                  <c:v>0.42323076204453786</c:v>
                </c:pt>
              </c:numCache>
            </c:numRef>
          </c:val>
          <c:extLst>
            <c:ext xmlns:c16="http://schemas.microsoft.com/office/drawing/2014/chart" uri="{C3380CC4-5D6E-409C-BE32-E72D297353CC}">
              <c16:uniqueId val="{00000000-3483-4A21-B906-588C50080CD4}"/>
            </c:ext>
          </c:extLst>
        </c:ser>
        <c:dLbls>
          <c:dLblPos val="inBase"/>
          <c:showLegendKey val="0"/>
          <c:showVal val="1"/>
          <c:showCatName val="0"/>
          <c:showSerName val="0"/>
          <c:showPercent val="0"/>
          <c:showBubbleSize val="0"/>
        </c:dLbls>
        <c:gapWidth val="219"/>
        <c:axId val="730299039"/>
        <c:axId val="730275327"/>
      </c:barChart>
      <c:lineChart>
        <c:grouping val="standard"/>
        <c:varyColors val="0"/>
        <c:ser>
          <c:idx val="1"/>
          <c:order val="1"/>
          <c:tx>
            <c:v>Average overall</c:v>
          </c:tx>
          <c:spPr>
            <a:ln w="28575" cap="rnd">
              <a:solidFill>
                <a:schemeClr val="accent4">
                  <a:tint val="77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Centrality!$I$55:$I$58</c:f>
              <c:numCache>
                <c:formatCode>0.000</c:formatCode>
                <c:ptCount val="4"/>
                <c:pt idx="0">
                  <c:v>0.42111383642162159</c:v>
                </c:pt>
                <c:pt idx="1">
                  <c:v>0.42111383642162159</c:v>
                </c:pt>
                <c:pt idx="2">
                  <c:v>0.42111383642162159</c:v>
                </c:pt>
                <c:pt idx="3">
                  <c:v>0.42111383642162159</c:v>
                </c:pt>
              </c:numCache>
            </c:numRef>
          </c:val>
          <c:smooth val="0"/>
          <c:extLst>
            <c:ext xmlns:c16="http://schemas.microsoft.com/office/drawing/2014/chart" uri="{C3380CC4-5D6E-409C-BE32-E72D297353CC}">
              <c16:uniqueId val="{00000001-3483-4A21-B906-588C50080CD4}"/>
            </c:ext>
          </c:extLst>
        </c:ser>
        <c:dLbls>
          <c:showLegendKey val="0"/>
          <c:showVal val="1"/>
          <c:showCatName val="0"/>
          <c:showSerName val="0"/>
          <c:showPercent val="0"/>
          <c:showBubbleSize val="0"/>
        </c:dLbls>
        <c:marker val="1"/>
        <c:smooth val="0"/>
        <c:axId val="730299039"/>
        <c:axId val="730275327"/>
      </c:lineChart>
      <c:catAx>
        <c:axId val="730299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730275327"/>
        <c:crosses val="autoZero"/>
        <c:auto val="1"/>
        <c:lblAlgn val="ctr"/>
        <c:lblOffset val="100"/>
        <c:noMultiLvlLbl val="0"/>
      </c:catAx>
      <c:valAx>
        <c:axId val="730275327"/>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30299039"/>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Average Degree Centrality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v>Average Category</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de-D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Centrality!$A$79:$A$85</c:f>
              <c:strCache>
                <c:ptCount val="7"/>
                <c:pt idx="0">
                  <c:v>Average betrueger</c:v>
                </c:pt>
                <c:pt idx="1">
                  <c:v>Average betrogener</c:v>
                </c:pt>
                <c:pt idx="2">
                  <c:v>Average helfer</c:v>
                </c:pt>
                <c:pt idx="3">
                  <c:v>Average bote</c:v>
                </c:pt>
                <c:pt idx="4">
                  <c:v>Average liebender</c:v>
                </c:pt>
                <c:pt idx="5">
                  <c:v>Average liebende</c:v>
                </c:pt>
                <c:pt idx="6">
                  <c:v>Average gegenspieler</c:v>
                </c:pt>
              </c:strCache>
            </c:strRef>
          </c:cat>
          <c:val>
            <c:numRef>
              <c:f>Centrality!$B$79:$B$85</c:f>
              <c:numCache>
                <c:formatCode>0.000</c:formatCode>
                <c:ptCount val="7"/>
                <c:pt idx="0">
                  <c:v>1.5753766973766972</c:v>
                </c:pt>
                <c:pt idx="1">
                  <c:v>1.5601190476190476</c:v>
                </c:pt>
                <c:pt idx="2">
                  <c:v>0.95432016450115975</c:v>
                </c:pt>
                <c:pt idx="3">
                  <c:v>0.76573498964803333</c:v>
                </c:pt>
                <c:pt idx="4">
                  <c:v>1.6854875283446715</c:v>
                </c:pt>
                <c:pt idx="5">
                  <c:v>1.6912698412698419</c:v>
                </c:pt>
                <c:pt idx="6">
                  <c:v>0.93141507615191776</c:v>
                </c:pt>
              </c:numCache>
            </c:numRef>
          </c:val>
          <c:extLst>
            <c:ext xmlns:c16="http://schemas.microsoft.com/office/drawing/2014/chart" uri="{C3380CC4-5D6E-409C-BE32-E72D297353CC}">
              <c16:uniqueId val="{00000000-85F2-4E0C-9A39-7F0BEDCE1E33}"/>
            </c:ext>
          </c:extLst>
        </c:ser>
        <c:dLbls>
          <c:dLblPos val="inBase"/>
          <c:showLegendKey val="0"/>
          <c:showVal val="1"/>
          <c:showCatName val="0"/>
          <c:showSerName val="0"/>
          <c:showPercent val="0"/>
          <c:showBubbleSize val="0"/>
        </c:dLbls>
        <c:gapWidth val="219"/>
        <c:axId val="730299039"/>
        <c:axId val="730275327"/>
      </c:barChart>
      <c:lineChart>
        <c:grouping val="standard"/>
        <c:varyColors val="0"/>
        <c:ser>
          <c:idx val="1"/>
          <c:order val="1"/>
          <c:tx>
            <c:v>Average overall</c:v>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Centrality!$C$79:$C$84</c:f>
              <c:numCache>
                <c:formatCode>0.000</c:formatCode>
                <c:ptCount val="6"/>
                <c:pt idx="0">
                  <c:v>1.0112031229367056</c:v>
                </c:pt>
                <c:pt idx="1">
                  <c:v>1.0112031229367056</c:v>
                </c:pt>
                <c:pt idx="2">
                  <c:v>1.0112031229367056</c:v>
                </c:pt>
                <c:pt idx="3">
                  <c:v>1.0112031229367056</c:v>
                </c:pt>
                <c:pt idx="4">
                  <c:v>1.0112031229367056</c:v>
                </c:pt>
                <c:pt idx="5">
                  <c:v>1.0112031229367056</c:v>
                </c:pt>
              </c:numCache>
            </c:numRef>
          </c:val>
          <c:smooth val="0"/>
          <c:extLst>
            <c:ext xmlns:c16="http://schemas.microsoft.com/office/drawing/2014/chart" uri="{C3380CC4-5D6E-409C-BE32-E72D297353CC}">
              <c16:uniqueId val="{00000001-85F2-4E0C-9A39-7F0BEDCE1E33}"/>
            </c:ext>
          </c:extLst>
        </c:ser>
        <c:dLbls>
          <c:showLegendKey val="0"/>
          <c:showVal val="1"/>
          <c:showCatName val="0"/>
          <c:showSerName val="0"/>
          <c:showPercent val="0"/>
          <c:showBubbleSize val="0"/>
        </c:dLbls>
        <c:marker val="1"/>
        <c:smooth val="0"/>
        <c:axId val="730299039"/>
        <c:axId val="730275327"/>
      </c:lineChart>
      <c:catAx>
        <c:axId val="730299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730275327"/>
        <c:crosses val="autoZero"/>
        <c:auto val="1"/>
        <c:lblAlgn val="ctr"/>
        <c:lblOffset val="100"/>
        <c:noMultiLvlLbl val="0"/>
      </c:catAx>
      <c:valAx>
        <c:axId val="730275327"/>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30299039"/>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Average Betweenness Centrality</a:t>
            </a:r>
          </a:p>
        </c:rich>
      </c:tx>
      <c:layout>
        <c:manualLayout>
          <c:xMode val="edge"/>
          <c:yMode val="edge"/>
          <c:x val="0.2897983997530702"/>
          <c:y val="2.75579675468743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v>Average Category</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Centrality!$A$79:$A$85</c:f>
              <c:strCache>
                <c:ptCount val="7"/>
                <c:pt idx="0">
                  <c:v>Average betrueger</c:v>
                </c:pt>
                <c:pt idx="1">
                  <c:v>Average betrogener</c:v>
                </c:pt>
                <c:pt idx="2">
                  <c:v>Average helfer</c:v>
                </c:pt>
                <c:pt idx="3">
                  <c:v>Average bote</c:v>
                </c:pt>
                <c:pt idx="4">
                  <c:v>Average liebender</c:v>
                </c:pt>
                <c:pt idx="5">
                  <c:v>Average liebende</c:v>
                </c:pt>
                <c:pt idx="6">
                  <c:v>Average gegenspieler</c:v>
                </c:pt>
              </c:strCache>
            </c:strRef>
          </c:cat>
          <c:val>
            <c:numRef>
              <c:f>Centrality!$D$79:$D$85</c:f>
              <c:numCache>
                <c:formatCode>0.0000</c:formatCode>
                <c:ptCount val="7"/>
                <c:pt idx="0">
                  <c:v>0.20295409401387662</c:v>
                </c:pt>
                <c:pt idx="1">
                  <c:v>0.13854269362506455</c:v>
                </c:pt>
                <c:pt idx="2">
                  <c:v>8.8193055478123339E-2</c:v>
                </c:pt>
                <c:pt idx="3">
                  <c:v>0.20422634496358505</c:v>
                </c:pt>
                <c:pt idx="4">
                  <c:v>0.34172335600907017</c:v>
                </c:pt>
                <c:pt idx="5">
                  <c:v>0.35855255855255858</c:v>
                </c:pt>
                <c:pt idx="6">
                  <c:v>0.33606292660505721</c:v>
                </c:pt>
              </c:numCache>
            </c:numRef>
          </c:val>
          <c:extLst>
            <c:ext xmlns:c16="http://schemas.microsoft.com/office/drawing/2014/chart" uri="{C3380CC4-5D6E-409C-BE32-E72D297353CC}">
              <c16:uniqueId val="{00000000-25A7-4B0F-B12B-0C11EB708311}"/>
            </c:ext>
          </c:extLst>
        </c:ser>
        <c:dLbls>
          <c:dLblPos val="inBase"/>
          <c:showLegendKey val="0"/>
          <c:showVal val="1"/>
          <c:showCatName val="0"/>
          <c:showSerName val="0"/>
          <c:showPercent val="0"/>
          <c:showBubbleSize val="0"/>
        </c:dLbls>
        <c:gapWidth val="219"/>
        <c:axId val="730299039"/>
        <c:axId val="730275327"/>
      </c:barChart>
      <c:lineChart>
        <c:grouping val="standard"/>
        <c:varyColors val="0"/>
        <c:ser>
          <c:idx val="1"/>
          <c:order val="1"/>
          <c:tx>
            <c:v>Average overall</c:v>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Centrality!$E$55:$E$57</c:f>
              <c:numCache>
                <c:formatCode>0.000</c:formatCode>
                <c:ptCount val="3"/>
                <c:pt idx="0">
                  <c:v>0.12765998692644917</c:v>
                </c:pt>
                <c:pt idx="1">
                  <c:v>0.12765998692644917</c:v>
                </c:pt>
                <c:pt idx="2">
                  <c:v>0.12765998692644917</c:v>
                </c:pt>
              </c:numCache>
            </c:numRef>
          </c:cat>
          <c:val>
            <c:numRef>
              <c:f>Centrality!$E$79:$E$84</c:f>
              <c:numCache>
                <c:formatCode>0.000</c:formatCode>
                <c:ptCount val="6"/>
                <c:pt idx="0">
                  <c:v>0.12765998692644917</c:v>
                </c:pt>
                <c:pt idx="1">
                  <c:v>0.12765998692644917</c:v>
                </c:pt>
                <c:pt idx="2">
                  <c:v>0.12765998692644917</c:v>
                </c:pt>
                <c:pt idx="3">
                  <c:v>0.12765998692644917</c:v>
                </c:pt>
                <c:pt idx="4">
                  <c:v>0.12765998692644917</c:v>
                </c:pt>
                <c:pt idx="5">
                  <c:v>0.12765998692644917</c:v>
                </c:pt>
              </c:numCache>
            </c:numRef>
          </c:val>
          <c:smooth val="0"/>
          <c:extLst>
            <c:ext xmlns:c16="http://schemas.microsoft.com/office/drawing/2014/chart" uri="{C3380CC4-5D6E-409C-BE32-E72D297353CC}">
              <c16:uniqueId val="{00000001-25A7-4B0F-B12B-0C11EB708311}"/>
            </c:ext>
          </c:extLst>
        </c:ser>
        <c:dLbls>
          <c:showLegendKey val="0"/>
          <c:showVal val="1"/>
          <c:showCatName val="0"/>
          <c:showSerName val="0"/>
          <c:showPercent val="0"/>
          <c:showBubbleSize val="0"/>
        </c:dLbls>
        <c:marker val="1"/>
        <c:smooth val="0"/>
        <c:axId val="730299039"/>
        <c:axId val="730275327"/>
      </c:lineChart>
      <c:catAx>
        <c:axId val="730299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730275327"/>
        <c:crosses val="autoZero"/>
        <c:auto val="1"/>
        <c:lblAlgn val="ctr"/>
        <c:lblOffset val="100"/>
        <c:noMultiLvlLbl val="0"/>
      </c:catAx>
      <c:valAx>
        <c:axId val="730275327"/>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30299039"/>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Average Closeness Centrality</a:t>
            </a:r>
          </a:p>
        </c:rich>
      </c:tx>
      <c:layout>
        <c:manualLayout>
          <c:xMode val="edge"/>
          <c:yMode val="edge"/>
          <c:x val="0.26374165254659621"/>
          <c:y val="2.755797455230605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v>Average Category</c:v>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Centrality!$A$79:$A$85</c:f>
              <c:strCache>
                <c:ptCount val="7"/>
                <c:pt idx="0">
                  <c:v>Average betrueger</c:v>
                </c:pt>
                <c:pt idx="1">
                  <c:v>Average betrogener</c:v>
                </c:pt>
                <c:pt idx="2">
                  <c:v>Average helfer</c:v>
                </c:pt>
                <c:pt idx="3">
                  <c:v>Average bote</c:v>
                </c:pt>
                <c:pt idx="4">
                  <c:v>Average liebender</c:v>
                </c:pt>
                <c:pt idx="5">
                  <c:v>Average liebende</c:v>
                </c:pt>
                <c:pt idx="6">
                  <c:v>Average gegenspieler</c:v>
                </c:pt>
              </c:strCache>
            </c:strRef>
          </c:cat>
          <c:val>
            <c:numRef>
              <c:f>Centrality!$F$79:$F$85</c:f>
              <c:numCache>
                <c:formatCode>0.0000</c:formatCode>
                <c:ptCount val="7"/>
                <c:pt idx="0">
                  <c:v>0.375021073963761</c:v>
                </c:pt>
                <c:pt idx="1">
                  <c:v>0.36081067679496365</c:v>
                </c:pt>
                <c:pt idx="2">
                  <c:v>0.30648637440139959</c:v>
                </c:pt>
                <c:pt idx="3">
                  <c:v>0.39521845193983041</c:v>
                </c:pt>
                <c:pt idx="4">
                  <c:v>0.39725921947726445</c:v>
                </c:pt>
                <c:pt idx="5">
                  <c:v>0.35855255855255858</c:v>
                </c:pt>
                <c:pt idx="6">
                  <c:v>0.33606292660505721</c:v>
                </c:pt>
              </c:numCache>
            </c:numRef>
          </c:val>
          <c:extLst>
            <c:ext xmlns:c16="http://schemas.microsoft.com/office/drawing/2014/chart" uri="{C3380CC4-5D6E-409C-BE32-E72D297353CC}">
              <c16:uniqueId val="{00000000-CC3D-4005-866B-442CE2F39A21}"/>
            </c:ext>
          </c:extLst>
        </c:ser>
        <c:dLbls>
          <c:dLblPos val="inBase"/>
          <c:showLegendKey val="0"/>
          <c:showVal val="1"/>
          <c:showCatName val="0"/>
          <c:showSerName val="0"/>
          <c:showPercent val="0"/>
          <c:showBubbleSize val="0"/>
        </c:dLbls>
        <c:gapWidth val="219"/>
        <c:axId val="730299039"/>
        <c:axId val="730275327"/>
      </c:barChart>
      <c:lineChart>
        <c:grouping val="standard"/>
        <c:varyColors val="0"/>
        <c:ser>
          <c:idx val="1"/>
          <c:order val="1"/>
          <c:tx>
            <c:v>Average overall</c:v>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Centrality!$G$79:$G$84</c:f>
              <c:numCache>
                <c:formatCode>0.000</c:formatCode>
                <c:ptCount val="6"/>
                <c:pt idx="0">
                  <c:v>0.35223186090620551</c:v>
                </c:pt>
                <c:pt idx="1">
                  <c:v>0.35223186090620551</c:v>
                </c:pt>
                <c:pt idx="2">
                  <c:v>0.35223186090620551</c:v>
                </c:pt>
                <c:pt idx="3">
                  <c:v>0.35223186090620551</c:v>
                </c:pt>
                <c:pt idx="4">
                  <c:v>0.35223186090620551</c:v>
                </c:pt>
                <c:pt idx="5">
                  <c:v>0.35223186090620551</c:v>
                </c:pt>
              </c:numCache>
            </c:numRef>
          </c:val>
          <c:smooth val="0"/>
          <c:extLst>
            <c:ext xmlns:c16="http://schemas.microsoft.com/office/drawing/2014/chart" uri="{C3380CC4-5D6E-409C-BE32-E72D297353CC}">
              <c16:uniqueId val="{00000001-CC3D-4005-866B-442CE2F39A21}"/>
            </c:ext>
          </c:extLst>
        </c:ser>
        <c:dLbls>
          <c:showLegendKey val="0"/>
          <c:showVal val="1"/>
          <c:showCatName val="0"/>
          <c:showSerName val="0"/>
          <c:showPercent val="0"/>
          <c:showBubbleSize val="0"/>
        </c:dLbls>
        <c:marker val="1"/>
        <c:smooth val="0"/>
        <c:axId val="730299039"/>
        <c:axId val="730275327"/>
      </c:lineChart>
      <c:catAx>
        <c:axId val="730299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730275327"/>
        <c:crosses val="autoZero"/>
        <c:auto val="1"/>
        <c:lblAlgn val="ctr"/>
        <c:lblOffset val="100"/>
        <c:noMultiLvlLbl val="0"/>
      </c:catAx>
      <c:valAx>
        <c:axId val="730275327"/>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30299039"/>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Average Eigenvector Centrality</a:t>
            </a:r>
          </a:p>
        </c:rich>
      </c:tx>
      <c:layout>
        <c:manualLayout>
          <c:xMode val="edge"/>
          <c:yMode val="edge"/>
          <c:x val="0.26914792783098151"/>
          <c:y val="4.16920323122153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v>Average Category</c:v>
          </c:tx>
          <c:spPr>
            <a:solidFill>
              <a:schemeClr val="accent4">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Centrality!$A$79:$A$85</c:f>
              <c:strCache>
                <c:ptCount val="7"/>
                <c:pt idx="0">
                  <c:v>Average betrueger</c:v>
                </c:pt>
                <c:pt idx="1">
                  <c:v>Average betrogener</c:v>
                </c:pt>
                <c:pt idx="2">
                  <c:v>Average helfer</c:v>
                </c:pt>
                <c:pt idx="3">
                  <c:v>Average bote</c:v>
                </c:pt>
                <c:pt idx="4">
                  <c:v>Average liebender</c:v>
                </c:pt>
                <c:pt idx="5">
                  <c:v>Average liebende</c:v>
                </c:pt>
                <c:pt idx="6">
                  <c:v>Average gegenspieler</c:v>
                </c:pt>
              </c:strCache>
            </c:strRef>
          </c:cat>
          <c:val>
            <c:numRef>
              <c:f>Centrality!$H$79:$H$85</c:f>
              <c:numCache>
                <c:formatCode>0.0000</c:formatCode>
                <c:ptCount val="7"/>
                <c:pt idx="0">
                  <c:v>0.81455622775500824</c:v>
                </c:pt>
                <c:pt idx="1">
                  <c:v>0.80654255030568645</c:v>
                </c:pt>
                <c:pt idx="2">
                  <c:v>0.44862966387964287</c:v>
                </c:pt>
                <c:pt idx="3">
                  <c:v>0.16595738589555911</c:v>
                </c:pt>
                <c:pt idx="4">
                  <c:v>0.92250203242075079</c:v>
                </c:pt>
                <c:pt idx="5">
                  <c:v>0.99508537837579214</c:v>
                </c:pt>
                <c:pt idx="6">
                  <c:v>0.39543730661367132</c:v>
                </c:pt>
              </c:numCache>
            </c:numRef>
          </c:val>
          <c:extLst>
            <c:ext xmlns:c16="http://schemas.microsoft.com/office/drawing/2014/chart" uri="{C3380CC4-5D6E-409C-BE32-E72D297353CC}">
              <c16:uniqueId val="{00000000-F482-4F4E-9B68-F51ACFD30B5B}"/>
            </c:ext>
          </c:extLst>
        </c:ser>
        <c:dLbls>
          <c:dLblPos val="inBase"/>
          <c:showLegendKey val="0"/>
          <c:showVal val="1"/>
          <c:showCatName val="0"/>
          <c:showSerName val="0"/>
          <c:showPercent val="0"/>
          <c:showBubbleSize val="0"/>
        </c:dLbls>
        <c:gapWidth val="219"/>
        <c:axId val="730299039"/>
        <c:axId val="730275327"/>
      </c:barChart>
      <c:lineChart>
        <c:grouping val="standard"/>
        <c:varyColors val="0"/>
        <c:ser>
          <c:idx val="1"/>
          <c:order val="1"/>
          <c:tx>
            <c:v>Average overall</c:v>
          </c:tx>
          <c:spPr>
            <a:ln w="28575" cap="rnd">
              <a:solidFill>
                <a:schemeClr val="accent4">
                  <a:tint val="77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Centrality!$I$79:$I$84</c:f>
              <c:numCache>
                <c:formatCode>0.000</c:formatCode>
                <c:ptCount val="6"/>
                <c:pt idx="0">
                  <c:v>0.42111383642162159</c:v>
                </c:pt>
                <c:pt idx="1">
                  <c:v>0.42111383642162159</c:v>
                </c:pt>
                <c:pt idx="2">
                  <c:v>0.42111383642162159</c:v>
                </c:pt>
                <c:pt idx="3">
                  <c:v>0.42111383642162159</c:v>
                </c:pt>
                <c:pt idx="4">
                  <c:v>0.42111383642162159</c:v>
                </c:pt>
                <c:pt idx="5">
                  <c:v>0.42111383642162159</c:v>
                </c:pt>
              </c:numCache>
            </c:numRef>
          </c:val>
          <c:smooth val="0"/>
          <c:extLst>
            <c:ext xmlns:c16="http://schemas.microsoft.com/office/drawing/2014/chart" uri="{C3380CC4-5D6E-409C-BE32-E72D297353CC}">
              <c16:uniqueId val="{00000001-F482-4F4E-9B68-F51ACFD30B5B}"/>
            </c:ext>
          </c:extLst>
        </c:ser>
        <c:dLbls>
          <c:showLegendKey val="0"/>
          <c:showVal val="1"/>
          <c:showCatName val="0"/>
          <c:showSerName val="0"/>
          <c:showPercent val="0"/>
          <c:showBubbleSize val="0"/>
        </c:dLbls>
        <c:marker val="1"/>
        <c:smooth val="0"/>
        <c:axId val="730299039"/>
        <c:axId val="730275327"/>
      </c:lineChart>
      <c:catAx>
        <c:axId val="730299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730275327"/>
        <c:crosses val="autoZero"/>
        <c:auto val="1"/>
        <c:lblAlgn val="ctr"/>
        <c:lblOffset val="100"/>
        <c:noMultiLvlLbl val="0"/>
      </c:catAx>
      <c:valAx>
        <c:axId val="730275327"/>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30299039"/>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 id="17">
  <a:schemeClr val="accent4"/>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withinLinear" id="17">
  <a:schemeClr val="accent4"/>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9.xml"/><Relationship Id="rId13" Type="http://schemas.openxmlformats.org/officeDocument/2006/relationships/chart" Target="../charts/chart24.xml"/><Relationship Id="rId3" Type="http://schemas.openxmlformats.org/officeDocument/2006/relationships/chart" Target="../charts/chart14.xml"/><Relationship Id="rId7" Type="http://schemas.openxmlformats.org/officeDocument/2006/relationships/chart" Target="../charts/chart18.xml"/><Relationship Id="rId12" Type="http://schemas.openxmlformats.org/officeDocument/2006/relationships/chart" Target="../charts/chart23.xml"/><Relationship Id="rId2" Type="http://schemas.openxmlformats.org/officeDocument/2006/relationships/chart" Target="../charts/chart13.xml"/><Relationship Id="rId16" Type="http://schemas.openxmlformats.org/officeDocument/2006/relationships/chart" Target="../charts/chart27.xml"/><Relationship Id="rId1" Type="http://schemas.openxmlformats.org/officeDocument/2006/relationships/chart" Target="../charts/chart12.xml"/><Relationship Id="rId6" Type="http://schemas.openxmlformats.org/officeDocument/2006/relationships/chart" Target="../charts/chart17.xml"/><Relationship Id="rId11" Type="http://schemas.openxmlformats.org/officeDocument/2006/relationships/chart" Target="../charts/chart22.xml"/><Relationship Id="rId5" Type="http://schemas.openxmlformats.org/officeDocument/2006/relationships/chart" Target="../charts/chart16.xml"/><Relationship Id="rId15" Type="http://schemas.openxmlformats.org/officeDocument/2006/relationships/chart" Target="../charts/chart26.xml"/><Relationship Id="rId10" Type="http://schemas.openxmlformats.org/officeDocument/2006/relationships/chart" Target="../charts/chart21.xml"/><Relationship Id="rId4" Type="http://schemas.openxmlformats.org/officeDocument/2006/relationships/chart" Target="../charts/chart15.xml"/><Relationship Id="rId9" Type="http://schemas.openxmlformats.org/officeDocument/2006/relationships/chart" Target="../charts/chart20.xml"/><Relationship Id="rId14"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2</xdr:col>
      <xdr:colOff>647700</xdr:colOff>
      <xdr:row>5</xdr:row>
      <xdr:rowOff>106680</xdr:rowOff>
    </xdr:from>
    <xdr:to>
      <xdr:col>7</xdr:col>
      <xdr:colOff>99060</xdr:colOff>
      <xdr:row>18</xdr:row>
      <xdr:rowOff>60960</xdr:rowOff>
    </xdr:to>
    <xdr:graphicFrame macro="">
      <xdr:nvGraphicFramePr>
        <xdr:cNvPr id="2" name="Diagramm 1">
          <a:extLst>
            <a:ext uri="{FF2B5EF4-FFF2-40B4-BE49-F238E27FC236}">
              <a16:creationId xmlns:a16="http://schemas.microsoft.com/office/drawing/2014/main" id="{A97D6E3A-1928-2106-E66E-539446378E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36979</xdr:colOff>
      <xdr:row>0</xdr:row>
      <xdr:rowOff>131444</xdr:rowOff>
    </xdr:from>
    <xdr:to>
      <xdr:col>11</xdr:col>
      <xdr:colOff>257735</xdr:colOff>
      <xdr:row>18</xdr:row>
      <xdr:rowOff>44824</xdr:rowOff>
    </xdr:to>
    <xdr:graphicFrame macro="">
      <xdr:nvGraphicFramePr>
        <xdr:cNvPr id="2" name="Diagramm 1">
          <a:extLst>
            <a:ext uri="{FF2B5EF4-FFF2-40B4-BE49-F238E27FC236}">
              <a16:creationId xmlns:a16="http://schemas.microsoft.com/office/drawing/2014/main" id="{1B210DAF-7CB2-4335-A53F-DC16194F5B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612176</xdr:colOff>
      <xdr:row>0</xdr:row>
      <xdr:rowOff>156221</xdr:rowOff>
    </xdr:from>
    <xdr:to>
      <xdr:col>18</xdr:col>
      <xdr:colOff>634253</xdr:colOff>
      <xdr:row>18</xdr:row>
      <xdr:rowOff>28139</xdr:rowOff>
    </xdr:to>
    <xdr:graphicFrame macro="">
      <xdr:nvGraphicFramePr>
        <xdr:cNvPr id="4" name="Diagramm 3">
          <a:extLst>
            <a:ext uri="{FF2B5EF4-FFF2-40B4-BE49-F238E27FC236}">
              <a16:creationId xmlns:a16="http://schemas.microsoft.com/office/drawing/2014/main" id="{789735AE-D6FF-4217-8930-AAABBB7CE7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407222</xdr:colOff>
      <xdr:row>19</xdr:row>
      <xdr:rowOff>59952</xdr:rowOff>
    </xdr:from>
    <xdr:to>
      <xdr:col>4</xdr:col>
      <xdr:colOff>631456</xdr:colOff>
      <xdr:row>31</xdr:row>
      <xdr:rowOff>16809</xdr:rowOff>
    </xdr:to>
    <mc:AlternateContent xmlns:mc="http://schemas.openxmlformats.org/markup-compatibility/2006" xmlns:a14="http://schemas.microsoft.com/office/drawing/2010/main">
      <mc:Choice Requires="a14">
        <xdr:graphicFrame macro="">
          <xdr:nvGraphicFramePr>
            <xdr:cNvPr id="5" name="Rolle">
              <a:extLst>
                <a:ext uri="{FF2B5EF4-FFF2-40B4-BE49-F238E27FC236}">
                  <a16:creationId xmlns:a16="http://schemas.microsoft.com/office/drawing/2014/main" id="{80CEBE8D-4A31-4E1B-8135-2BBF3F46ACFA}"/>
                </a:ext>
              </a:extLst>
            </xdr:cNvPr>
            <xdr:cNvGraphicFramePr/>
          </xdr:nvGraphicFramePr>
          <xdr:xfrm>
            <a:off x="0" y="0"/>
            <a:ext cx="0" cy="0"/>
          </xdr:xfrm>
          <a:graphic>
            <a:graphicData uri="http://schemas.microsoft.com/office/drawing/2010/slicer">
              <sle:slicer xmlns:sle="http://schemas.microsoft.com/office/drawing/2010/slicer" name="Rolle"/>
            </a:graphicData>
          </a:graphic>
        </xdr:graphicFrame>
      </mc:Choice>
      <mc:Fallback xmlns="">
        <xdr:sp macro="" textlink="">
          <xdr:nvSpPr>
            <xdr:cNvPr id="0" name=""/>
            <xdr:cNvSpPr>
              <a:spLocks noTextEdit="1"/>
            </xdr:cNvSpPr>
          </xdr:nvSpPr>
          <xdr:spPr>
            <a:xfrm>
              <a:off x="2913530" y="3462730"/>
              <a:ext cx="1815465" cy="247459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7</xdr:col>
      <xdr:colOff>425824</xdr:colOff>
      <xdr:row>19</xdr:row>
      <xdr:rowOff>54462</xdr:rowOff>
    </xdr:from>
    <xdr:to>
      <xdr:col>9</xdr:col>
      <xdr:colOff>665292</xdr:colOff>
      <xdr:row>31</xdr:row>
      <xdr:rowOff>17034</xdr:rowOff>
    </xdr:to>
    <mc:AlternateContent xmlns:mc="http://schemas.openxmlformats.org/markup-compatibility/2006" xmlns:a14="http://schemas.microsoft.com/office/drawing/2010/main">
      <mc:Choice Requires="a14">
        <xdr:graphicFrame macro="">
          <xdr:nvGraphicFramePr>
            <xdr:cNvPr id="8" name="Alter">
              <a:extLst>
                <a:ext uri="{FF2B5EF4-FFF2-40B4-BE49-F238E27FC236}">
                  <a16:creationId xmlns:a16="http://schemas.microsoft.com/office/drawing/2014/main" id="{0F7F7E75-86F8-45A1-9928-264278B6164A}"/>
                </a:ext>
              </a:extLst>
            </xdr:cNvPr>
            <xdr:cNvGraphicFramePr/>
          </xdr:nvGraphicFramePr>
          <xdr:xfrm>
            <a:off x="0" y="0"/>
            <a:ext cx="0" cy="0"/>
          </xdr:xfrm>
          <a:graphic>
            <a:graphicData uri="http://schemas.microsoft.com/office/drawing/2010/slicer">
              <sle:slicer xmlns:sle="http://schemas.microsoft.com/office/drawing/2010/slicer" name="Alter"/>
            </a:graphicData>
          </a:graphic>
        </xdr:graphicFrame>
      </mc:Choice>
      <mc:Fallback xmlns="">
        <xdr:sp macro="" textlink="">
          <xdr:nvSpPr>
            <xdr:cNvPr id="0" name=""/>
            <xdr:cNvSpPr>
              <a:spLocks noTextEdit="1"/>
            </xdr:cNvSpPr>
          </xdr:nvSpPr>
          <xdr:spPr>
            <a:xfrm>
              <a:off x="6915935" y="3464860"/>
              <a:ext cx="1832610" cy="2472690"/>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10</xdr:col>
      <xdr:colOff>13110</xdr:colOff>
      <xdr:row>19</xdr:row>
      <xdr:rowOff>48746</xdr:rowOff>
    </xdr:from>
    <xdr:to>
      <xdr:col>12</xdr:col>
      <xdr:colOff>248769</xdr:colOff>
      <xdr:row>31</xdr:row>
      <xdr:rowOff>17033</xdr:rowOff>
    </xdr:to>
    <mc:AlternateContent xmlns:mc="http://schemas.openxmlformats.org/markup-compatibility/2006" xmlns:a14="http://schemas.microsoft.com/office/drawing/2010/main">
      <mc:Choice Requires="a14">
        <xdr:graphicFrame macro="">
          <xdr:nvGraphicFramePr>
            <xdr:cNvPr id="9" name="Stand">
              <a:extLst>
                <a:ext uri="{FF2B5EF4-FFF2-40B4-BE49-F238E27FC236}">
                  <a16:creationId xmlns:a16="http://schemas.microsoft.com/office/drawing/2014/main" id="{4C9367E9-77EE-43A0-B009-81613028F16F}"/>
                </a:ext>
              </a:extLst>
            </xdr:cNvPr>
            <xdr:cNvGraphicFramePr/>
          </xdr:nvGraphicFramePr>
          <xdr:xfrm>
            <a:off x="0" y="0"/>
            <a:ext cx="0" cy="0"/>
          </xdr:xfrm>
          <a:graphic>
            <a:graphicData uri="http://schemas.microsoft.com/office/drawing/2010/slicer">
              <sle:slicer xmlns:sle="http://schemas.microsoft.com/office/drawing/2010/slicer" name="Stand"/>
            </a:graphicData>
          </a:graphic>
        </xdr:graphicFrame>
      </mc:Choice>
      <mc:Fallback xmlns="">
        <xdr:sp macro="" textlink="">
          <xdr:nvSpPr>
            <xdr:cNvPr id="0" name=""/>
            <xdr:cNvSpPr>
              <a:spLocks noTextEdit="1"/>
            </xdr:cNvSpPr>
          </xdr:nvSpPr>
          <xdr:spPr>
            <a:xfrm>
              <a:off x="8891979" y="3457239"/>
              <a:ext cx="1819275" cy="2480310"/>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5</xdr:col>
      <xdr:colOff>49106</xdr:colOff>
      <xdr:row>19</xdr:row>
      <xdr:rowOff>56726</xdr:rowOff>
    </xdr:from>
    <xdr:to>
      <xdr:col>7</xdr:col>
      <xdr:colOff>286173</xdr:colOff>
      <xdr:row>30</xdr:row>
      <xdr:rowOff>110701</xdr:rowOff>
    </xdr:to>
    <mc:AlternateContent xmlns:mc="http://schemas.openxmlformats.org/markup-compatibility/2006" xmlns:a14="http://schemas.microsoft.com/office/drawing/2010/main">
      <mc:Choice Requires="a14">
        <xdr:graphicFrame macro="">
          <xdr:nvGraphicFramePr>
            <xdr:cNvPr id="6" name="Bezeichnung2">
              <a:extLst>
                <a:ext uri="{FF2B5EF4-FFF2-40B4-BE49-F238E27FC236}">
                  <a16:creationId xmlns:a16="http://schemas.microsoft.com/office/drawing/2014/main" id="{AE831260-1B62-78D1-3AD2-38759509BFC7}"/>
                </a:ext>
              </a:extLst>
            </xdr:cNvPr>
            <xdr:cNvGraphicFramePr/>
          </xdr:nvGraphicFramePr>
          <xdr:xfrm>
            <a:off x="0" y="0"/>
            <a:ext cx="0" cy="0"/>
          </xdr:xfrm>
          <a:graphic>
            <a:graphicData uri="http://schemas.microsoft.com/office/drawing/2010/slicer">
              <sle:slicer xmlns:sle="http://schemas.microsoft.com/office/drawing/2010/slicer" name="Bezeichnung2"/>
            </a:graphicData>
          </a:graphic>
        </xdr:graphicFrame>
      </mc:Choice>
      <mc:Fallback xmlns="">
        <xdr:sp macro="" textlink="">
          <xdr:nvSpPr>
            <xdr:cNvPr id="0" name=""/>
            <xdr:cNvSpPr>
              <a:spLocks noTextEdit="1"/>
            </xdr:cNvSpPr>
          </xdr:nvSpPr>
          <xdr:spPr>
            <a:xfrm>
              <a:off x="4959773" y="3595793"/>
              <a:ext cx="1828800" cy="246697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601980</xdr:colOff>
      <xdr:row>1</xdr:row>
      <xdr:rowOff>0</xdr:rowOff>
    </xdr:from>
    <xdr:to>
      <xdr:col>8</xdr:col>
      <xdr:colOff>419100</xdr:colOff>
      <xdr:row>16</xdr:row>
      <xdr:rowOff>0</xdr:rowOff>
    </xdr:to>
    <xdr:graphicFrame macro="">
      <xdr:nvGraphicFramePr>
        <xdr:cNvPr id="2" name="Diagramm 1">
          <a:extLst>
            <a:ext uri="{FF2B5EF4-FFF2-40B4-BE49-F238E27FC236}">
              <a16:creationId xmlns:a16="http://schemas.microsoft.com/office/drawing/2014/main" id="{361E023B-0215-4704-B331-4199DE6DDF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xdr:row>
      <xdr:rowOff>0</xdr:rowOff>
    </xdr:from>
    <xdr:to>
      <xdr:col>14</xdr:col>
      <xdr:colOff>609600</xdr:colOff>
      <xdr:row>16</xdr:row>
      <xdr:rowOff>0</xdr:rowOff>
    </xdr:to>
    <xdr:graphicFrame macro="">
      <xdr:nvGraphicFramePr>
        <xdr:cNvPr id="3" name="Diagramm 2">
          <a:extLst>
            <a:ext uri="{FF2B5EF4-FFF2-40B4-BE49-F238E27FC236}">
              <a16:creationId xmlns:a16="http://schemas.microsoft.com/office/drawing/2014/main" id="{36492335-B63B-4AFD-8A84-604B6126F6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697230</xdr:colOff>
      <xdr:row>17</xdr:row>
      <xdr:rowOff>30480</xdr:rowOff>
    </xdr:from>
    <xdr:to>
      <xdr:col>7</xdr:col>
      <xdr:colOff>150495</xdr:colOff>
      <xdr:row>30</xdr:row>
      <xdr:rowOff>171450</xdr:rowOff>
    </xdr:to>
    <mc:AlternateContent xmlns:mc="http://schemas.openxmlformats.org/markup-compatibility/2006" xmlns:a14="http://schemas.microsoft.com/office/drawing/2010/main">
      <mc:Choice Requires="a14">
        <xdr:graphicFrame macro="">
          <xdr:nvGraphicFramePr>
            <xdr:cNvPr id="4" name="Geschlecht">
              <a:extLst>
                <a:ext uri="{FF2B5EF4-FFF2-40B4-BE49-F238E27FC236}">
                  <a16:creationId xmlns:a16="http://schemas.microsoft.com/office/drawing/2014/main" id="{A4F504CE-E499-488A-B452-326E11FC699D}"/>
                </a:ext>
              </a:extLst>
            </xdr:cNvPr>
            <xdr:cNvGraphicFramePr/>
          </xdr:nvGraphicFramePr>
          <xdr:xfrm>
            <a:off x="0" y="0"/>
            <a:ext cx="0" cy="0"/>
          </xdr:xfrm>
          <a:graphic>
            <a:graphicData uri="http://schemas.microsoft.com/office/drawing/2010/slicer">
              <sle:slicer xmlns:sle="http://schemas.microsoft.com/office/drawing/2010/slicer" name="Geschlecht"/>
            </a:graphicData>
          </a:graphic>
        </xdr:graphicFrame>
      </mc:Choice>
      <mc:Fallback xmlns="">
        <xdr:sp macro="" textlink="">
          <xdr:nvSpPr>
            <xdr:cNvPr id="0" name=""/>
            <xdr:cNvSpPr>
              <a:spLocks noTextEdit="1"/>
            </xdr:cNvSpPr>
          </xdr:nvSpPr>
          <xdr:spPr>
            <a:xfrm>
              <a:off x="4025265" y="3105150"/>
              <a:ext cx="1821180" cy="2491740"/>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7</xdr:col>
      <xdr:colOff>361950</xdr:colOff>
      <xdr:row>17</xdr:row>
      <xdr:rowOff>26670</xdr:rowOff>
    </xdr:from>
    <xdr:to>
      <xdr:col>9</xdr:col>
      <xdr:colOff>609600</xdr:colOff>
      <xdr:row>30</xdr:row>
      <xdr:rowOff>148590</xdr:rowOff>
    </xdr:to>
    <mc:AlternateContent xmlns:mc="http://schemas.openxmlformats.org/markup-compatibility/2006" xmlns:a14="http://schemas.microsoft.com/office/drawing/2010/main">
      <mc:Choice Requires="a14">
        <xdr:graphicFrame macro="">
          <xdr:nvGraphicFramePr>
            <xdr:cNvPr id="6" name="Rolle 1">
              <a:extLst>
                <a:ext uri="{FF2B5EF4-FFF2-40B4-BE49-F238E27FC236}">
                  <a16:creationId xmlns:a16="http://schemas.microsoft.com/office/drawing/2014/main" id="{A5675ACE-BCBD-4231-AA87-39A0DDEBBCA1}"/>
                </a:ext>
              </a:extLst>
            </xdr:cNvPr>
            <xdr:cNvGraphicFramePr/>
          </xdr:nvGraphicFramePr>
          <xdr:xfrm>
            <a:off x="0" y="0"/>
            <a:ext cx="0" cy="0"/>
          </xdr:xfrm>
          <a:graphic>
            <a:graphicData uri="http://schemas.microsoft.com/office/drawing/2010/slicer">
              <sle:slicer xmlns:sle="http://schemas.microsoft.com/office/drawing/2010/slicer" name="Rolle 1"/>
            </a:graphicData>
          </a:graphic>
        </xdr:graphicFrame>
      </mc:Choice>
      <mc:Fallback xmlns="">
        <xdr:sp macro="" textlink="">
          <xdr:nvSpPr>
            <xdr:cNvPr id="0" name=""/>
            <xdr:cNvSpPr>
              <a:spLocks noTextEdit="1"/>
            </xdr:cNvSpPr>
          </xdr:nvSpPr>
          <xdr:spPr>
            <a:xfrm>
              <a:off x="6054090" y="3101340"/>
              <a:ext cx="1832610" cy="2476500"/>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12</xdr:col>
      <xdr:colOff>440055</xdr:colOff>
      <xdr:row>16</xdr:row>
      <xdr:rowOff>177165</xdr:rowOff>
    </xdr:from>
    <xdr:to>
      <xdr:col>14</xdr:col>
      <xdr:colOff>704850</xdr:colOff>
      <xdr:row>30</xdr:row>
      <xdr:rowOff>114300</xdr:rowOff>
    </xdr:to>
    <mc:AlternateContent xmlns:mc="http://schemas.openxmlformats.org/markup-compatibility/2006" xmlns:a14="http://schemas.microsoft.com/office/drawing/2010/main">
      <mc:Choice Requires="a14">
        <xdr:graphicFrame macro="">
          <xdr:nvGraphicFramePr>
            <xdr:cNvPr id="7" name="Stand 1">
              <a:extLst>
                <a:ext uri="{FF2B5EF4-FFF2-40B4-BE49-F238E27FC236}">
                  <a16:creationId xmlns:a16="http://schemas.microsoft.com/office/drawing/2014/main" id="{92288959-0264-431E-ADFD-8AC774723283}"/>
                </a:ext>
              </a:extLst>
            </xdr:cNvPr>
            <xdr:cNvGraphicFramePr/>
          </xdr:nvGraphicFramePr>
          <xdr:xfrm>
            <a:off x="0" y="0"/>
            <a:ext cx="0" cy="0"/>
          </xdr:xfrm>
          <a:graphic>
            <a:graphicData uri="http://schemas.microsoft.com/office/drawing/2010/slicer">
              <sle:slicer xmlns:sle="http://schemas.microsoft.com/office/drawing/2010/slicer" name="Stand 1"/>
            </a:graphicData>
          </a:graphic>
        </xdr:graphicFrame>
      </mc:Choice>
      <mc:Fallback xmlns="">
        <xdr:sp macro="" textlink="">
          <xdr:nvSpPr>
            <xdr:cNvPr id="0" name=""/>
            <xdr:cNvSpPr>
              <a:spLocks noTextEdit="1"/>
            </xdr:cNvSpPr>
          </xdr:nvSpPr>
          <xdr:spPr>
            <a:xfrm>
              <a:off x="10085070" y="3068955"/>
              <a:ext cx="1845945" cy="247459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9</xdr:col>
      <xdr:colOff>784860</xdr:colOff>
      <xdr:row>17</xdr:row>
      <xdr:rowOff>22860</xdr:rowOff>
    </xdr:from>
    <xdr:to>
      <xdr:col>12</xdr:col>
      <xdr:colOff>236220</xdr:colOff>
      <xdr:row>30</xdr:row>
      <xdr:rowOff>112395</xdr:rowOff>
    </xdr:to>
    <mc:AlternateContent xmlns:mc="http://schemas.openxmlformats.org/markup-compatibility/2006" xmlns:a14="http://schemas.microsoft.com/office/drawing/2010/main">
      <mc:Choice Requires="a14">
        <xdr:graphicFrame macro="">
          <xdr:nvGraphicFramePr>
            <xdr:cNvPr id="9" name="Bezeichnung2 1">
              <a:extLst>
                <a:ext uri="{FF2B5EF4-FFF2-40B4-BE49-F238E27FC236}">
                  <a16:creationId xmlns:a16="http://schemas.microsoft.com/office/drawing/2014/main" id="{1D7D3862-3D07-9A28-0512-74BB1A3DC003}"/>
                </a:ext>
              </a:extLst>
            </xdr:cNvPr>
            <xdr:cNvGraphicFramePr/>
          </xdr:nvGraphicFramePr>
          <xdr:xfrm>
            <a:off x="0" y="0"/>
            <a:ext cx="0" cy="0"/>
          </xdr:xfrm>
          <a:graphic>
            <a:graphicData uri="http://schemas.microsoft.com/office/drawing/2010/slicer">
              <sle:slicer xmlns:sle="http://schemas.microsoft.com/office/drawing/2010/slicer" name="Bezeichnung2 1"/>
            </a:graphicData>
          </a:graphic>
        </xdr:graphicFrame>
      </mc:Choice>
      <mc:Fallback xmlns="">
        <xdr:sp macro="" textlink="">
          <xdr:nvSpPr>
            <xdr:cNvPr id="0" name=""/>
            <xdr:cNvSpPr>
              <a:spLocks noTextEdit="1"/>
            </xdr:cNvSpPr>
          </xdr:nvSpPr>
          <xdr:spPr>
            <a:xfrm>
              <a:off x="8001000" y="3131820"/>
              <a:ext cx="1828800" cy="246697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0</xdr:col>
      <xdr:colOff>137160</xdr:colOff>
      <xdr:row>10</xdr:row>
      <xdr:rowOff>160020</xdr:rowOff>
    </xdr:from>
    <xdr:to>
      <xdr:col>2</xdr:col>
      <xdr:colOff>297180</xdr:colOff>
      <xdr:row>24</xdr:row>
      <xdr:rowOff>66675</xdr:rowOff>
    </xdr:to>
    <mc:AlternateContent xmlns:mc="http://schemas.openxmlformats.org/markup-compatibility/2006">
      <mc:Choice xmlns:a14="http://schemas.microsoft.com/office/drawing/2010/main" Requires="a14">
        <xdr:graphicFrame macro="">
          <xdr:nvGraphicFramePr>
            <xdr:cNvPr id="5" name="Figurenkonstellation 2">
              <a:extLst>
                <a:ext uri="{FF2B5EF4-FFF2-40B4-BE49-F238E27FC236}">
                  <a16:creationId xmlns:a16="http://schemas.microsoft.com/office/drawing/2014/main" id="{606D2653-8A96-84D4-C025-8D3BF5790FAF}"/>
                </a:ext>
              </a:extLst>
            </xdr:cNvPr>
            <xdr:cNvGraphicFramePr/>
          </xdr:nvGraphicFramePr>
          <xdr:xfrm>
            <a:off x="0" y="0"/>
            <a:ext cx="0" cy="0"/>
          </xdr:xfrm>
          <a:graphic>
            <a:graphicData uri="http://schemas.microsoft.com/office/drawing/2010/slicer">
              <sle:slicer xmlns:sle="http://schemas.microsoft.com/office/drawing/2010/slicer" name="Figurenkonstellation 2"/>
            </a:graphicData>
          </a:graphic>
        </xdr:graphicFrame>
      </mc:Choice>
      <mc:Fallback>
        <xdr:sp macro="" textlink="">
          <xdr:nvSpPr>
            <xdr:cNvPr id="0" name=""/>
            <xdr:cNvSpPr>
              <a:spLocks noTextEdit="1"/>
            </xdr:cNvSpPr>
          </xdr:nvSpPr>
          <xdr:spPr>
            <a:xfrm>
              <a:off x="137160" y="1988820"/>
              <a:ext cx="1828800" cy="246697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561975</xdr:colOff>
      <xdr:row>0</xdr:row>
      <xdr:rowOff>126682</xdr:rowOff>
    </xdr:from>
    <xdr:to>
      <xdr:col>8</xdr:col>
      <xdr:colOff>388620</xdr:colOff>
      <xdr:row>15</xdr:row>
      <xdr:rowOff>155257</xdr:rowOff>
    </xdr:to>
    <xdr:graphicFrame macro="">
      <xdr:nvGraphicFramePr>
        <xdr:cNvPr id="2" name="Diagramm 1">
          <a:extLst>
            <a:ext uri="{FF2B5EF4-FFF2-40B4-BE49-F238E27FC236}">
              <a16:creationId xmlns:a16="http://schemas.microsoft.com/office/drawing/2014/main" id="{34743E1F-95F2-45EF-8FA7-82CA4C22DD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209550</xdr:colOff>
      <xdr:row>0</xdr:row>
      <xdr:rowOff>123825</xdr:rowOff>
    </xdr:from>
    <xdr:to>
      <xdr:col>15</xdr:col>
      <xdr:colOff>43815</xdr:colOff>
      <xdr:row>15</xdr:row>
      <xdr:rowOff>144780</xdr:rowOff>
    </xdr:to>
    <xdr:graphicFrame macro="">
      <xdr:nvGraphicFramePr>
        <xdr:cNvPr id="3" name="Diagramm 2">
          <a:extLst>
            <a:ext uri="{FF2B5EF4-FFF2-40B4-BE49-F238E27FC236}">
              <a16:creationId xmlns:a16="http://schemas.microsoft.com/office/drawing/2014/main" id="{7E7D7DFA-ED94-4190-8901-41D5D15E31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571500</xdr:colOff>
      <xdr:row>17</xdr:row>
      <xdr:rowOff>17145</xdr:rowOff>
    </xdr:from>
    <xdr:to>
      <xdr:col>5</xdr:col>
      <xdr:colOff>20955</xdr:colOff>
      <xdr:row>30</xdr:row>
      <xdr:rowOff>129540</xdr:rowOff>
    </xdr:to>
    <mc:AlternateContent xmlns:mc="http://schemas.openxmlformats.org/markup-compatibility/2006" xmlns:a14="http://schemas.microsoft.com/office/drawing/2010/main">
      <mc:Choice Requires="a14">
        <xdr:graphicFrame macro="">
          <xdr:nvGraphicFramePr>
            <xdr:cNvPr id="4" name="Geschlecht 1">
              <a:extLst>
                <a:ext uri="{FF2B5EF4-FFF2-40B4-BE49-F238E27FC236}">
                  <a16:creationId xmlns:a16="http://schemas.microsoft.com/office/drawing/2014/main" id="{97D7BD8B-F15C-43A5-9F3A-BAB47FE9A543}"/>
                </a:ext>
              </a:extLst>
            </xdr:cNvPr>
            <xdr:cNvGraphicFramePr/>
          </xdr:nvGraphicFramePr>
          <xdr:xfrm>
            <a:off x="0" y="0"/>
            <a:ext cx="0" cy="0"/>
          </xdr:xfrm>
          <a:graphic>
            <a:graphicData uri="http://schemas.microsoft.com/office/drawing/2010/slicer">
              <sle:slicer xmlns:sle="http://schemas.microsoft.com/office/drawing/2010/slicer" name="Geschlecht 1"/>
            </a:graphicData>
          </a:graphic>
        </xdr:graphicFrame>
      </mc:Choice>
      <mc:Fallback xmlns="">
        <xdr:sp macro="" textlink="">
          <xdr:nvSpPr>
            <xdr:cNvPr id="0" name=""/>
            <xdr:cNvSpPr>
              <a:spLocks noTextEdit="1"/>
            </xdr:cNvSpPr>
          </xdr:nvSpPr>
          <xdr:spPr>
            <a:xfrm>
              <a:off x="2400300" y="3097530"/>
              <a:ext cx="1821180" cy="2461260"/>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5</xdr:col>
      <xdr:colOff>266700</xdr:colOff>
      <xdr:row>17</xdr:row>
      <xdr:rowOff>20955</xdr:rowOff>
    </xdr:from>
    <xdr:to>
      <xdr:col>7</xdr:col>
      <xdr:colOff>510540</xdr:colOff>
      <xdr:row>30</xdr:row>
      <xdr:rowOff>129540</xdr:rowOff>
    </xdr:to>
    <mc:AlternateContent xmlns:mc="http://schemas.openxmlformats.org/markup-compatibility/2006" xmlns:a14="http://schemas.microsoft.com/office/drawing/2010/main">
      <mc:Choice Requires="a14">
        <xdr:graphicFrame macro="">
          <xdr:nvGraphicFramePr>
            <xdr:cNvPr id="5" name="Alter 1">
              <a:extLst>
                <a:ext uri="{FF2B5EF4-FFF2-40B4-BE49-F238E27FC236}">
                  <a16:creationId xmlns:a16="http://schemas.microsoft.com/office/drawing/2014/main" id="{B27657EE-F9F8-452C-9907-3BF5F03DC94B}"/>
                </a:ext>
              </a:extLst>
            </xdr:cNvPr>
            <xdr:cNvGraphicFramePr/>
          </xdr:nvGraphicFramePr>
          <xdr:xfrm>
            <a:off x="0" y="0"/>
            <a:ext cx="0" cy="0"/>
          </xdr:xfrm>
          <a:graphic>
            <a:graphicData uri="http://schemas.microsoft.com/office/drawing/2010/slicer">
              <sle:slicer xmlns:sle="http://schemas.microsoft.com/office/drawing/2010/slicer" name="Alter 1"/>
            </a:graphicData>
          </a:graphic>
        </xdr:graphicFrame>
      </mc:Choice>
      <mc:Fallback xmlns="">
        <xdr:sp macro="" textlink="">
          <xdr:nvSpPr>
            <xdr:cNvPr id="0" name=""/>
            <xdr:cNvSpPr>
              <a:spLocks noTextEdit="1"/>
            </xdr:cNvSpPr>
          </xdr:nvSpPr>
          <xdr:spPr>
            <a:xfrm>
              <a:off x="4467225" y="3093720"/>
              <a:ext cx="1824990" cy="2465070"/>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10</xdr:col>
      <xdr:colOff>411480</xdr:colOff>
      <xdr:row>17</xdr:row>
      <xdr:rowOff>5715</xdr:rowOff>
    </xdr:from>
    <xdr:to>
      <xdr:col>12</xdr:col>
      <xdr:colOff>668655</xdr:colOff>
      <xdr:row>30</xdr:row>
      <xdr:rowOff>129540</xdr:rowOff>
    </xdr:to>
    <mc:AlternateContent xmlns:mc="http://schemas.openxmlformats.org/markup-compatibility/2006" xmlns:a14="http://schemas.microsoft.com/office/drawing/2010/main">
      <mc:Choice Requires="a14">
        <xdr:graphicFrame macro="">
          <xdr:nvGraphicFramePr>
            <xdr:cNvPr id="7" name="Rolle 2">
              <a:extLst>
                <a:ext uri="{FF2B5EF4-FFF2-40B4-BE49-F238E27FC236}">
                  <a16:creationId xmlns:a16="http://schemas.microsoft.com/office/drawing/2014/main" id="{5C657174-383A-44A7-A67E-01B352BF4DB6}"/>
                </a:ext>
              </a:extLst>
            </xdr:cNvPr>
            <xdr:cNvGraphicFramePr/>
          </xdr:nvGraphicFramePr>
          <xdr:xfrm>
            <a:off x="0" y="0"/>
            <a:ext cx="0" cy="0"/>
          </xdr:xfrm>
          <a:graphic>
            <a:graphicData uri="http://schemas.microsoft.com/office/drawing/2010/slicer">
              <sle:slicer xmlns:sle="http://schemas.microsoft.com/office/drawing/2010/slicer" name="Rolle 2"/>
            </a:graphicData>
          </a:graphic>
        </xdr:graphicFrame>
      </mc:Choice>
      <mc:Fallback xmlns="">
        <xdr:sp macro="" textlink="">
          <xdr:nvSpPr>
            <xdr:cNvPr id="0" name=""/>
            <xdr:cNvSpPr>
              <a:spLocks noTextEdit="1"/>
            </xdr:cNvSpPr>
          </xdr:nvSpPr>
          <xdr:spPr>
            <a:xfrm>
              <a:off x="8562975" y="3084195"/>
              <a:ext cx="1840230" cy="247459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7</xdr:col>
      <xdr:colOff>773006</xdr:colOff>
      <xdr:row>16</xdr:row>
      <xdr:rowOff>166793</xdr:rowOff>
    </xdr:from>
    <xdr:to>
      <xdr:col>10</xdr:col>
      <xdr:colOff>214206</xdr:colOff>
      <xdr:row>30</xdr:row>
      <xdr:rowOff>26035</xdr:rowOff>
    </xdr:to>
    <mc:AlternateContent xmlns:mc="http://schemas.openxmlformats.org/markup-compatibility/2006" xmlns:a14="http://schemas.microsoft.com/office/drawing/2010/main">
      <mc:Choice Requires="a14">
        <xdr:graphicFrame macro="">
          <xdr:nvGraphicFramePr>
            <xdr:cNvPr id="9" name="Bezeichnung2 3">
              <a:extLst>
                <a:ext uri="{FF2B5EF4-FFF2-40B4-BE49-F238E27FC236}">
                  <a16:creationId xmlns:a16="http://schemas.microsoft.com/office/drawing/2014/main" id="{8D194970-A7BD-0917-60A2-5D2BDFEAE8E8}"/>
                </a:ext>
              </a:extLst>
            </xdr:cNvPr>
            <xdr:cNvGraphicFramePr/>
          </xdr:nvGraphicFramePr>
          <xdr:xfrm>
            <a:off x="0" y="0"/>
            <a:ext cx="0" cy="0"/>
          </xdr:xfrm>
          <a:graphic>
            <a:graphicData uri="http://schemas.microsoft.com/office/drawing/2010/slicer">
              <sle:slicer xmlns:sle="http://schemas.microsoft.com/office/drawing/2010/slicer" name="Bezeichnung2 3"/>
            </a:graphicData>
          </a:graphic>
        </xdr:graphicFrame>
      </mc:Choice>
      <mc:Fallback xmlns="">
        <xdr:sp macro="" textlink="">
          <xdr:nvSpPr>
            <xdr:cNvPr id="0" name=""/>
            <xdr:cNvSpPr>
              <a:spLocks noTextEdit="1"/>
            </xdr:cNvSpPr>
          </xdr:nvSpPr>
          <xdr:spPr>
            <a:xfrm>
              <a:off x="6589606" y="3147060"/>
              <a:ext cx="1828800" cy="246697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0</xdr:col>
      <xdr:colOff>298874</xdr:colOff>
      <xdr:row>13</xdr:row>
      <xdr:rowOff>56726</xdr:rowOff>
    </xdr:from>
    <xdr:to>
      <xdr:col>2</xdr:col>
      <xdr:colOff>290407</xdr:colOff>
      <xdr:row>26</xdr:row>
      <xdr:rowOff>102235</xdr:rowOff>
    </xdr:to>
    <mc:AlternateContent xmlns:mc="http://schemas.openxmlformats.org/markup-compatibility/2006">
      <mc:Choice xmlns:a14="http://schemas.microsoft.com/office/drawing/2010/main" Requires="a14">
        <xdr:graphicFrame macro="">
          <xdr:nvGraphicFramePr>
            <xdr:cNvPr id="10" name="Figurenkonstellation 1">
              <a:extLst>
                <a:ext uri="{FF2B5EF4-FFF2-40B4-BE49-F238E27FC236}">
                  <a16:creationId xmlns:a16="http://schemas.microsoft.com/office/drawing/2014/main" id="{69921092-A498-ADC5-A09A-A66B2AF63175}"/>
                </a:ext>
              </a:extLst>
            </xdr:cNvPr>
            <xdr:cNvGraphicFramePr/>
          </xdr:nvGraphicFramePr>
          <xdr:xfrm>
            <a:off x="0" y="0"/>
            <a:ext cx="0" cy="0"/>
          </xdr:xfrm>
          <a:graphic>
            <a:graphicData uri="http://schemas.microsoft.com/office/drawing/2010/slicer">
              <sle:slicer xmlns:sle="http://schemas.microsoft.com/office/drawing/2010/slicer" name="Figurenkonstellation 1"/>
            </a:graphicData>
          </a:graphic>
        </xdr:graphicFrame>
      </mc:Choice>
      <mc:Fallback>
        <xdr:sp macro="" textlink="">
          <xdr:nvSpPr>
            <xdr:cNvPr id="0" name=""/>
            <xdr:cNvSpPr>
              <a:spLocks noTextEdit="1"/>
            </xdr:cNvSpPr>
          </xdr:nvSpPr>
          <xdr:spPr>
            <a:xfrm>
              <a:off x="298874" y="2478193"/>
              <a:ext cx="1828800" cy="246697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13</xdr:col>
      <xdr:colOff>316231</xdr:colOff>
      <xdr:row>1</xdr:row>
      <xdr:rowOff>132397</xdr:rowOff>
    </xdr:from>
    <xdr:to>
      <xdr:col>24</xdr:col>
      <xdr:colOff>626746</xdr:colOff>
      <xdr:row>20</xdr:row>
      <xdr:rowOff>9525</xdr:rowOff>
    </xdr:to>
    <xdr:graphicFrame macro="">
      <xdr:nvGraphicFramePr>
        <xdr:cNvPr id="3" name="Chart 2">
          <a:extLst>
            <a:ext uri="{FF2B5EF4-FFF2-40B4-BE49-F238E27FC236}">
              <a16:creationId xmlns:a16="http://schemas.microsoft.com/office/drawing/2014/main" id="{E26236B5-A09F-432D-9DE7-7D94AC2961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171449</xdr:colOff>
      <xdr:row>2</xdr:row>
      <xdr:rowOff>20002</xdr:rowOff>
    </xdr:from>
    <xdr:to>
      <xdr:col>13</xdr:col>
      <xdr:colOff>22859</xdr:colOff>
      <xdr:row>19</xdr:row>
      <xdr:rowOff>104775</xdr:rowOff>
    </xdr:to>
    <xdr:graphicFrame macro="">
      <xdr:nvGraphicFramePr>
        <xdr:cNvPr id="4" name="Chart 3">
          <a:extLst>
            <a:ext uri="{FF2B5EF4-FFF2-40B4-BE49-F238E27FC236}">
              <a16:creationId xmlns:a16="http://schemas.microsoft.com/office/drawing/2014/main" id="{C161BD43-41EE-4395-935D-8DDA4083C6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57150</xdr:colOff>
      <xdr:row>20</xdr:row>
      <xdr:rowOff>11430</xdr:rowOff>
    </xdr:from>
    <xdr:to>
      <xdr:col>8</xdr:col>
      <xdr:colOff>22859</xdr:colOff>
      <xdr:row>32</xdr:row>
      <xdr:rowOff>152400</xdr:rowOff>
    </xdr:to>
    <mc:AlternateContent xmlns:mc="http://schemas.openxmlformats.org/markup-compatibility/2006" xmlns:a14="http://schemas.microsoft.com/office/drawing/2010/main">
      <mc:Choice Requires="a14">
        <xdr:graphicFrame macro="">
          <xdr:nvGraphicFramePr>
            <xdr:cNvPr id="5" name="Geschlecht 3">
              <a:extLst>
                <a:ext uri="{FF2B5EF4-FFF2-40B4-BE49-F238E27FC236}">
                  <a16:creationId xmlns:a16="http://schemas.microsoft.com/office/drawing/2014/main" id="{A0838263-A9F3-4152-85F1-DF5D6C9B065F}"/>
                </a:ext>
              </a:extLst>
            </xdr:cNvPr>
            <xdr:cNvGraphicFramePr/>
          </xdr:nvGraphicFramePr>
          <xdr:xfrm>
            <a:off x="0" y="0"/>
            <a:ext cx="0" cy="0"/>
          </xdr:xfrm>
          <a:graphic>
            <a:graphicData uri="http://schemas.microsoft.com/office/drawing/2010/slicer">
              <sle:slicer xmlns:sle="http://schemas.microsoft.com/office/drawing/2010/slicer" name="Geschlecht 3"/>
            </a:graphicData>
          </a:graphic>
        </xdr:graphicFrame>
      </mc:Choice>
      <mc:Fallback xmlns="">
        <xdr:sp macro="" textlink="">
          <xdr:nvSpPr>
            <xdr:cNvPr id="0" name=""/>
            <xdr:cNvSpPr>
              <a:spLocks noTextEdit="1"/>
            </xdr:cNvSpPr>
          </xdr:nvSpPr>
          <xdr:spPr>
            <a:xfrm>
              <a:off x="4739640" y="3634740"/>
              <a:ext cx="1703069" cy="2308860"/>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100965</xdr:colOff>
      <xdr:row>20</xdr:row>
      <xdr:rowOff>9525</xdr:rowOff>
    </xdr:from>
    <xdr:to>
      <xdr:col>9</xdr:col>
      <xdr:colOff>1316356</xdr:colOff>
      <xdr:row>32</xdr:row>
      <xdr:rowOff>167640</xdr:rowOff>
    </xdr:to>
    <mc:AlternateContent xmlns:mc="http://schemas.openxmlformats.org/markup-compatibility/2006" xmlns:a14="http://schemas.microsoft.com/office/drawing/2010/main">
      <mc:Choice Requires="a14">
        <xdr:graphicFrame macro="">
          <xdr:nvGraphicFramePr>
            <xdr:cNvPr id="6" name="Alter 3">
              <a:extLst>
                <a:ext uri="{FF2B5EF4-FFF2-40B4-BE49-F238E27FC236}">
                  <a16:creationId xmlns:a16="http://schemas.microsoft.com/office/drawing/2014/main" id="{10C3B0EA-6446-45D8-9B5C-5EF2517EA56C}"/>
                </a:ext>
              </a:extLst>
            </xdr:cNvPr>
            <xdr:cNvGraphicFramePr/>
          </xdr:nvGraphicFramePr>
          <xdr:xfrm>
            <a:off x="0" y="0"/>
            <a:ext cx="0" cy="0"/>
          </xdr:xfrm>
          <a:graphic>
            <a:graphicData uri="http://schemas.microsoft.com/office/drawing/2010/slicer">
              <sle:slicer xmlns:sle="http://schemas.microsoft.com/office/drawing/2010/slicer" name="Alter 3"/>
            </a:graphicData>
          </a:graphic>
        </xdr:graphicFrame>
      </mc:Choice>
      <mc:Fallback xmlns="">
        <xdr:sp macro="" textlink="">
          <xdr:nvSpPr>
            <xdr:cNvPr id="0" name=""/>
            <xdr:cNvSpPr>
              <a:spLocks noTextEdit="1"/>
            </xdr:cNvSpPr>
          </xdr:nvSpPr>
          <xdr:spPr>
            <a:xfrm>
              <a:off x="6517005" y="3630930"/>
              <a:ext cx="1752601" cy="2327910"/>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750570</xdr:colOff>
      <xdr:row>21</xdr:row>
      <xdr:rowOff>19050</xdr:rowOff>
    </xdr:from>
    <xdr:to>
      <xdr:col>17</xdr:col>
      <xdr:colOff>167640</xdr:colOff>
      <xdr:row>33</xdr:row>
      <xdr:rowOff>171450</xdr:rowOff>
    </xdr:to>
    <mc:AlternateContent xmlns:mc="http://schemas.openxmlformats.org/markup-compatibility/2006" xmlns:a14="http://schemas.microsoft.com/office/drawing/2010/main">
      <mc:Choice Requires="a14">
        <xdr:graphicFrame macro="">
          <xdr:nvGraphicFramePr>
            <xdr:cNvPr id="7" name="Rolle 3">
              <a:extLst>
                <a:ext uri="{FF2B5EF4-FFF2-40B4-BE49-F238E27FC236}">
                  <a16:creationId xmlns:a16="http://schemas.microsoft.com/office/drawing/2014/main" id="{E91B62DC-E03B-4AD2-B9E8-5CB3CF4FE792}"/>
                </a:ext>
              </a:extLst>
            </xdr:cNvPr>
            <xdr:cNvGraphicFramePr/>
          </xdr:nvGraphicFramePr>
          <xdr:xfrm>
            <a:off x="0" y="0"/>
            <a:ext cx="0" cy="0"/>
          </xdr:xfrm>
          <a:graphic>
            <a:graphicData uri="http://schemas.microsoft.com/office/drawing/2010/slicer">
              <sle:slicer xmlns:sle="http://schemas.microsoft.com/office/drawing/2010/slicer" name="Rolle 3"/>
            </a:graphicData>
          </a:graphic>
        </xdr:graphicFrame>
      </mc:Choice>
      <mc:Fallback xmlns="">
        <xdr:sp macro="" textlink="">
          <xdr:nvSpPr>
            <xdr:cNvPr id="0" name=""/>
            <xdr:cNvSpPr>
              <a:spLocks noTextEdit="1"/>
            </xdr:cNvSpPr>
          </xdr:nvSpPr>
          <xdr:spPr>
            <a:xfrm>
              <a:off x="9940290" y="3859530"/>
              <a:ext cx="1779270" cy="2346960"/>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116206</xdr:colOff>
      <xdr:row>20</xdr:row>
      <xdr:rowOff>1905</xdr:rowOff>
    </xdr:from>
    <xdr:to>
      <xdr:col>12</xdr:col>
      <xdr:colOff>512446</xdr:colOff>
      <xdr:row>32</xdr:row>
      <xdr:rowOff>131445</xdr:rowOff>
    </xdr:to>
    <mc:AlternateContent xmlns:mc="http://schemas.openxmlformats.org/markup-compatibility/2006" xmlns:a14="http://schemas.microsoft.com/office/drawing/2010/main">
      <mc:Choice Requires="a14">
        <xdr:graphicFrame macro="">
          <xdr:nvGraphicFramePr>
            <xdr:cNvPr id="8" name="Stand 3">
              <a:extLst>
                <a:ext uri="{FF2B5EF4-FFF2-40B4-BE49-F238E27FC236}">
                  <a16:creationId xmlns:a16="http://schemas.microsoft.com/office/drawing/2014/main" id="{7F59C61B-6C47-45BE-9EC0-EA8DBEDEECD8}"/>
                </a:ext>
              </a:extLst>
            </xdr:cNvPr>
            <xdr:cNvGraphicFramePr/>
          </xdr:nvGraphicFramePr>
          <xdr:xfrm>
            <a:off x="0" y="0"/>
            <a:ext cx="0" cy="0"/>
          </xdr:xfrm>
          <a:graphic>
            <a:graphicData uri="http://schemas.microsoft.com/office/drawing/2010/slicer">
              <sle:slicer xmlns:sle="http://schemas.microsoft.com/office/drawing/2010/slicer" name="Stand 3"/>
            </a:graphicData>
          </a:graphic>
        </xdr:graphicFrame>
      </mc:Choice>
      <mc:Fallback xmlns="">
        <xdr:sp macro="" textlink="">
          <xdr:nvSpPr>
            <xdr:cNvPr id="0" name=""/>
            <xdr:cNvSpPr>
              <a:spLocks noTextEdit="1"/>
            </xdr:cNvSpPr>
          </xdr:nvSpPr>
          <xdr:spPr>
            <a:xfrm>
              <a:off x="8450581" y="3621405"/>
              <a:ext cx="1653540" cy="2301240"/>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186691</xdr:colOff>
      <xdr:row>20</xdr:row>
      <xdr:rowOff>20955</xdr:rowOff>
    </xdr:from>
    <xdr:to>
      <xdr:col>4</xdr:col>
      <xdr:colOff>550547</xdr:colOff>
      <xdr:row>32</xdr:row>
      <xdr:rowOff>152400</xdr:rowOff>
    </xdr:to>
    <mc:AlternateContent xmlns:mc="http://schemas.openxmlformats.org/markup-compatibility/2006" xmlns:a14="http://schemas.microsoft.com/office/drawing/2010/main">
      <mc:Choice Requires="a14">
        <xdr:graphicFrame macro="">
          <xdr:nvGraphicFramePr>
            <xdr:cNvPr id="9" name="Konstellation 4">
              <a:extLst>
                <a:ext uri="{FF2B5EF4-FFF2-40B4-BE49-F238E27FC236}">
                  <a16:creationId xmlns:a16="http://schemas.microsoft.com/office/drawing/2014/main" id="{D13C7FFC-35D7-4B6E-8918-A74E722D3624}"/>
                </a:ext>
              </a:extLst>
            </xdr:cNvPr>
            <xdr:cNvGraphicFramePr/>
          </xdr:nvGraphicFramePr>
          <xdr:xfrm>
            <a:off x="0" y="0"/>
            <a:ext cx="0" cy="0"/>
          </xdr:xfrm>
          <a:graphic>
            <a:graphicData uri="http://schemas.microsoft.com/office/drawing/2010/slicer">
              <sle:slicer xmlns:sle="http://schemas.microsoft.com/office/drawing/2010/slicer" name="Konstellation 4"/>
            </a:graphicData>
          </a:graphic>
        </xdr:graphicFrame>
      </mc:Choice>
      <mc:Fallback xmlns="">
        <xdr:sp macro="" textlink="">
          <xdr:nvSpPr>
            <xdr:cNvPr id="0" name=""/>
            <xdr:cNvSpPr>
              <a:spLocks noTextEdit="1"/>
            </xdr:cNvSpPr>
          </xdr:nvSpPr>
          <xdr:spPr>
            <a:xfrm>
              <a:off x="3015616" y="3636645"/>
              <a:ext cx="1611631" cy="2306955"/>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617220</xdr:colOff>
      <xdr:row>14</xdr:row>
      <xdr:rowOff>45720</xdr:rowOff>
    </xdr:from>
    <xdr:to>
      <xdr:col>1</xdr:col>
      <xdr:colOff>1005840</xdr:colOff>
      <xdr:row>27</xdr:row>
      <xdr:rowOff>135255</xdr:rowOff>
    </xdr:to>
    <mc:AlternateContent xmlns:mc="http://schemas.openxmlformats.org/markup-compatibility/2006">
      <mc:Choice xmlns:a14="http://schemas.microsoft.com/office/drawing/2010/main" Requires="a14">
        <xdr:graphicFrame macro="">
          <xdr:nvGraphicFramePr>
            <xdr:cNvPr id="2" name="Figurenkonstellation">
              <a:extLst>
                <a:ext uri="{FF2B5EF4-FFF2-40B4-BE49-F238E27FC236}">
                  <a16:creationId xmlns:a16="http://schemas.microsoft.com/office/drawing/2014/main" id="{F3EAC6E0-7373-BEC2-DD6C-94DC2468454E}"/>
                </a:ext>
              </a:extLst>
            </xdr:cNvPr>
            <xdr:cNvGraphicFramePr/>
          </xdr:nvGraphicFramePr>
          <xdr:xfrm>
            <a:off x="0" y="0"/>
            <a:ext cx="0" cy="0"/>
          </xdr:xfrm>
          <a:graphic>
            <a:graphicData uri="http://schemas.microsoft.com/office/drawing/2010/slicer">
              <sle:slicer xmlns:sle="http://schemas.microsoft.com/office/drawing/2010/slicer" name="Figurenkonstellation"/>
            </a:graphicData>
          </a:graphic>
        </xdr:graphicFrame>
      </mc:Choice>
      <mc:Fallback>
        <xdr:sp macro="" textlink="">
          <xdr:nvSpPr>
            <xdr:cNvPr id="0" name=""/>
            <xdr:cNvSpPr>
              <a:spLocks noTextEdit="1"/>
            </xdr:cNvSpPr>
          </xdr:nvSpPr>
          <xdr:spPr>
            <a:xfrm>
              <a:off x="617220" y="2606040"/>
              <a:ext cx="1828800" cy="246697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434340</xdr:colOff>
      <xdr:row>2</xdr:row>
      <xdr:rowOff>38100</xdr:rowOff>
    </xdr:from>
    <xdr:to>
      <xdr:col>8</xdr:col>
      <xdr:colOff>251460</xdr:colOff>
      <xdr:row>17</xdr:row>
      <xdr:rowOff>38100</xdr:rowOff>
    </xdr:to>
    <xdr:graphicFrame macro="">
      <xdr:nvGraphicFramePr>
        <xdr:cNvPr id="2" name="Diagramm 1">
          <a:extLst>
            <a:ext uri="{FF2B5EF4-FFF2-40B4-BE49-F238E27FC236}">
              <a16:creationId xmlns:a16="http://schemas.microsoft.com/office/drawing/2014/main" id="{D0178B1B-BBDC-42E4-B778-E3B469F505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31750</xdr:colOff>
      <xdr:row>2</xdr:row>
      <xdr:rowOff>0</xdr:rowOff>
    </xdr:from>
    <xdr:to>
      <xdr:col>14</xdr:col>
      <xdr:colOff>644001</xdr:colOff>
      <xdr:row>17</xdr:row>
      <xdr:rowOff>0</xdr:rowOff>
    </xdr:to>
    <xdr:graphicFrame macro="">
      <xdr:nvGraphicFramePr>
        <xdr:cNvPr id="3" name="Diagramm 2">
          <a:extLst>
            <a:ext uri="{FF2B5EF4-FFF2-40B4-BE49-F238E27FC236}">
              <a16:creationId xmlns:a16="http://schemas.microsoft.com/office/drawing/2014/main" id="{450AEC4F-3691-4A4B-8EBD-E53DA423C4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77259</xdr:colOff>
      <xdr:row>18</xdr:row>
      <xdr:rowOff>27729</xdr:rowOff>
    </xdr:from>
    <xdr:to>
      <xdr:col>5</xdr:col>
      <xdr:colOff>324908</xdr:colOff>
      <xdr:row>31</xdr:row>
      <xdr:rowOff>134409</xdr:rowOff>
    </xdr:to>
    <mc:AlternateContent xmlns:mc="http://schemas.openxmlformats.org/markup-compatibility/2006" xmlns:a14="http://schemas.microsoft.com/office/drawing/2010/main">
      <mc:Choice Requires="a14">
        <xdr:graphicFrame macro="">
          <xdr:nvGraphicFramePr>
            <xdr:cNvPr id="4" name="Geschlecht 2">
              <a:extLst>
                <a:ext uri="{FF2B5EF4-FFF2-40B4-BE49-F238E27FC236}">
                  <a16:creationId xmlns:a16="http://schemas.microsoft.com/office/drawing/2014/main" id="{4970F200-7F58-4486-BE68-AC7440AA0C96}"/>
                </a:ext>
              </a:extLst>
            </xdr:cNvPr>
            <xdr:cNvGraphicFramePr/>
          </xdr:nvGraphicFramePr>
          <xdr:xfrm>
            <a:off x="0" y="0"/>
            <a:ext cx="0" cy="0"/>
          </xdr:xfrm>
          <a:graphic>
            <a:graphicData uri="http://schemas.microsoft.com/office/drawing/2010/slicer">
              <sle:slicer xmlns:sle="http://schemas.microsoft.com/office/drawing/2010/slicer" name="Geschlecht 2"/>
            </a:graphicData>
          </a:graphic>
        </xdr:graphicFrame>
      </mc:Choice>
      <mc:Fallback xmlns="">
        <xdr:sp macro="" textlink="">
          <xdr:nvSpPr>
            <xdr:cNvPr id="0" name=""/>
            <xdr:cNvSpPr>
              <a:spLocks noTextEdit="1"/>
            </xdr:cNvSpPr>
          </xdr:nvSpPr>
          <xdr:spPr>
            <a:xfrm>
              <a:off x="2888192" y="3380529"/>
              <a:ext cx="1831763" cy="2516717"/>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5</xdr:col>
      <xdr:colOff>419311</xdr:colOff>
      <xdr:row>18</xdr:row>
      <xdr:rowOff>31538</xdr:rowOff>
    </xdr:from>
    <xdr:to>
      <xdr:col>7</xdr:col>
      <xdr:colOff>668866</xdr:colOff>
      <xdr:row>31</xdr:row>
      <xdr:rowOff>132503</xdr:rowOff>
    </xdr:to>
    <mc:AlternateContent xmlns:mc="http://schemas.openxmlformats.org/markup-compatibility/2006" xmlns:a14="http://schemas.microsoft.com/office/drawing/2010/main">
      <mc:Choice Requires="a14">
        <xdr:graphicFrame macro="">
          <xdr:nvGraphicFramePr>
            <xdr:cNvPr id="5" name="Alter 2">
              <a:extLst>
                <a:ext uri="{FF2B5EF4-FFF2-40B4-BE49-F238E27FC236}">
                  <a16:creationId xmlns:a16="http://schemas.microsoft.com/office/drawing/2014/main" id="{E3DCA368-05D8-405B-9703-0AA357576798}"/>
                </a:ext>
              </a:extLst>
            </xdr:cNvPr>
            <xdr:cNvGraphicFramePr/>
          </xdr:nvGraphicFramePr>
          <xdr:xfrm>
            <a:off x="0" y="0"/>
            <a:ext cx="0" cy="0"/>
          </xdr:xfrm>
          <a:graphic>
            <a:graphicData uri="http://schemas.microsoft.com/office/drawing/2010/slicer">
              <sle:slicer xmlns:sle="http://schemas.microsoft.com/office/drawing/2010/slicer" name="Alter 2"/>
            </a:graphicData>
          </a:graphic>
        </xdr:graphicFrame>
      </mc:Choice>
      <mc:Fallback xmlns="">
        <xdr:sp macro="" textlink="">
          <xdr:nvSpPr>
            <xdr:cNvPr id="0" name=""/>
            <xdr:cNvSpPr>
              <a:spLocks noTextEdit="1"/>
            </xdr:cNvSpPr>
          </xdr:nvSpPr>
          <xdr:spPr>
            <a:xfrm>
              <a:off x="4821978" y="3384338"/>
              <a:ext cx="1841288" cy="2533862"/>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8</xdr:col>
      <xdr:colOff>4445</xdr:colOff>
      <xdr:row>18</xdr:row>
      <xdr:rowOff>30692</xdr:rowOff>
    </xdr:from>
    <xdr:to>
      <xdr:col>10</xdr:col>
      <xdr:colOff>269240</xdr:colOff>
      <xdr:row>31</xdr:row>
      <xdr:rowOff>154517</xdr:rowOff>
    </xdr:to>
    <mc:AlternateContent xmlns:mc="http://schemas.openxmlformats.org/markup-compatibility/2006" xmlns:a14="http://schemas.microsoft.com/office/drawing/2010/main">
      <mc:Choice Requires="a14">
        <xdr:graphicFrame macro="">
          <xdr:nvGraphicFramePr>
            <xdr:cNvPr id="8" name="Stand 2">
              <a:extLst>
                <a:ext uri="{FF2B5EF4-FFF2-40B4-BE49-F238E27FC236}">
                  <a16:creationId xmlns:a16="http://schemas.microsoft.com/office/drawing/2014/main" id="{A1E29AAC-CA0B-43D4-8AC8-E0FD9FBFE219}"/>
                </a:ext>
              </a:extLst>
            </xdr:cNvPr>
            <xdr:cNvGraphicFramePr/>
          </xdr:nvGraphicFramePr>
          <xdr:xfrm>
            <a:off x="0" y="0"/>
            <a:ext cx="0" cy="0"/>
          </xdr:xfrm>
          <a:graphic>
            <a:graphicData uri="http://schemas.microsoft.com/office/drawing/2010/slicer">
              <sle:slicer xmlns:sle="http://schemas.microsoft.com/office/drawing/2010/slicer" name="Stand 2"/>
            </a:graphicData>
          </a:graphic>
        </xdr:graphicFrame>
      </mc:Choice>
      <mc:Fallback xmlns="">
        <xdr:sp macro="" textlink="">
          <xdr:nvSpPr>
            <xdr:cNvPr id="0" name=""/>
            <xdr:cNvSpPr>
              <a:spLocks noTextEdit="1"/>
            </xdr:cNvSpPr>
          </xdr:nvSpPr>
          <xdr:spPr>
            <a:xfrm>
              <a:off x="6794712" y="3383492"/>
              <a:ext cx="1856528" cy="2545292"/>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10</xdr:col>
      <xdr:colOff>571501</xdr:colOff>
      <xdr:row>18</xdr:row>
      <xdr:rowOff>5927</xdr:rowOff>
    </xdr:from>
    <xdr:to>
      <xdr:col>13</xdr:col>
      <xdr:colOff>12701</xdr:colOff>
      <xdr:row>31</xdr:row>
      <xdr:rowOff>51435</xdr:rowOff>
    </xdr:to>
    <mc:AlternateContent xmlns:mc="http://schemas.openxmlformats.org/markup-compatibility/2006" xmlns:a14="http://schemas.microsoft.com/office/drawing/2010/main">
      <mc:Choice Requires="a14">
        <xdr:graphicFrame macro="">
          <xdr:nvGraphicFramePr>
            <xdr:cNvPr id="9" name="Bezeichnung2 2">
              <a:extLst>
                <a:ext uri="{FF2B5EF4-FFF2-40B4-BE49-F238E27FC236}">
                  <a16:creationId xmlns:a16="http://schemas.microsoft.com/office/drawing/2014/main" id="{DA4EF43F-54D1-02C4-7AC5-CE75018A9514}"/>
                </a:ext>
              </a:extLst>
            </xdr:cNvPr>
            <xdr:cNvGraphicFramePr/>
          </xdr:nvGraphicFramePr>
          <xdr:xfrm>
            <a:off x="0" y="0"/>
            <a:ext cx="0" cy="0"/>
          </xdr:xfrm>
          <a:graphic>
            <a:graphicData uri="http://schemas.microsoft.com/office/drawing/2010/slicer">
              <sle:slicer xmlns:sle="http://schemas.microsoft.com/office/drawing/2010/slicer" name="Bezeichnung2 2"/>
            </a:graphicData>
          </a:graphic>
        </xdr:graphicFrame>
      </mc:Choice>
      <mc:Fallback xmlns="">
        <xdr:sp macro="" textlink="">
          <xdr:nvSpPr>
            <xdr:cNvPr id="0" name=""/>
            <xdr:cNvSpPr>
              <a:spLocks noTextEdit="1"/>
            </xdr:cNvSpPr>
          </xdr:nvSpPr>
          <xdr:spPr>
            <a:xfrm>
              <a:off x="8716434" y="3358727"/>
              <a:ext cx="1828800" cy="246697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0</xdr:col>
      <xdr:colOff>176107</xdr:colOff>
      <xdr:row>12</xdr:row>
      <xdr:rowOff>82974</xdr:rowOff>
    </xdr:from>
    <xdr:to>
      <xdr:col>2</xdr:col>
      <xdr:colOff>226907</xdr:colOff>
      <xdr:row>25</xdr:row>
      <xdr:rowOff>128482</xdr:rowOff>
    </xdr:to>
    <mc:AlternateContent xmlns:mc="http://schemas.openxmlformats.org/markup-compatibility/2006">
      <mc:Choice xmlns:a14="http://schemas.microsoft.com/office/drawing/2010/main" Requires="a14">
        <xdr:graphicFrame macro="">
          <xdr:nvGraphicFramePr>
            <xdr:cNvPr id="6" name="Figurenkonstellation 3">
              <a:extLst>
                <a:ext uri="{FF2B5EF4-FFF2-40B4-BE49-F238E27FC236}">
                  <a16:creationId xmlns:a16="http://schemas.microsoft.com/office/drawing/2014/main" id="{6F69C162-522D-CF76-C194-ACD28CC135FE}"/>
                </a:ext>
              </a:extLst>
            </xdr:cNvPr>
            <xdr:cNvGraphicFramePr/>
          </xdr:nvGraphicFramePr>
          <xdr:xfrm>
            <a:off x="0" y="0"/>
            <a:ext cx="0" cy="0"/>
          </xdr:xfrm>
          <a:graphic>
            <a:graphicData uri="http://schemas.microsoft.com/office/drawing/2010/slicer">
              <sle:slicer xmlns:sle="http://schemas.microsoft.com/office/drawing/2010/slicer" name="Figurenkonstellation 3"/>
            </a:graphicData>
          </a:graphic>
        </xdr:graphicFrame>
      </mc:Choice>
      <mc:Fallback>
        <xdr:sp macro="" textlink="">
          <xdr:nvSpPr>
            <xdr:cNvPr id="0" name=""/>
            <xdr:cNvSpPr>
              <a:spLocks noTextEdit="1"/>
            </xdr:cNvSpPr>
          </xdr:nvSpPr>
          <xdr:spPr>
            <a:xfrm>
              <a:off x="176107" y="2318174"/>
              <a:ext cx="1828800" cy="246697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7</xdr:col>
      <xdr:colOff>1142994</xdr:colOff>
      <xdr:row>8</xdr:row>
      <xdr:rowOff>85246</xdr:rowOff>
    </xdr:from>
    <xdr:to>
      <xdr:col>13</xdr:col>
      <xdr:colOff>357187</xdr:colOff>
      <xdr:row>23</xdr:row>
      <xdr:rowOff>166687</xdr:rowOff>
    </xdr:to>
    <xdr:graphicFrame macro="">
      <xdr:nvGraphicFramePr>
        <xdr:cNvPr id="4" name="Chart 3">
          <a:extLst>
            <a:ext uri="{FF2B5EF4-FFF2-40B4-BE49-F238E27FC236}">
              <a16:creationId xmlns:a16="http://schemas.microsoft.com/office/drawing/2014/main" id="{90D2DE42-739C-4E28-94D0-8511E2D2EA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569119</xdr:colOff>
      <xdr:row>8</xdr:row>
      <xdr:rowOff>88583</xdr:rowOff>
    </xdr:from>
    <xdr:to>
      <xdr:col>19</xdr:col>
      <xdr:colOff>190500</xdr:colOff>
      <xdr:row>23</xdr:row>
      <xdr:rowOff>166686</xdr:rowOff>
    </xdr:to>
    <xdr:graphicFrame macro="">
      <xdr:nvGraphicFramePr>
        <xdr:cNvPr id="6" name="Chart 5">
          <a:extLst>
            <a:ext uri="{FF2B5EF4-FFF2-40B4-BE49-F238E27FC236}">
              <a16:creationId xmlns:a16="http://schemas.microsoft.com/office/drawing/2014/main" id="{784D7B47-B0CE-4171-AD87-7D1BA14BB4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154304</xdr:colOff>
      <xdr:row>8</xdr:row>
      <xdr:rowOff>73342</xdr:rowOff>
    </xdr:from>
    <xdr:to>
      <xdr:col>3</xdr:col>
      <xdr:colOff>516466</xdr:colOff>
      <xdr:row>23</xdr:row>
      <xdr:rowOff>133350</xdr:rowOff>
    </xdr:to>
    <xdr:graphicFrame macro="">
      <xdr:nvGraphicFramePr>
        <xdr:cNvPr id="7" name="Chart 6">
          <a:extLst>
            <a:ext uri="{FF2B5EF4-FFF2-40B4-BE49-F238E27FC236}">
              <a16:creationId xmlns:a16="http://schemas.microsoft.com/office/drawing/2014/main" id="{540680B3-FCCF-4A7F-BED3-28715958C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605789</xdr:colOff>
      <xdr:row>8</xdr:row>
      <xdr:rowOff>79057</xdr:rowOff>
    </xdr:from>
    <xdr:to>
      <xdr:col>7</xdr:col>
      <xdr:colOff>928686</xdr:colOff>
      <xdr:row>23</xdr:row>
      <xdr:rowOff>152400</xdr:rowOff>
    </xdr:to>
    <xdr:graphicFrame macro="">
      <xdr:nvGraphicFramePr>
        <xdr:cNvPr id="8" name="Chart 7">
          <a:extLst>
            <a:ext uri="{FF2B5EF4-FFF2-40B4-BE49-F238E27FC236}">
              <a16:creationId xmlns:a16="http://schemas.microsoft.com/office/drawing/2014/main" id="{B41D2E83-3EF8-463D-AC97-2EDC5C5F2E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35</xdr:row>
      <xdr:rowOff>0</xdr:rowOff>
    </xdr:from>
    <xdr:to>
      <xdr:col>3</xdr:col>
      <xdr:colOff>666749</xdr:colOff>
      <xdr:row>50</xdr:row>
      <xdr:rowOff>58103</xdr:rowOff>
    </xdr:to>
    <xdr:graphicFrame macro="">
      <xdr:nvGraphicFramePr>
        <xdr:cNvPr id="9" name="Chart 8">
          <a:extLst>
            <a:ext uri="{FF2B5EF4-FFF2-40B4-BE49-F238E27FC236}">
              <a16:creationId xmlns:a16="http://schemas.microsoft.com/office/drawing/2014/main" id="{57C7B5B7-B60F-4DD7-ACE9-2CF20A9520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781050</xdr:colOff>
      <xdr:row>35</xdr:row>
      <xdr:rowOff>10954</xdr:rowOff>
    </xdr:from>
    <xdr:to>
      <xdr:col>9</xdr:col>
      <xdr:colOff>202406</xdr:colOff>
      <xdr:row>50</xdr:row>
      <xdr:rowOff>107156</xdr:rowOff>
    </xdr:to>
    <xdr:graphicFrame macro="">
      <xdr:nvGraphicFramePr>
        <xdr:cNvPr id="11" name="Chart 10">
          <a:extLst>
            <a:ext uri="{FF2B5EF4-FFF2-40B4-BE49-F238E27FC236}">
              <a16:creationId xmlns:a16="http://schemas.microsoft.com/office/drawing/2014/main" id="{59109E3D-D174-4AE6-995F-E6564105DE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326231</xdr:colOff>
      <xdr:row>35</xdr:row>
      <xdr:rowOff>19050</xdr:rowOff>
    </xdr:from>
    <xdr:to>
      <xdr:col>15</xdr:col>
      <xdr:colOff>202406</xdr:colOff>
      <xdr:row>50</xdr:row>
      <xdr:rowOff>107156</xdr:rowOff>
    </xdr:to>
    <xdr:graphicFrame macro="">
      <xdr:nvGraphicFramePr>
        <xdr:cNvPr id="13" name="Chart 12">
          <a:extLst>
            <a:ext uri="{FF2B5EF4-FFF2-40B4-BE49-F238E27FC236}">
              <a16:creationId xmlns:a16="http://schemas.microsoft.com/office/drawing/2014/main" id="{92407472-1964-4BF1-96A7-5B6ECC0A5C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320040</xdr:colOff>
      <xdr:row>35</xdr:row>
      <xdr:rowOff>19526</xdr:rowOff>
    </xdr:from>
    <xdr:to>
      <xdr:col>21</xdr:col>
      <xdr:colOff>142875</xdr:colOff>
      <xdr:row>50</xdr:row>
      <xdr:rowOff>95249</xdr:rowOff>
    </xdr:to>
    <xdr:graphicFrame macro="">
      <xdr:nvGraphicFramePr>
        <xdr:cNvPr id="14" name="Chart 13">
          <a:extLst>
            <a:ext uri="{FF2B5EF4-FFF2-40B4-BE49-F238E27FC236}">
              <a16:creationId xmlns:a16="http://schemas.microsoft.com/office/drawing/2014/main" id="{E0415016-E54F-449A-A369-AAC6A34287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211454</xdr:colOff>
      <xdr:row>58</xdr:row>
      <xdr:rowOff>129540</xdr:rowOff>
    </xdr:from>
    <xdr:to>
      <xdr:col>3</xdr:col>
      <xdr:colOff>114299</xdr:colOff>
      <xdr:row>73</xdr:row>
      <xdr:rowOff>168593</xdr:rowOff>
    </xdr:to>
    <xdr:graphicFrame macro="">
      <xdr:nvGraphicFramePr>
        <xdr:cNvPr id="10" name="Chart 9">
          <a:extLst>
            <a:ext uri="{FF2B5EF4-FFF2-40B4-BE49-F238E27FC236}">
              <a16:creationId xmlns:a16="http://schemas.microsoft.com/office/drawing/2014/main" id="{DC6A922F-A4D5-460B-ADC9-484F8A82DF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274321</xdr:colOff>
      <xdr:row>58</xdr:row>
      <xdr:rowOff>150495</xdr:rowOff>
    </xdr:from>
    <xdr:to>
      <xdr:col>7</xdr:col>
      <xdr:colOff>371475</xdr:colOff>
      <xdr:row>74</xdr:row>
      <xdr:rowOff>15240</xdr:rowOff>
    </xdr:to>
    <xdr:graphicFrame macro="">
      <xdr:nvGraphicFramePr>
        <xdr:cNvPr id="12" name="Chart 11">
          <a:extLst>
            <a:ext uri="{FF2B5EF4-FFF2-40B4-BE49-F238E27FC236}">
              <a16:creationId xmlns:a16="http://schemas.microsoft.com/office/drawing/2014/main" id="{46D434B8-95C7-428F-A87B-F9F40CCACC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554354</xdr:colOff>
      <xdr:row>58</xdr:row>
      <xdr:rowOff>167641</xdr:rowOff>
    </xdr:from>
    <xdr:to>
      <xdr:col>12</xdr:col>
      <xdr:colOff>457199</xdr:colOff>
      <xdr:row>74</xdr:row>
      <xdr:rowOff>28575</xdr:rowOff>
    </xdr:to>
    <xdr:graphicFrame macro="">
      <xdr:nvGraphicFramePr>
        <xdr:cNvPr id="16" name="Chart 15">
          <a:extLst>
            <a:ext uri="{FF2B5EF4-FFF2-40B4-BE49-F238E27FC236}">
              <a16:creationId xmlns:a16="http://schemas.microsoft.com/office/drawing/2014/main" id="{CE9EFCF3-3525-4AAF-9080-438B22424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15240</xdr:colOff>
      <xdr:row>59</xdr:row>
      <xdr:rowOff>1905</xdr:rowOff>
    </xdr:from>
    <xdr:to>
      <xdr:col>18</xdr:col>
      <xdr:colOff>276225</xdr:colOff>
      <xdr:row>74</xdr:row>
      <xdr:rowOff>1905</xdr:rowOff>
    </xdr:to>
    <xdr:graphicFrame macro="">
      <xdr:nvGraphicFramePr>
        <xdr:cNvPr id="17" name="Chart 16">
          <a:extLst>
            <a:ext uri="{FF2B5EF4-FFF2-40B4-BE49-F238E27FC236}">
              <a16:creationId xmlns:a16="http://schemas.microsoft.com/office/drawing/2014/main" id="{AEF70F9E-6528-4BF0-A2AA-6FA713F8B7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77890</xdr:colOff>
      <xdr:row>86</xdr:row>
      <xdr:rowOff>23706</xdr:rowOff>
    </xdr:from>
    <xdr:to>
      <xdr:col>5</xdr:col>
      <xdr:colOff>406399</xdr:colOff>
      <xdr:row>101</xdr:row>
      <xdr:rowOff>62759</xdr:rowOff>
    </xdr:to>
    <xdr:graphicFrame macro="">
      <xdr:nvGraphicFramePr>
        <xdr:cNvPr id="18" name="Chart 17">
          <a:extLst>
            <a:ext uri="{FF2B5EF4-FFF2-40B4-BE49-F238E27FC236}">
              <a16:creationId xmlns:a16="http://schemas.microsoft.com/office/drawing/2014/main" id="{08A24B90-2BBF-40DD-9213-8AAA5FABE5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593090</xdr:colOff>
      <xdr:row>85</xdr:row>
      <xdr:rowOff>129116</xdr:rowOff>
    </xdr:from>
    <xdr:to>
      <xdr:col>13</xdr:col>
      <xdr:colOff>406400</xdr:colOff>
      <xdr:row>100</xdr:row>
      <xdr:rowOff>165311</xdr:rowOff>
    </xdr:to>
    <xdr:graphicFrame macro="">
      <xdr:nvGraphicFramePr>
        <xdr:cNvPr id="19" name="Chart 18">
          <a:extLst>
            <a:ext uri="{FF2B5EF4-FFF2-40B4-BE49-F238E27FC236}">
              <a16:creationId xmlns:a16="http://schemas.microsoft.com/office/drawing/2014/main" id="{4900CF9C-0165-41BB-BC03-87AC8CF78B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75564</xdr:colOff>
      <xdr:row>101</xdr:row>
      <xdr:rowOff>120438</xdr:rowOff>
    </xdr:from>
    <xdr:to>
      <xdr:col>5</xdr:col>
      <xdr:colOff>327024</xdr:colOff>
      <xdr:row>116</xdr:row>
      <xdr:rowOff>156632</xdr:rowOff>
    </xdr:to>
    <xdr:graphicFrame macro="">
      <xdr:nvGraphicFramePr>
        <xdr:cNvPr id="20" name="Chart 19">
          <a:extLst>
            <a:ext uri="{FF2B5EF4-FFF2-40B4-BE49-F238E27FC236}">
              <a16:creationId xmlns:a16="http://schemas.microsoft.com/office/drawing/2014/main" id="{CE69AAEF-4D6B-457C-8899-05558962F3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591607</xdr:colOff>
      <xdr:row>101</xdr:row>
      <xdr:rowOff>142240</xdr:rowOff>
    </xdr:from>
    <xdr:to>
      <xdr:col>13</xdr:col>
      <xdr:colOff>420158</xdr:colOff>
      <xdr:row>117</xdr:row>
      <xdr:rowOff>3176</xdr:rowOff>
    </xdr:to>
    <xdr:graphicFrame macro="">
      <xdr:nvGraphicFramePr>
        <xdr:cNvPr id="21" name="Chart 20">
          <a:extLst>
            <a:ext uri="{FF2B5EF4-FFF2-40B4-BE49-F238E27FC236}">
              <a16:creationId xmlns:a16="http://schemas.microsoft.com/office/drawing/2014/main" id="{AEC8937A-AB37-4D59-87E3-4ACB4B6812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sa Kiss" refreshedDate="44753.681295254632" createdVersion="8" refreshedVersion="8" minRefreshableVersion="3" recordCount="82" xr:uid="{28D8F5F9-0686-42A5-9BC0-8D497C740485}">
  <cacheSource type="worksheet">
    <worksheetSource name="Tabelle5"/>
  </cacheSource>
  <cacheFields count="11">
    <cacheField name="Name" numFmtId="0">
      <sharedItems/>
    </cacheField>
    <cacheField name="Degree Durchschnitt" numFmtId="164">
      <sharedItems containsSemiMixedTypes="0" containsString="0" containsNumber="1" minValue="0.42105263157894746" maxValue="2"/>
    </cacheField>
    <cacheField name="Betweenness Durchschnitt" numFmtId="164">
      <sharedItems containsSemiMixedTypes="0" containsString="0" containsNumber="1" minValue="0" maxValue="0.33333333333333331"/>
    </cacheField>
    <cacheField name="Closeness Durchschnitt" numFmtId="164">
      <sharedItems containsSemiMixedTypes="0" containsString="0" containsNumber="1" minValue="8.7258082312700005E-2" maxValue="0.875"/>
    </cacheField>
    <cacheField name="Eigenvector Durchschnitt" numFmtId="164">
      <sharedItems containsSemiMixedTypes="0" containsString="0" containsNumber="1" minValue="0" maxValue="0.76019345632899882"/>
    </cacheField>
    <cacheField name="Label" numFmtId="1">
      <sharedItems containsSemiMixedTypes="0" containsString="0" containsNumber="1" containsInteger="1" minValue="1" maxValue="4" count="4">
        <n v="4"/>
        <n v="1"/>
        <n v="2"/>
        <n v="3"/>
      </sharedItems>
    </cacheField>
    <cacheField name="Betrüger" numFmtId="164">
      <sharedItems containsSemiMixedTypes="0" containsString="0" containsNumber="1" containsInteger="1" minValue="0" maxValue="5"/>
    </cacheField>
    <cacheField name="Betrogener" numFmtId="164">
      <sharedItems containsSemiMixedTypes="0" containsString="0" containsNumber="1" containsInteger="1" minValue="0" maxValue="8"/>
    </cacheField>
    <cacheField name="Liebender" numFmtId="164">
      <sharedItems containsSemiMixedTypes="0" containsString="0" containsNumber="1" containsInteger="1" minValue="0" maxValue="3"/>
    </cacheField>
    <cacheField name="Liebende" numFmtId="164">
      <sharedItems containsSemiMixedTypes="0" containsString="0" containsNumber="1" containsInteger="1" minValue="0" maxValue="4"/>
    </cacheField>
    <cacheField name="Gegenspieler" numFmtId="164">
      <sharedItems containsSemiMixedTypes="0" containsString="0" containsNumber="1" containsInteger="1" minValue="0" maxValue="1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sa Kiss" refreshedDate="44753.681295949071" createdVersion="7" refreshedVersion="8" minRefreshableVersion="3" recordCount="571" xr:uid="{00000000-000A-0000-FFFF-FFFF30000000}">
  <cacheSource type="worksheet">
    <worksheetSource name="Nodes"/>
  </cacheSource>
  <cacheFields count="20">
    <cacheField name="Source.Name" numFmtId="0">
      <sharedItems/>
    </cacheField>
    <cacheField name="Name" numFmtId="0">
      <sharedItems/>
    </cacheField>
    <cacheField name="Geschlecht" numFmtId="0">
      <sharedItems count="12">
        <s v="maennlich"/>
        <s v="weiblich"/>
        <s v="gruppe"/>
        <s v="unbekannt"/>
        <s v="NA"/>
        <s v="tier"/>
        <s v="maennlich/zwerg"/>
        <s v="x" u="1"/>
        <s v="maennich" u="1"/>
        <s v="geschlecht" u="1"/>
        <s v="autor" u="1"/>
        <s v="-weiblich" u="1"/>
      </sharedItems>
    </cacheField>
    <cacheField name="Stand:Beruf" numFmtId="0">
      <sharedItems/>
    </cacheField>
    <cacheField name="Alter" numFmtId="0">
      <sharedItems count="11">
        <s v="mittel"/>
        <s v="jung"/>
        <s v="alt"/>
        <s v="unbekannt"/>
        <s v="NA"/>
        <s v="tot"/>
        <s v="alter" u="1"/>
        <s v="adel:knappe" u="1"/>
        <s v="x" u="1"/>
        <s v="mitel" u="1"/>
        <s v="adel:ritter" u="1"/>
      </sharedItems>
    </cacheField>
    <cacheField name="Bezeichnung" numFmtId="0">
      <sharedItems count="50">
        <s v="ehemann"/>
        <s v="ehefrau"/>
        <s v="kind"/>
        <s v="unbekannt"/>
        <s v="betrueger"/>
        <s v="ehefrau/betrogener"/>
        <s v="helfer"/>
        <s v="ehemann/betrogener"/>
        <s v="vater"/>
        <s v="mutter"/>
        <s v="liebender"/>
        <s v="gegenspieler"/>
        <s v="liebende"/>
        <s v="ehefrau/betrueger"/>
        <s v="betrogener"/>
        <s v="bote"/>
        <s v="ehefrau/betrueger/betrogener"/>
        <s v="ehemann/betrueger/betrogener"/>
        <s v="gegner"/>
        <s v="liebender/betrueger"/>
        <s v="begleiter"/>
        <s v="ehemann/betrueger"/>
        <s v="NA"/>
        <s v="ratgeber"/>
        <s v="ehefrau/gegenspieler"/>
        <s v="betrogener/betrueger"/>
        <s v="tochter/betrueger"/>
        <s v="kinder" u="1"/>
        <s v="betrogene/betrueger" u="1"/>
        <s v="narr" u="1"/>
        <s v="bezeichnung" u="1"/>
        <s v="x" u="1"/>
        <s v="mutter/helfer" u="1"/>
        <s v="ehemann/betrogener/betrueger" u="1"/>
        <s v="gott" u="1"/>
        <s v="unbekannt.nebenfigu" u="1"/>
        <s v="religioese figur" u="1"/>
        <s v="teufel" u="1"/>
        <s v="sohn" u="1"/>
        <s v="religioese-figur/helfer" u="1"/>
        <s v="autor" u="1"/>
        <s v="autor:tristan" u="1"/>
        <s v="erzaehler" u="1"/>
        <s v="schelm" u="1"/>
        <s v="autor2" u="1"/>
        <s v="geliebter" u="1"/>
        <s v="leser" u="1"/>
        <s v="reale-person" u="1"/>
        <s v="ehefrau/betrogener/betrueger" u="1"/>
        <s v="religioese-figur" u="1"/>
      </sharedItems>
    </cacheField>
    <cacheField name="Rolle" numFmtId="0">
      <sharedItems count="13">
        <s v="hauptfigur"/>
        <s v="nebenfigur"/>
        <s v="x" u="1"/>
        <s v="?" u="1"/>
        <s v="r" u="1"/>
        <s v="autor" u="1"/>
        <s v="erzaehler" u="1"/>
        <s v="autor2" u="1"/>
        <s v="rolle" u="1"/>
        <s v="unbekannt" u="1"/>
        <s v="leser" u="1"/>
        <s v="reale-person" u="1"/>
        <s v="religioese-figur" u="1"/>
      </sharedItems>
    </cacheField>
    <cacheField name="Stand" numFmtId="0">
      <sharedItems count="7">
        <s v="NA"/>
        <s v="adel"/>
        <s v="unbekannt"/>
        <s v="buergerlich"/>
        <s v="klerus"/>
        <s v="bauer"/>
        <s v="not found" u="1"/>
      </sharedItems>
    </cacheField>
    <cacheField name="Konstellation" numFmtId="0">
      <sharedItems containsBlank="1" count="5">
        <s v="Unbekannt"/>
        <s v="Unerotisches Verhältnis"/>
        <s v="Liebeskonstellation"/>
        <s v="Ehekonstellation"/>
        <m u="1"/>
      </sharedItems>
    </cacheField>
    <cacheField name="degree_centrality" numFmtId="164">
      <sharedItems containsSemiMixedTypes="0" containsString="0" containsNumber="1" minValue="0" maxValue="2"/>
    </cacheField>
    <cacheField name="betweenness_centrality" numFmtId="164">
      <sharedItems containsSemiMixedTypes="0" containsString="0" containsNumber="1" minValue="0" maxValue="1"/>
    </cacheField>
    <cacheField name="closeness_centrality" numFmtId="164">
      <sharedItems containsSemiMixedTypes="0" containsString="0" containsNumber="1" minValue="0" maxValue="1"/>
    </cacheField>
    <cacheField name="eigenvector_centrality" numFmtId="164">
      <sharedItems containsSemiMixedTypes="0" containsString="0" containsNumber="1" minValue="0" maxValue="1"/>
    </cacheField>
    <cacheField name="Bezeichnung2" numFmtId="164">
      <sharedItems count="18">
        <s v="ehemann"/>
        <s v="ehefrau"/>
        <s v="kind"/>
        <s v="unbekannt"/>
        <s v="betrueger"/>
        <s v="betrogener"/>
        <s v="helfer"/>
        <s v="vater"/>
        <s v="mutter"/>
        <s v="liebender"/>
        <s v="gegenspieler"/>
        <s v="liebende"/>
        <s v="bote"/>
        <s v="gegner"/>
        <s v="begleiter"/>
        <s v="NA"/>
        <s v="ratgeber"/>
        <s v="ehefrau/gegenspieler"/>
      </sharedItems>
    </cacheField>
    <cacheField name="Figurenkonstellation" numFmtId="164">
      <sharedItems containsSemiMixedTypes="0" containsString="0" containsNumber="1" containsInteger="1" minValue="1" maxValue="4" count="4">
        <n v="4"/>
        <n v="1"/>
        <n v="2"/>
        <n v="3"/>
      </sharedItems>
    </cacheField>
    <cacheField name="Betrüger" numFmtId="164">
      <sharedItems containsMixedTypes="1" containsNumber="1" containsInteger="1" minValue="1" maxValue="1"/>
    </cacheField>
    <cacheField name="Betrogener" numFmtId="164">
      <sharedItems containsMixedTypes="1" containsNumber="1" containsInteger="1" minValue="2" maxValue="2"/>
    </cacheField>
    <cacheField name="Liebender" numFmtId="164">
      <sharedItems containsMixedTypes="1" containsNumber="1" containsInteger="1" minValue="3" maxValue="3"/>
    </cacheField>
    <cacheField name="Liebende" numFmtId="164">
      <sharedItems containsMixedTypes="1" containsNumber="1" containsInteger="1" minValue="4" maxValue="4"/>
    </cacheField>
    <cacheField name="Gegenspieler" numFmtId="164">
      <sharedItems containsMixedTypes="1" containsNumber="1" containsInteger="1" minValue="5" maxValue="5"/>
    </cacheField>
  </cacheFields>
  <extLst>
    <ext xmlns:x14="http://schemas.microsoft.com/office/spreadsheetml/2009/9/main" uri="{725AE2AE-9491-48be-B2B4-4EB974FC3084}">
      <x14:pivotCacheDefinition pivotCacheId="201527348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sa Kiss" refreshedDate="44753.681296643517" createdVersion="7" refreshedVersion="8" minRefreshableVersion="3" recordCount="571" xr:uid="{8BB7238F-A866-4AA1-9BA5-9D199A1DB7F3}">
  <cacheSource type="worksheet">
    <worksheetSource name="Nodes"/>
  </cacheSource>
  <cacheFields count="20">
    <cacheField name="Source.Name" numFmtId="0">
      <sharedItems/>
    </cacheField>
    <cacheField name="Name" numFmtId="0">
      <sharedItems/>
    </cacheField>
    <cacheField name="Geschlecht" numFmtId="0">
      <sharedItems count="12">
        <s v="maennlich"/>
        <s v="weiblich"/>
        <s v="gruppe"/>
        <s v="unbekannt"/>
        <s v="NA"/>
        <s v="tier"/>
        <s v="maennlich/zwerg"/>
        <s v="x" u="1"/>
        <s v="maennich" u="1"/>
        <s v="geschlecht" u="1"/>
        <s v="autor" u="1"/>
        <s v="-weiblich" u="1"/>
      </sharedItems>
    </cacheField>
    <cacheField name="Stand:Beruf" numFmtId="0">
      <sharedItems/>
    </cacheField>
    <cacheField name="Alter" numFmtId="0">
      <sharedItems count="11">
        <s v="mittel"/>
        <s v="jung"/>
        <s v="alt"/>
        <s v="unbekannt"/>
        <s v="NA"/>
        <s v="tot"/>
        <s v="alter" u="1"/>
        <s v="adel:knappe" u="1"/>
        <s v="x" u="1"/>
        <s v="mitel" u="1"/>
        <s v="adel:ritter" u="1"/>
      </sharedItems>
    </cacheField>
    <cacheField name="Bezeichnung" numFmtId="0">
      <sharedItems/>
    </cacheField>
    <cacheField name="Rolle" numFmtId="0">
      <sharedItems count="12">
        <s v="hauptfigur"/>
        <s v="nebenfigur"/>
        <s v="x" u="1"/>
        <s v="r" u="1"/>
        <s v="autor" u="1"/>
        <s v="erzaehler" u="1"/>
        <s v="autor2" u="1"/>
        <s v="rolle" u="1"/>
        <s v="unbekannt" u="1"/>
        <s v="leser" u="1"/>
        <s v="reale-person" u="1"/>
        <s v="religioese-figur" u="1"/>
      </sharedItems>
    </cacheField>
    <cacheField name="Stand" numFmtId="0">
      <sharedItems count="7">
        <s v="NA"/>
        <s v="adel"/>
        <s v="unbekannt"/>
        <s v="buergerlich"/>
        <s v="klerus"/>
        <s v="bauer"/>
        <s v="not found" u="1"/>
      </sharedItems>
    </cacheField>
    <cacheField name="Konstellation" numFmtId="0">
      <sharedItems containsBlank="1" count="5">
        <s v="Unbekannt"/>
        <s v="Unerotisches Verhältnis"/>
        <s v="Liebeskonstellation"/>
        <s v="Ehekonstellation"/>
        <m u="1"/>
      </sharedItems>
    </cacheField>
    <cacheField name="degree_centrality" numFmtId="164">
      <sharedItems containsSemiMixedTypes="0" containsString="0" containsNumber="1" minValue="0" maxValue="2"/>
    </cacheField>
    <cacheField name="betweenness_centrality" numFmtId="164">
      <sharedItems containsSemiMixedTypes="0" containsString="0" containsNumber="1" minValue="0" maxValue="1"/>
    </cacheField>
    <cacheField name="closeness_centrality" numFmtId="164">
      <sharedItems containsSemiMixedTypes="0" containsString="0" containsNumber="1" minValue="0" maxValue="1"/>
    </cacheField>
    <cacheField name="eigenvector_centrality" numFmtId="164">
      <sharedItems containsSemiMixedTypes="0" containsString="0" containsNumber="1" minValue="0" maxValue="1"/>
    </cacheField>
    <cacheField name="Bezeichnung2" numFmtId="164">
      <sharedItems count="38">
        <s v="ehemann"/>
        <s v="ehefrau"/>
        <s v="kind"/>
        <s v="unbekannt"/>
        <s v="betrueger"/>
        <s v="betrogener"/>
        <s v="helfer"/>
        <s v="vater"/>
        <s v="mutter"/>
        <s v="liebender"/>
        <s v="gegenspieler"/>
        <s v="liebende"/>
        <s v="bote"/>
        <s v="gegner"/>
        <s v="begleiter"/>
        <s v="NA"/>
        <s v="ratgeber"/>
        <s v="ehefrau/gegenspieler"/>
        <s v="kinder" u="1"/>
        <s v="narr" u="1"/>
        <s v="bezeichnung" u="1"/>
        <s v="x" u="1"/>
        <s v="mutter/helfer" u="1"/>
        <s v="gott" u="1"/>
        <s v="unbekannt.nebenfigu" u="1"/>
        <s v="religioese figur" u="1"/>
        <s v="teufel" u="1"/>
        <s v="sohn" u="1"/>
        <s v="religioese-figur/helfer" u="1"/>
        <s v="autor" u="1"/>
        <s v="autor:tristan" u="1"/>
        <s v="erzaehler" u="1"/>
        <s v="schelm" u="1"/>
        <s v="autor2" u="1"/>
        <s v="geliebter" u="1"/>
        <s v="leser" u="1"/>
        <s v="reale-person" u="1"/>
        <s v="religioese-figur" u="1"/>
      </sharedItems>
    </cacheField>
    <cacheField name="Figurenkonstellation" numFmtId="164">
      <sharedItems containsSemiMixedTypes="0" containsString="0" containsNumber="1" containsInteger="1" minValue="1" maxValue="4" count="4">
        <n v="4"/>
        <n v="1"/>
        <n v="2"/>
        <n v="3"/>
      </sharedItems>
    </cacheField>
    <cacheField name="Betrüger" numFmtId="164">
      <sharedItems containsMixedTypes="1" containsNumber="1" containsInteger="1" minValue="1" maxValue="1"/>
    </cacheField>
    <cacheField name="Betrogener" numFmtId="164">
      <sharedItems containsMixedTypes="1" containsNumber="1" containsInteger="1" minValue="2" maxValue="2"/>
    </cacheField>
    <cacheField name="Liebender" numFmtId="164">
      <sharedItems containsMixedTypes="1" containsNumber="1" containsInteger="1" minValue="3" maxValue="3"/>
    </cacheField>
    <cacheField name="Liebende" numFmtId="164">
      <sharedItems containsMixedTypes="1" containsNumber="1" containsInteger="1" minValue="4" maxValue="4"/>
    </cacheField>
    <cacheField name="Gegenspieler" numFmtId="164">
      <sharedItems containsMixedTypes="1" containsNumber="1" containsInteger="1" minValue="5" maxValue="5"/>
    </cacheField>
  </cacheFields>
  <extLst>
    <ext xmlns:x14="http://schemas.microsoft.com/office/spreadsheetml/2009/9/main" uri="{725AE2AE-9491-48be-B2B4-4EB974FC3084}">
      <x14:pivotCacheDefinition pivotCacheId="1812369884"/>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sa Kiss" refreshedDate="44753.681296990741" createdVersion="7" refreshedVersion="8" minRefreshableVersion="3" recordCount="571" xr:uid="{00000000-000A-0000-FFFF-FFFF62000000}">
  <cacheSource type="worksheet">
    <worksheetSource name="Nodes"/>
  </cacheSource>
  <cacheFields count="20">
    <cacheField name="Source.Name" numFmtId="0">
      <sharedItems/>
    </cacheField>
    <cacheField name="Name" numFmtId="0">
      <sharedItems/>
    </cacheField>
    <cacheField name="Geschlecht" numFmtId="0">
      <sharedItems count="12">
        <s v="maennlich"/>
        <s v="weiblich"/>
        <s v="gruppe"/>
        <s v="unbekannt"/>
        <s v="NA"/>
        <s v="tier"/>
        <s v="maennlich/zwerg"/>
        <s v="x" u="1"/>
        <s v="maennich" u="1"/>
        <s v="geschlecht" u="1"/>
        <s v="autor" u="1"/>
        <s v="-weiblich" u="1"/>
      </sharedItems>
    </cacheField>
    <cacheField name="Stand:Beruf" numFmtId="0">
      <sharedItems/>
    </cacheField>
    <cacheField name="Alter" numFmtId="0">
      <sharedItems count="11">
        <s v="mittel"/>
        <s v="jung"/>
        <s v="alt"/>
        <s v="unbekannt"/>
        <s v="NA"/>
        <s v="tot"/>
        <s v="alter" u="1"/>
        <s v="adel:knappe" u="1"/>
        <s v="x" u="1"/>
        <s v="mitel" u="1"/>
        <s v="adel:ritter" u="1"/>
      </sharedItems>
    </cacheField>
    <cacheField name="Bezeichnung" numFmtId="0">
      <sharedItems count="50">
        <s v="ehemann"/>
        <s v="ehefrau"/>
        <s v="kind"/>
        <s v="unbekannt"/>
        <s v="betrueger"/>
        <s v="ehefrau/betrogener"/>
        <s v="helfer"/>
        <s v="ehemann/betrogener"/>
        <s v="vater"/>
        <s v="mutter"/>
        <s v="liebender"/>
        <s v="gegenspieler"/>
        <s v="liebende"/>
        <s v="ehefrau/betrueger"/>
        <s v="betrogener"/>
        <s v="bote"/>
        <s v="ehefrau/betrueger/betrogener"/>
        <s v="ehemann/betrueger/betrogener"/>
        <s v="gegner"/>
        <s v="liebender/betrueger"/>
        <s v="begleiter"/>
        <s v="ehemann/betrueger"/>
        <s v="NA"/>
        <s v="ratgeber"/>
        <s v="ehefrau/gegenspieler"/>
        <s v="betrogener/betrueger"/>
        <s v="tochter/betrueger"/>
        <s v="kinder" u="1"/>
        <s v="betrogene/betrueger" u="1"/>
        <s v="narr" u="1"/>
        <s v="bezeichnung" u="1"/>
        <s v="x" u="1"/>
        <s v="mutter/helfer" u="1"/>
        <s v="ehemann/betrogener/betrueger" u="1"/>
        <s v="gott" u="1"/>
        <s v="unbekannt.nebenfigu" u="1"/>
        <s v="religioese figur" u="1"/>
        <s v="teufel" u="1"/>
        <s v="sohn" u="1"/>
        <s v="religioese-figur/helfer" u="1"/>
        <s v="autor" u="1"/>
        <s v="autor:tristan" u="1"/>
        <s v="erzaehler" u="1"/>
        <s v="schelm" u="1"/>
        <s v="autor2" u="1"/>
        <s v="geliebter" u="1"/>
        <s v="leser" u="1"/>
        <s v="reale-person" u="1"/>
        <s v="ehefrau/betrogener/betrueger" u="1"/>
        <s v="religioese-figur" u="1"/>
      </sharedItems>
    </cacheField>
    <cacheField name="Rolle" numFmtId="0">
      <sharedItems count="18">
        <s v="hauptfigur"/>
        <s v="nebenfigur"/>
        <s v="betrogener" u="1"/>
        <s v="x" u="1"/>
        <s v="helfer" u="1"/>
        <s v="?" u="1"/>
        <s v="r" u="1"/>
        <s v="autor" u="1"/>
        <s v="erzaehler" u="1"/>
        <s v="nebenbfigur" u="1"/>
        <s v="hautpfigur" u="1"/>
        <s v="autor2" u="1"/>
        <s v="rolle" u="1"/>
        <s v="unbekannt" u="1"/>
        <s v="leser" u="1"/>
        <s v="reale-person" u="1"/>
        <s v="betrueger" u="1"/>
        <s v="religioese-figur" u="1"/>
      </sharedItems>
    </cacheField>
    <cacheField name="Stand" numFmtId="0">
      <sharedItems count="7">
        <s v="NA"/>
        <s v="adel"/>
        <s v="unbekannt"/>
        <s v="buergerlich"/>
        <s v="klerus"/>
        <s v="bauer"/>
        <s v="not found" u="1"/>
      </sharedItems>
    </cacheField>
    <cacheField name="Konstellation" numFmtId="0">
      <sharedItems containsBlank="1" count="5">
        <s v="Unbekannt"/>
        <s v="Unerotisches Verhältnis"/>
        <s v="Liebeskonstellation"/>
        <s v="Ehekonstellation"/>
        <m u="1"/>
      </sharedItems>
    </cacheField>
    <cacheField name="degree_centrality" numFmtId="164">
      <sharedItems containsSemiMixedTypes="0" containsString="0" containsNumber="1" minValue="0" maxValue="2"/>
    </cacheField>
    <cacheField name="betweenness_centrality" numFmtId="164">
      <sharedItems containsSemiMixedTypes="0" containsString="0" containsNumber="1" minValue="0" maxValue="1"/>
    </cacheField>
    <cacheField name="closeness_centrality" numFmtId="164">
      <sharedItems containsSemiMixedTypes="0" containsString="0" containsNumber="1" minValue="0" maxValue="1"/>
    </cacheField>
    <cacheField name="eigenvector_centrality" numFmtId="164">
      <sharedItems containsSemiMixedTypes="0" containsString="0" containsNumber="1" minValue="0" maxValue="1"/>
    </cacheField>
    <cacheField name="Bezeichnung2" numFmtId="164">
      <sharedItems count="18">
        <s v="ehemann"/>
        <s v="ehefrau"/>
        <s v="kind"/>
        <s v="unbekannt"/>
        <s v="betrueger"/>
        <s v="betrogener"/>
        <s v="helfer"/>
        <s v="vater"/>
        <s v="mutter"/>
        <s v="liebender"/>
        <s v="gegenspieler"/>
        <s v="liebende"/>
        <s v="bote"/>
        <s v="gegner"/>
        <s v="begleiter"/>
        <s v="NA"/>
        <s v="ratgeber"/>
        <s v="ehefrau/gegenspieler"/>
      </sharedItems>
    </cacheField>
    <cacheField name="Figurenkonstellation" numFmtId="164">
      <sharedItems containsSemiMixedTypes="0" containsString="0" containsNumber="1" containsInteger="1" minValue="1" maxValue="4" count="4">
        <n v="4"/>
        <n v="1"/>
        <n v="2"/>
        <n v="3"/>
      </sharedItems>
    </cacheField>
    <cacheField name="Betrüger" numFmtId="164">
      <sharedItems containsMixedTypes="1" containsNumber="1" containsInteger="1" minValue="1" maxValue="1"/>
    </cacheField>
    <cacheField name="Betrogener" numFmtId="164">
      <sharedItems containsMixedTypes="1" containsNumber="1" containsInteger="1" minValue="2" maxValue="2"/>
    </cacheField>
    <cacheField name="Liebender" numFmtId="164">
      <sharedItems containsMixedTypes="1" containsNumber="1" containsInteger="1" minValue="3" maxValue="3"/>
    </cacheField>
    <cacheField name="Liebende" numFmtId="164">
      <sharedItems containsMixedTypes="1" containsNumber="1" containsInteger="1" minValue="4" maxValue="4"/>
    </cacheField>
    <cacheField name="Gegenspieler" numFmtId="164">
      <sharedItems containsMixedTypes="1" containsNumber="1" containsInteger="1" minValue="5" maxValue="5"/>
    </cacheField>
  </cacheFields>
  <extLst>
    <ext xmlns:x14="http://schemas.microsoft.com/office/spreadsheetml/2009/9/main" uri="{725AE2AE-9491-48be-B2B4-4EB974FC3084}">
      <x14:pivotCacheDefinition pivotCacheId="1076890806"/>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sa Kiss" refreshedDate="44753.707584837961" createdVersion="7" refreshedVersion="8" minRefreshableVersion="3" recordCount="567" xr:uid="{00000000-000A-0000-FFFF-FFFF21000000}">
  <cacheSource type="worksheet">
    <worksheetSource name="Nodes"/>
  </cacheSource>
  <cacheFields count="20">
    <cacheField name="Source.Name" numFmtId="0">
      <sharedItems/>
    </cacheField>
    <cacheField name="Name" numFmtId="0">
      <sharedItems/>
    </cacheField>
    <cacheField name="Geschlecht" numFmtId="0">
      <sharedItems count="14">
        <s v="maennlich"/>
        <s v="weiblich"/>
        <s v="gruppe"/>
        <s v="unbekannt"/>
        <s v="NA"/>
        <s v="tier"/>
        <s v="maennlich/zwerg"/>
        <s v="x" u="1"/>
        <s v="maennich" u="1"/>
        <s v="geschlecht" u="1"/>
        <s v="maennlich:unbekannt" u="1"/>
        <s v="autor" u="1"/>
        <s v="-weiblich" u="1"/>
        <s v="mannlich" u="1"/>
      </sharedItems>
    </cacheField>
    <cacheField name="Stand:Beruf" numFmtId="0">
      <sharedItems/>
    </cacheField>
    <cacheField name="Alter" numFmtId="0">
      <sharedItems count="11">
        <s v="mittel"/>
        <s v="jung"/>
        <s v="alt"/>
        <s v="unbekannt"/>
        <s v="NA"/>
        <s v="tot"/>
        <s v="alter" u="1"/>
        <s v="adel:knappe" u="1"/>
        <s v="x" u="1"/>
        <s v="mitel" u="1"/>
        <s v="adel:ritter" u="1"/>
      </sharedItems>
    </cacheField>
    <cacheField name="Bezeichnung" numFmtId="0">
      <sharedItems count="50">
        <s v="ehemann"/>
        <s v="ehefrau"/>
        <s v="kind"/>
        <s v="unbekannt"/>
        <s v="betrueger"/>
        <s v="ehefrau/betrogener"/>
        <s v="helfer"/>
        <s v="ehemann/betrogener"/>
        <s v="vater"/>
        <s v="mutter"/>
        <s v="liebender"/>
        <s v="gegenspieler"/>
        <s v="liebende"/>
        <s v="ehefrau/betrueger"/>
        <s v="betrogener"/>
        <s v="bote"/>
        <s v="ehefrau/betrueger/betrogener"/>
        <s v="ehemann/betrueger/betrogener"/>
        <s v="gegner"/>
        <s v="liebender/betrueger"/>
        <s v="begleiter"/>
        <s v="ehemann/betrueger"/>
        <s v="NA"/>
        <s v="ratgeber"/>
        <s v="ehefrau/gegenspieler"/>
        <s v="betrogener/betrueger"/>
        <s v="tochter/betrueger"/>
        <s v="kinder" u="1"/>
        <s v="betrogene/betrueger" u="1"/>
        <s v="narr" u="1"/>
        <s v="bezeichnung" u="1"/>
        <s v="x" u="1"/>
        <s v="mutter/helfer" u="1"/>
        <s v="ehemann/betrogener/betrueger" u="1"/>
        <s v="gott" u="1"/>
        <s v="unbekannt.nebenfigu" u="1"/>
        <s v="religioese figur" u="1"/>
        <s v="teufel" u="1"/>
        <s v="sohn" u="1"/>
        <s v="religioese-figur/helfer" u="1"/>
        <s v="autor" u="1"/>
        <s v="autor:tristan" u="1"/>
        <s v="erzaehler" u="1"/>
        <s v="schelm" u="1"/>
        <s v="autor2" u="1"/>
        <s v="geliebter" u="1"/>
        <s v="leser" u="1"/>
        <s v="reale-person" u="1"/>
        <s v="ehefrau/betrogener/betrueger" u="1"/>
        <s v="religioese-figur" u="1"/>
      </sharedItems>
    </cacheField>
    <cacheField name="Rolle" numFmtId="0">
      <sharedItems count="18">
        <s v="hauptfigur"/>
        <s v="nebenfigur"/>
        <s v="betrogener" u="1"/>
        <s v="x" u="1"/>
        <s v="helfer" u="1"/>
        <s v="?" u="1"/>
        <s v="r" u="1"/>
        <s v="autor" u="1"/>
        <s v="erzaehler" u="1"/>
        <s v="nebenbfigur" u="1"/>
        <s v="hautpfigur" u="1"/>
        <s v="autor2" u="1"/>
        <s v="rolle" u="1"/>
        <s v="unbekannt" u="1"/>
        <s v="leser" u="1"/>
        <s v="reale-person" u="1"/>
        <s v="betrueger" u="1"/>
        <s v="religioese-figur" u="1"/>
      </sharedItems>
    </cacheField>
    <cacheField name="Stand" numFmtId="0">
      <sharedItems count="7">
        <s v="NA"/>
        <s v="adel"/>
        <s v="unbekannt"/>
        <s v="buergerlich"/>
        <s v="klerus"/>
        <s v="bauer"/>
        <s v="not found" u="1"/>
      </sharedItems>
    </cacheField>
    <cacheField name="Konstellation" numFmtId="0">
      <sharedItems containsBlank="1" count="5">
        <s v="Unbekannt"/>
        <s v="Unerotisches Verhältnis"/>
        <s v="Liebeskonstellation"/>
        <s v="Ehekonstellation"/>
        <m u="1"/>
      </sharedItems>
    </cacheField>
    <cacheField name="degree_centrality" numFmtId="164">
      <sharedItems containsSemiMixedTypes="0" containsString="0" containsNumber="1" minValue="0" maxValue="2"/>
    </cacheField>
    <cacheField name="betweenness_centrality" numFmtId="164">
      <sharedItems containsSemiMixedTypes="0" containsString="0" containsNumber="1" minValue="0" maxValue="1"/>
    </cacheField>
    <cacheField name="closeness_centrality" numFmtId="164">
      <sharedItems containsSemiMixedTypes="0" containsString="0" containsNumber="1" minValue="0" maxValue="1"/>
    </cacheField>
    <cacheField name="eigenvector_centrality" numFmtId="164">
      <sharedItems containsSemiMixedTypes="0" containsString="0" containsNumber="1" minValue="0" maxValue="1"/>
    </cacheField>
    <cacheField name="Bezeichnung2" numFmtId="164">
      <sharedItems count="18">
        <s v="ehemann"/>
        <s v="ehefrau"/>
        <s v="kind"/>
        <s v="unbekannt"/>
        <s v="betrueger"/>
        <s v="betrogener"/>
        <s v="helfer"/>
        <s v="vater"/>
        <s v="mutter"/>
        <s v="liebender"/>
        <s v="gegenspieler"/>
        <s v="liebende"/>
        <s v="bote"/>
        <s v="gegner"/>
        <s v="begleiter"/>
        <s v="NA"/>
        <s v="ratgeber"/>
        <s v="ehefrau/gegenspieler"/>
      </sharedItems>
    </cacheField>
    <cacheField name="Figurenkonstellation" numFmtId="164">
      <sharedItems containsSemiMixedTypes="0" containsString="0" containsNumber="1" containsInteger="1" minValue="1" maxValue="4"/>
    </cacheField>
    <cacheField name="Betrüger" numFmtId="164">
      <sharedItems containsMixedTypes="1" containsNumber="1" containsInteger="1" minValue="1" maxValue="1"/>
    </cacheField>
    <cacheField name="Betrogener" numFmtId="164">
      <sharedItems containsMixedTypes="1" containsNumber="1" containsInteger="1" minValue="2" maxValue="2"/>
    </cacheField>
    <cacheField name="Liebender" numFmtId="164">
      <sharedItems containsMixedTypes="1" containsNumber="1" containsInteger="1" minValue="3" maxValue="3"/>
    </cacheField>
    <cacheField name="Liebende" numFmtId="164">
      <sharedItems containsMixedTypes="1" containsNumber="1" containsInteger="1" minValue="4" maxValue="4"/>
    </cacheField>
    <cacheField name="Gegenspieler" numFmtId="164">
      <sharedItems containsMixedTypes="1" containsNumber="1" containsInteger="1" minValue="5" maxValue="5"/>
    </cacheField>
  </cacheFields>
  <extLst>
    <ext xmlns:x14="http://schemas.microsoft.com/office/spreadsheetml/2009/9/main" uri="{725AE2AE-9491-48be-B2B4-4EB974FC3084}">
      <x14:pivotCacheDefinition pivotCacheId="467440488"/>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sa Kiss" refreshedDate="44764.627456944443" createdVersion="7" refreshedVersion="8" minRefreshableVersion="3" recordCount="567" xr:uid="{47FFC567-8CA1-4711-B566-82478FB4AA0E}">
  <cacheSource type="worksheet">
    <worksheetSource name="Nodes"/>
  </cacheSource>
  <cacheFields count="20">
    <cacheField name="Source.Name" numFmtId="0">
      <sharedItems/>
    </cacheField>
    <cacheField name="Name" numFmtId="0">
      <sharedItems/>
    </cacheField>
    <cacheField name="Geschlecht" numFmtId="0">
      <sharedItems containsBlank="1" count="13">
        <s v="maennlich"/>
        <s v="weiblich"/>
        <s v="gruppe"/>
        <s v="unbekannt"/>
        <s v="NA"/>
        <s v="tier"/>
        <s v="maennlich/zwerg"/>
        <m u="1"/>
        <s v="x" u="1"/>
        <s v="maennich" u="1"/>
        <s v="geschlecht" u="1"/>
        <s v="autor" u="1"/>
        <s v="-weiblich" u="1"/>
      </sharedItems>
    </cacheField>
    <cacheField name="Stand:Beruf" numFmtId="0">
      <sharedItems/>
    </cacheField>
    <cacheField name="Alter" numFmtId="0">
      <sharedItems containsBlank="1" count="12">
        <s v="mittel"/>
        <s v="jung"/>
        <s v="alt"/>
        <s v="unbekannt"/>
        <s v="NA"/>
        <s v="tot"/>
        <s v="alter" u="1"/>
        <m u="1"/>
        <s v="adel:knappe" u="1"/>
        <s v="x" u="1"/>
        <s v="mitel" u="1"/>
        <s v="adel:ritter" u="1"/>
      </sharedItems>
    </cacheField>
    <cacheField name="Bezeichnung" numFmtId="0">
      <sharedItems/>
    </cacheField>
    <cacheField name="Rolle" numFmtId="0">
      <sharedItems containsBlank="1" count="13">
        <s v="hauptfigur"/>
        <s v="nebenfigur"/>
        <m u="1"/>
        <s v="x" u="1"/>
        <s v="r" u="1"/>
        <s v="autor" u="1"/>
        <s v="erzaehler" u="1"/>
        <s v="autor2" u="1"/>
        <s v="rolle" u="1"/>
        <s v="unbekannt" u="1"/>
        <s v="leser" u="1"/>
        <s v="reale-person" u="1"/>
        <s v="religioese-figur" u="1"/>
      </sharedItems>
    </cacheField>
    <cacheField name="Stand" numFmtId="0">
      <sharedItems count="7">
        <s v="NA"/>
        <s v="adel"/>
        <s v="unbekannt"/>
        <s v="buergerlich"/>
        <s v="klerus"/>
        <s v="bauer"/>
        <s v="not found" u="1"/>
      </sharedItems>
    </cacheField>
    <cacheField name="Konstellation" numFmtId="0">
      <sharedItems containsBlank="1" count="5">
        <s v="Unbekannt"/>
        <s v="Unerotisches Verhältnis"/>
        <s v="Liebeskonstellation"/>
        <s v="Ehekonstellation"/>
        <m u="1"/>
      </sharedItems>
    </cacheField>
    <cacheField name="degree_centrality" numFmtId="164">
      <sharedItems containsSemiMixedTypes="0" containsString="0" containsNumber="1" minValue="0" maxValue="2"/>
    </cacheField>
    <cacheField name="betweenness_centrality" numFmtId="164">
      <sharedItems containsSemiMixedTypes="0" containsString="0" containsNumber="1" minValue="0" maxValue="1"/>
    </cacheField>
    <cacheField name="closeness_centrality" numFmtId="164">
      <sharedItems containsSemiMixedTypes="0" containsString="0" containsNumber="1" minValue="0" maxValue="1"/>
    </cacheField>
    <cacheField name="eigenvector_centrality" numFmtId="164">
      <sharedItems containsSemiMixedTypes="0" containsString="0" containsNumber="1" minValue="0" maxValue="1"/>
    </cacheField>
    <cacheField name="Bezeichnung2" numFmtId="164">
      <sharedItems count="18">
        <s v="ehemann"/>
        <s v="ehefrau"/>
        <s v="kind"/>
        <s v="unbekannt"/>
        <s v="betrueger"/>
        <s v="betrogener"/>
        <s v="helfer"/>
        <s v="vater"/>
        <s v="mutter"/>
        <s v="liebender"/>
        <s v="gegenspieler"/>
        <s v="liebende"/>
        <s v="bote"/>
        <s v="gegner"/>
        <s v="begleiter"/>
        <s v="NA"/>
        <s v="ratgeber"/>
        <s v="ehefrau/gegenspieler"/>
      </sharedItems>
    </cacheField>
    <cacheField name="Figurenkonstellation" numFmtId="164">
      <sharedItems containsSemiMixedTypes="0" containsString="0" containsNumber="1" containsInteger="1" minValue="1" maxValue="4" count="4">
        <n v="4"/>
        <n v="1"/>
        <n v="2"/>
        <n v="3"/>
      </sharedItems>
    </cacheField>
    <cacheField name="Betrüger" numFmtId="164">
      <sharedItems containsMixedTypes="1" containsNumber="1" containsInteger="1" minValue="1" maxValue="1"/>
    </cacheField>
    <cacheField name="Betrogener" numFmtId="164">
      <sharedItems containsMixedTypes="1" containsNumber="1" containsInteger="1" minValue="2" maxValue="2"/>
    </cacheField>
    <cacheField name="Liebender" numFmtId="164">
      <sharedItems containsMixedTypes="1" containsNumber="1" containsInteger="1" minValue="3" maxValue="3"/>
    </cacheField>
    <cacheField name="Liebende" numFmtId="164">
      <sharedItems containsMixedTypes="1" containsNumber="1" containsInteger="1" minValue="4" maxValue="4"/>
    </cacheField>
    <cacheField name="Gegenspieler" numFmtId="164">
      <sharedItems containsMixedTypes="1" containsNumber="1" containsInteger="1" minValue="5" maxValue="5"/>
    </cacheField>
  </cacheFields>
  <extLst>
    <ext xmlns:x14="http://schemas.microsoft.com/office/spreadsheetml/2009/9/main" uri="{725AE2AE-9491-48be-B2B4-4EB974FC3084}">
      <x14:pivotCacheDefinition pivotCacheId="7583740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
  <r>
    <s v="Adam_und_Eva"/>
    <n v="1.4999999999999998"/>
    <n v="0.1145833333333334"/>
    <n v="0.44591588966588958"/>
    <n v="0.49168630450366613"/>
    <x v="0"/>
    <n v="0"/>
    <n v="0"/>
    <n v="0"/>
    <n v="0"/>
    <n v="0"/>
  </r>
  <r>
    <s v="Alten_Weibes_List"/>
    <n v="0.78787878787878796"/>
    <n v="0.12979797979797986"/>
    <n v="0.38237228192986761"/>
    <n v="0.31141828599604987"/>
    <x v="1"/>
    <n v="1"/>
    <n v="4"/>
    <n v="0"/>
    <n v="0"/>
    <n v="0"/>
  </r>
  <r>
    <s v="Aristoteles_und_Phyllis"/>
    <n v="1.5238095238095257"/>
    <n v="0.14761904761904762"/>
    <n v="0.41839505032782359"/>
    <n v="0.52418686697686545"/>
    <x v="2"/>
    <n v="0"/>
    <n v="0"/>
    <n v="3"/>
    <n v="4"/>
    <n v="5"/>
  </r>
  <r>
    <s v="Berchta_mit_der_langen_Nase"/>
    <n v="0.85714285714285676"/>
    <n v="0.24761904761904743"/>
    <n v="0.42306752071457954"/>
    <n v="0.50030393764965075"/>
    <x v="1"/>
    <n v="1"/>
    <n v="2"/>
    <n v="0"/>
    <n v="0"/>
    <n v="0"/>
  </r>
  <r>
    <s v="Das_Auge"/>
    <n v="1.0666666666666667"/>
    <n v="0.16666666666666666"/>
    <n v="0.40757350539959264"/>
    <n v="0.45743322353510835"/>
    <x v="1"/>
    <n v="0"/>
    <n v="0"/>
    <n v="0"/>
    <n v="0"/>
    <n v="5"/>
  </r>
  <r>
    <s v="Das_Gaenselein"/>
    <n v="1.3888888888888888"/>
    <n v="0.10839002267573684"/>
    <n v="0.38897758455348064"/>
    <n v="0.45023524600418074"/>
    <x v="1"/>
    <n v="2"/>
    <n v="2"/>
    <n v="0"/>
    <n v="0"/>
    <n v="0"/>
  </r>
  <r>
    <s v="Das_Haeselein"/>
    <n v="1.0222222222222224"/>
    <n v="0.11805555555555555"/>
    <n v="0.36934113631046045"/>
    <n v="0.36434621713330462"/>
    <x v="1"/>
    <n v="1"/>
    <n v="2"/>
    <n v="0"/>
    <n v="0"/>
    <n v="0"/>
  </r>
  <r>
    <s v="Das_heiße_Eisen"/>
    <n v="0.8"/>
    <n v="0"/>
    <n v="0.26956521739130423"/>
    <n v="0.4"/>
    <x v="1"/>
    <n v="0"/>
    <n v="0"/>
    <n v="0"/>
    <n v="0"/>
    <n v="0"/>
  </r>
  <r>
    <s v="Das_Herz"/>
    <n v="0.97777777777777786"/>
    <n v="0.1036111111111111"/>
    <n v="0.51001655723017947"/>
    <n v="0.37246982792246242"/>
    <x v="1"/>
    <n v="1"/>
    <n v="4"/>
    <n v="0"/>
    <n v="0"/>
    <n v="0"/>
  </r>
  <r>
    <s v="Das_Nonnentunier"/>
    <n v="0.50000000000000033"/>
    <n v="5.3691809398331132E-2"/>
    <n v="0.40247248381396955"/>
    <n v="0.26153662363011443"/>
    <x v="0"/>
    <n v="0"/>
    <n v="0"/>
    <n v="0"/>
    <n v="0"/>
    <n v="0"/>
  </r>
  <r>
    <s v="Das_Raedlein"/>
    <n v="1.0545454545454547"/>
    <n v="9.1414141414141406E-2"/>
    <n v="0.52658058102018523"/>
    <n v="0.2951699969471438"/>
    <x v="1"/>
    <n v="1"/>
    <n v="2"/>
    <n v="0"/>
    <n v="0"/>
    <n v="0"/>
  </r>
  <r>
    <s v="Das_Schneekind"/>
    <n v="1.2"/>
    <n v="0.16111111111111112"/>
    <n v="0.56517556517556555"/>
    <n v="0.52593855427130753"/>
    <x v="1"/>
    <n v="0"/>
    <n v="0"/>
    <n v="0"/>
    <n v="0"/>
    <n v="0"/>
  </r>
  <r>
    <s v="Das_Schraetel_und_der_Wasserbaer"/>
    <n v="0.97777777777777608"/>
    <n v="0.14212962962962969"/>
    <n v="0.41653966131907305"/>
    <n v="0.38030932182043287"/>
    <x v="3"/>
    <n v="0"/>
    <n v="0"/>
    <n v="0"/>
    <n v="0"/>
    <n v="5"/>
  </r>
  <r>
    <s v="Das_warme_Almosen"/>
    <n v="1.8"/>
    <n v="0.11666666666666665"/>
    <n v="0.74095238095238103"/>
    <n v="0.61537864553331934"/>
    <x v="1"/>
    <n v="0"/>
    <n v="0"/>
    <n v="0"/>
    <n v="0"/>
    <n v="0"/>
  </r>
  <r>
    <s v="Der_begrabene_Ehemann"/>
    <n v="1.6"/>
    <n v="9.9999999999999922E-2"/>
    <n v="0.28439560439560418"/>
    <n v="0.54648469946757627"/>
    <x v="1"/>
    <n v="1"/>
    <n v="2"/>
    <n v="0"/>
    <n v="0"/>
    <n v="0"/>
  </r>
  <r>
    <s v="Der_Bildschnitzer_von_Wuerzburg"/>
    <n v="1.3333333333333333"/>
    <n v="0.17500000000000002"/>
    <n v="0.58832371332371347"/>
    <n v="0.54806149821722683"/>
    <x v="1"/>
    <n v="2"/>
    <n v="2"/>
    <n v="0"/>
    <n v="0"/>
    <n v="0"/>
  </r>
  <r>
    <s v="Der_blossgestellte_Ritter"/>
    <n v="1.2142857142857131"/>
    <n v="0.13690476190476197"/>
    <n v="0.55686917249417234"/>
    <n v="0.53070662486236253"/>
    <x v="1"/>
    <n v="1"/>
    <n v="2"/>
    <n v="0"/>
    <n v="0"/>
    <n v="0"/>
  </r>
  <r>
    <s v="Der_entlaufene_Hasenbraten"/>
    <n v="1.4285714285714313"/>
    <n v="4.2857142857142864E-2"/>
    <n v="0.32040816326530613"/>
    <n v="0.58002198033411534"/>
    <x v="1"/>
    <n v="0"/>
    <n v="0"/>
    <n v="0"/>
    <n v="0"/>
    <n v="0"/>
  </r>
  <r>
    <s v="Der_falsche_Blinde"/>
    <n v="0.66666666666666619"/>
    <n v="0.27619047619047599"/>
    <n v="0.34996985416240073"/>
    <n v="0.4275319666771128"/>
    <x v="1"/>
    <n v="1"/>
    <n v="2"/>
    <n v="0"/>
    <n v="0"/>
    <n v="5"/>
  </r>
  <r>
    <s v="Der_Frauen_Trost"/>
    <n v="0.83636363636363631"/>
    <n v="0.12861952861952863"/>
    <n v="0.39386644182208852"/>
    <n v="0.32708131087297282"/>
    <x v="0"/>
    <n v="1"/>
    <n v="2"/>
    <n v="0"/>
    <n v="0"/>
    <n v="0"/>
  </r>
  <r>
    <s v="Der_Frauen_Turnei"/>
    <n v="0.42105263157894746"/>
    <n v="5.9523809523809514E-2"/>
    <n v="0.26834848430756375"/>
    <n v="0.2982516930656664"/>
    <x v="0"/>
    <n v="0"/>
    <n v="0"/>
    <n v="0"/>
    <n v="0"/>
    <n v="0"/>
  </r>
  <r>
    <s v="Der_geaeffte_Pfaffe"/>
    <n v="1.4"/>
    <n v="0.1666666666666666"/>
    <n v="8.7258082312700005E-2"/>
    <n v="0.71762710998003842"/>
    <x v="1"/>
    <n v="2"/>
    <n v="2"/>
    <n v="0"/>
    <n v="0"/>
    <n v="0"/>
  </r>
  <r>
    <s v="Der_Guertel"/>
    <n v="0.58823529411764708"/>
    <n v="8.537581699346404E-2"/>
    <n v="0.39414115222511215"/>
    <n v="0.24657048681160246"/>
    <x v="1"/>
    <n v="1"/>
    <n v="2"/>
    <n v="0"/>
    <n v="0"/>
    <n v="5"/>
  </r>
  <r>
    <s v="Der_junge_Ratgeber"/>
    <n v="1.5238095238095231"/>
    <n v="0.11190476190476187"/>
    <n v="0.57718947718947733"/>
    <n v="0.58995846865724633"/>
    <x v="1"/>
    <n v="0"/>
    <n v="0"/>
    <n v="0"/>
    <n v="0"/>
    <n v="5"/>
  </r>
  <r>
    <s v="Der_kluge_Knecht"/>
    <n v="1.8"/>
    <n v="0.26666666666666661"/>
    <n v="0.42134453781512599"/>
    <n v="0.67830627379198227"/>
    <x v="1"/>
    <n v="2"/>
    <n v="2"/>
    <n v="0"/>
    <n v="0"/>
    <n v="0"/>
  </r>
  <r>
    <s v="Der_nackte_Bote"/>
    <n v="1.2444444444444447"/>
    <n v="8.2175925925926013E-2"/>
    <n v="0.584008031442242"/>
    <n v="0.4541434301943153"/>
    <x v="1"/>
    <n v="0"/>
    <n v="4"/>
    <n v="0"/>
    <n v="0"/>
    <n v="0"/>
  </r>
  <r>
    <s v="Der_nackte_Koenig"/>
    <n v="0.84848484848484851"/>
    <n v="0.10631313131313121"/>
    <n v="0.40129224888750353"/>
    <n v="0.35054206588039061"/>
    <x v="1"/>
    <n v="1"/>
    <n v="2"/>
    <n v="0"/>
    <n v="0"/>
    <n v="0"/>
  </r>
  <r>
    <s v="Der_Nußberg"/>
    <n v="1.1428571428571435"/>
    <n v="0.12380952380952384"/>
    <n v="0.63195138195138212"/>
    <n v="0.55266353947203595"/>
    <x v="1"/>
    <n v="2"/>
    <n v="2"/>
    <n v="0"/>
    <n v="0"/>
    <n v="0"/>
  </r>
  <r>
    <s v="Der_Pfaffe_im_Kaesekorb"/>
    <n v="1.3333333333333317"/>
    <n v="0.16666666666666674"/>
    <n v="0.1720373376623375"/>
    <n v="0.74532981236650542"/>
    <x v="1"/>
    <n v="2"/>
    <n v="2"/>
    <n v="0"/>
    <n v="0"/>
    <n v="0"/>
  </r>
  <r>
    <s v="Der_Raubritter_und_sein_Kaemmerer"/>
    <n v="1.1428571428571415"/>
    <n v="0.13095238095238079"/>
    <n v="0.48565705128205111"/>
    <n v="0.49757780880184915"/>
    <x v="1"/>
    <n v="1"/>
    <n v="2"/>
    <n v="0"/>
    <n v="0"/>
    <n v="0"/>
  </r>
  <r>
    <s v="Der_Reiher"/>
    <n v="0.94444444444444442"/>
    <n v="6.0185185185185217E-2"/>
    <n v="0.20654359209570775"/>
    <n v="0.42364294629738103"/>
    <x v="1"/>
    <n v="1"/>
    <n v="2"/>
    <n v="0"/>
    <n v="0"/>
    <n v="0"/>
  </r>
  <r>
    <s v="Der_Richter_und_der_Teufel"/>
    <n v="0.93333333333333357"/>
    <n v="8.8888888888888878E-2"/>
    <n v="0.59979839819623104"/>
    <n v="0.33280236374668737"/>
    <x v="1"/>
    <n v="1"/>
    <n v="0"/>
    <n v="0"/>
    <n v="0"/>
    <n v="0"/>
  </r>
  <r>
    <s v="Der_Ritter_und_die_Nuesse"/>
    <n v="1.6"/>
    <n v="0.1666666666666666"/>
    <n v="0.55428571428571427"/>
    <n v="0.63819277201183877"/>
    <x v="1"/>
    <n v="2"/>
    <n v="2"/>
    <n v="0"/>
    <n v="0"/>
    <n v="0"/>
  </r>
  <r>
    <s v="Der_Ritter_unterm_Zuber"/>
    <n v="0.93333333333333357"/>
    <n v="0.12777777777777763"/>
    <n v="0.38515034420057226"/>
    <n v="0.41576302439647828"/>
    <x v="1"/>
    <n v="2"/>
    <n v="2"/>
    <n v="0"/>
    <n v="0"/>
    <n v="0"/>
  </r>
  <r>
    <s v="Der_Schlaegel"/>
    <n v="0.65263157894736867"/>
    <n v="7.269241479767799E-2"/>
    <n v="0.37730441164415118"/>
    <n v="0.27415621865548889"/>
    <x v="1"/>
    <n v="5"/>
    <n v="2"/>
    <n v="0"/>
    <n v="0"/>
    <n v="0"/>
  </r>
  <r>
    <s v="Der_Schueler_zu_Paris"/>
    <n v="0.8974358974358978"/>
    <n v="0.10207847707847711"/>
    <n v="0.39703147244763526"/>
    <n v="0.2797861998014699"/>
    <x v="2"/>
    <n v="0"/>
    <n v="0"/>
    <n v="3"/>
    <n v="4"/>
    <n v="5"/>
  </r>
  <r>
    <s v="Der_schwangere_Moench"/>
    <n v="0.74358974358974339"/>
    <n v="0.11616161616161615"/>
    <n v="0.39338895782918554"/>
    <n v="0.29704551570088816"/>
    <x v="1"/>
    <n v="1"/>
    <n v="2"/>
    <n v="0"/>
    <n v="0"/>
    <n v="0"/>
  </r>
  <r>
    <s v="Der_Sperber"/>
    <n v="1.0476190476190472"/>
    <n v="0.1666666666666666"/>
    <n v="0.47808214194768806"/>
    <n v="0.38797613115442459"/>
    <x v="1"/>
    <n v="1"/>
    <n v="2"/>
    <n v="0"/>
    <n v="0"/>
    <n v="0"/>
  </r>
  <r>
    <s v="Der_unbelehrbare_Zecher"/>
    <n v="2"/>
    <n v="0"/>
    <n v="0.33333333333333298"/>
    <n v="0"/>
    <x v="1"/>
    <n v="0"/>
    <n v="0"/>
    <n v="0"/>
    <n v="0"/>
    <n v="5"/>
  </r>
  <r>
    <s v="Der_verkehrte_Wirt"/>
    <n v="1.1111111111111112"/>
    <n v="9.1269841269841223E-2"/>
    <n v="0.32781031777217895"/>
    <n v="0.41533513111198206"/>
    <x v="1"/>
    <n v="2"/>
    <n v="2"/>
    <n v="0"/>
    <n v="0"/>
    <n v="0"/>
  </r>
  <r>
    <s v="Der_wahrsagende_Baum"/>
    <n v="2"/>
    <n v="0.33333333333333331"/>
    <n v="0.38888888888888867"/>
    <n v="0"/>
    <x v="1"/>
    <n v="0"/>
    <n v="0"/>
    <n v="0"/>
    <n v="0"/>
    <n v="0"/>
  </r>
  <r>
    <s v="Der_weiße_Rosendorn"/>
    <n v="1.8"/>
    <n v="0.17777777777777781"/>
    <n v="0.39875901875901876"/>
    <n v="0.76019345632899882"/>
    <x v="0"/>
    <n v="0"/>
    <n v="0"/>
    <n v="0"/>
    <n v="0"/>
    <n v="10"/>
  </r>
  <r>
    <s v="Der_Welt_Lohn"/>
    <n v="1.0666666666666667"/>
    <n v="0.18333333333333335"/>
    <n v="0.29596560846560865"/>
    <n v="0.50074813035124022"/>
    <x v="0"/>
    <n v="0"/>
    <n v="0"/>
    <n v="0"/>
    <n v="0"/>
    <n v="0"/>
  </r>
  <r>
    <s v="Der_Weltheilige"/>
    <n v="0.999999999999999"/>
    <n v="0.14781746031746038"/>
    <n v="0.43299168152109335"/>
    <n v="0.46176053359056785"/>
    <x v="1"/>
    <n v="1"/>
    <n v="0"/>
    <n v="0"/>
    <n v="0"/>
    <n v="0"/>
  </r>
  <r>
    <s v="Der_Wiener_Meerfahrt"/>
    <n v="0.49122807017543874"/>
    <n v="5.5274624469670908E-2"/>
    <n v="0.21824028982227187"/>
    <n v="0.24921223410511717"/>
    <x v="1"/>
    <n v="1"/>
    <n v="2"/>
    <n v="0"/>
    <n v="0"/>
    <n v="5"/>
  </r>
  <r>
    <s v="Des_Bruders_Felix_Verzueckung"/>
    <n v="0.84444444444444389"/>
    <n v="0.10833333333333331"/>
    <n v="0.41064171297809737"/>
    <n v="0.43057050986337242"/>
    <x v="0"/>
    <n v="0"/>
    <n v="0"/>
    <n v="0"/>
    <n v="0"/>
    <n v="5"/>
  </r>
  <r>
    <s v="Die_alte_Mutter_und_Kaiser_Friedrich"/>
    <n v="0.64102564102564097"/>
    <n v="5.5555555555555532E-2"/>
    <n v="0.23417193352438498"/>
    <n v="0.29510238000232369"/>
    <x v="1"/>
    <n v="1"/>
    <n v="4"/>
    <n v="0"/>
    <n v="0"/>
    <n v="0"/>
  </r>
  <r>
    <s v="Die_Beichte"/>
    <n v="2"/>
    <n v="8.3333333333333495E-2"/>
    <n v="0.875"/>
    <n v="0.74999999999999956"/>
    <x v="1"/>
    <n v="0"/>
    <n v="4"/>
    <n v="0"/>
    <n v="0"/>
    <n v="0"/>
  </r>
  <r>
    <s v="Die_drei_Moenche_von_Kolmar"/>
    <n v="1.1272727272727272"/>
    <n v="0.11683501683501686"/>
    <n v="0.44315608191206285"/>
    <n v="0.47833130521033274"/>
    <x v="1"/>
    <n v="2"/>
    <n v="8"/>
    <n v="0"/>
    <n v="0"/>
    <n v="0"/>
  </r>
  <r>
    <s v="Die_drei_Wuensche"/>
    <n v="0.71428571428571319"/>
    <n v="8.3333333333333301E-2"/>
    <n v="0.33369633838383839"/>
    <n v="0.35467389799221999"/>
    <x v="1"/>
    <n v="0"/>
    <n v="0"/>
    <n v="0"/>
    <n v="0"/>
    <n v="0"/>
  </r>
  <r>
    <s v="Die_eingemauerte_Frau"/>
    <n v="0.93333333333333357"/>
    <n v="0.11944444444444453"/>
    <n v="0.44811113694489652"/>
    <n v="0.38472765192073116"/>
    <x v="1"/>
    <n v="0"/>
    <n v="0"/>
    <n v="0"/>
    <n v="0"/>
    <n v="0"/>
  </r>
  <r>
    <s v="Die_halbe_Birn"/>
    <n v="0.55000000000000027"/>
    <n v="8.1051587301587291E-2"/>
    <n v="0.42128219935262018"/>
    <n v="0.23342759205040411"/>
    <x v="1"/>
    <n v="2"/>
    <n v="0"/>
    <n v="0"/>
    <n v="0"/>
    <n v="0"/>
  </r>
  <r>
    <s v="Die_halbe_Decke"/>
    <n v="0.83333333333333337"/>
    <n v="0.13690476190476195"/>
    <n v="0.31113574070213618"/>
    <n v="0.38016675143414047"/>
    <x v="1"/>
    <n v="1"/>
    <n v="2"/>
    <n v="0"/>
    <n v="0"/>
    <n v="0"/>
  </r>
  <r>
    <s v="Die_Heidin"/>
    <n v="0.47619047619047622"/>
    <n v="5.2950634194798521E-2"/>
    <n v="0.3856772971456261"/>
    <n v="0.15339557437843829"/>
    <x v="1"/>
    <n v="1"/>
    <n v="0"/>
    <n v="0"/>
    <n v="0"/>
    <n v="0"/>
  </r>
  <r>
    <s v="Die_Katze_als_Nonne"/>
    <n v="1.3333333333333333"/>
    <n v="0.33333333333333331"/>
    <n v="0.77777777777777801"/>
    <n v="0"/>
    <x v="0"/>
    <n v="0"/>
    <n v="0"/>
    <n v="0"/>
    <n v="0"/>
    <n v="5"/>
  </r>
  <r>
    <s v="Die_Koenigin_von_Frankreich_und_der_ungetreue_Marschall"/>
    <n v="0.6311111111111114"/>
    <n v="9.2698412698412683E-2"/>
    <n v="0.30299312523471084"/>
    <n v="0.28391012583243475"/>
    <x v="1"/>
    <n v="1"/>
    <n v="6"/>
    <n v="0"/>
    <n v="0"/>
    <n v="0"/>
  </r>
  <r>
    <s v="Die_Meierin_mit_der_Geiß"/>
    <n v="0.90909090909090906"/>
    <n v="9.0134680134680026E-2"/>
    <n v="0.4403821827276625"/>
    <n v="0.39088445793380111"/>
    <x v="1"/>
    <n v="2"/>
    <n v="2"/>
    <n v="0"/>
    <n v="0"/>
    <n v="0"/>
  </r>
  <r>
    <s v="Die_Nachtigall"/>
    <n v="1.2857142857142856"/>
    <n v="0.10515873015873012"/>
    <n v="0.53996212121212106"/>
    <n v="0.44872030925934647"/>
    <x v="2"/>
    <n v="0"/>
    <n v="0"/>
    <n v="3"/>
    <n v="4"/>
    <n v="0"/>
  </r>
  <r>
    <s v="Die_Teufelsacht"/>
    <n v="0.88888888888888951"/>
    <n v="9.9999999999999895E-2"/>
    <n v="0.56487960568842921"/>
    <n v="0.30769796453605563"/>
    <x v="1"/>
    <n v="1"/>
    <n v="2"/>
    <n v="0"/>
    <n v="0"/>
    <n v="0"/>
  </r>
  <r>
    <s v="Edelmann_und_Pferdehaendler"/>
    <n v="2"/>
    <n v="0.25"/>
    <n v="0.53125"/>
    <n v="0.73615192810110475"/>
    <x v="1"/>
    <n v="1"/>
    <n v="2"/>
    <n v="0"/>
    <n v="0"/>
    <n v="0"/>
  </r>
  <r>
    <s v="Ehe_im_Leben_und_Tode"/>
    <n v="1.5238095238095237"/>
    <n v="0.11904761904761914"/>
    <n v="0.38401307891577702"/>
    <n v="0.52312847807790841"/>
    <x v="1"/>
    <n v="1"/>
    <n v="2"/>
    <n v="0"/>
    <n v="0"/>
    <n v="0"/>
  </r>
  <r>
    <s v="Ehefrau_und_Buhlerin"/>
    <n v="0.65934065934065988"/>
    <n v="0.11172161172161177"/>
    <n v="0.33320298440330748"/>
    <n v="0.30715301463369782"/>
    <x v="1"/>
    <n v="2"/>
    <n v="4"/>
    <n v="0"/>
    <n v="0"/>
    <n v="0"/>
  </r>
  <r>
    <s v="Ehestand_Tod_und_Hochzeit"/>
    <n v="0.92857142857142727"/>
    <n v="0.14285714285714296"/>
    <n v="0.45260416666666659"/>
    <n v="0.3978702414426174"/>
    <x v="1"/>
    <n v="1"/>
    <n v="2"/>
    <n v="0"/>
    <n v="0"/>
    <n v="0"/>
  </r>
  <r>
    <s v="Ein_boeses_Weib_scheidet_eine_Ehe"/>
    <n v="1.6190476190476186"/>
    <n v="9.3650793650793665E-2"/>
    <n v="0.62619047619047641"/>
    <n v="0.64214338868597509"/>
    <x v="1"/>
    <n v="1"/>
    <n v="4"/>
    <n v="0"/>
    <n v="0"/>
    <n v="5"/>
  </r>
  <r>
    <s v="Frauenbestaendigkeit"/>
    <n v="1"/>
    <n v="0.13293650793650802"/>
    <n v="0.31688193147743554"/>
    <n v="0.41564869509807356"/>
    <x v="1"/>
    <n v="2"/>
    <n v="2"/>
    <n v="0"/>
    <n v="0"/>
    <n v="0"/>
  </r>
  <r>
    <s v="Frauenlist"/>
    <n v="1.2142857142857131"/>
    <n v="0.11011904761904755"/>
    <n v="0.52730186480186447"/>
    <n v="0.3725502703441318"/>
    <x v="1"/>
    <n v="2"/>
    <n v="2"/>
    <n v="0"/>
    <n v="0"/>
    <n v="0"/>
  </r>
  <r>
    <s v="Frauentreue"/>
    <n v="1.1999999999999997"/>
    <n v="0.11574074074074066"/>
    <n v="0.3991127711715946"/>
    <n v="0.36521656259115864"/>
    <x v="2"/>
    <n v="0"/>
    <n v="0"/>
    <n v="3"/>
    <n v="0"/>
    <n v="0"/>
  </r>
  <r>
    <s v="Frauenzucht"/>
    <n v="0.87878787878787812"/>
    <n v="8.8636363636363583E-2"/>
    <n v="0.49396733453302305"/>
    <n v="0.38054047010227493"/>
    <x v="1"/>
    <n v="0"/>
    <n v="0"/>
    <n v="0"/>
    <n v="0"/>
    <n v="0"/>
  </r>
  <r>
    <s v="Heinrich_von_Kempten_und_des_Kaisers_Bart"/>
    <n v="0.63736263736263699"/>
    <n v="0.11681929181929175"/>
    <n v="0.37113633210573671"/>
    <n v="0.23667491368474278"/>
    <x v="3"/>
    <n v="0"/>
    <n v="2"/>
    <n v="0"/>
    <n v="0"/>
    <n v="10"/>
  </r>
  <r>
    <s v="Hero_und_Leander"/>
    <n v="0.939393939393939"/>
    <n v="8.005050505050508E-2"/>
    <n v="0.43913824172896754"/>
    <n v="0.41807105441821207"/>
    <x v="2"/>
    <n v="0"/>
    <n v="0"/>
    <n v="3"/>
    <n v="4"/>
    <n v="0"/>
  </r>
  <r>
    <s v="Herr_Friedrich_von_Auchenfurt"/>
    <n v="0.95238095238095188"/>
    <n v="0.17142857142857146"/>
    <n v="0.47096312209094199"/>
    <n v="0.40423637059706952"/>
    <x v="2"/>
    <n v="0"/>
    <n v="2"/>
    <n v="3"/>
    <n v="0"/>
    <n v="0"/>
  </r>
  <r>
    <s v="Irregang_und_Girregar"/>
    <n v="1.1818181818181808"/>
    <n v="0.10348484848484844"/>
    <n v="0.2999434056754407"/>
    <n v="0.37955126181542154"/>
    <x v="1"/>
    <n v="4"/>
    <n v="2"/>
    <n v="0"/>
    <n v="0"/>
    <n v="0"/>
  </r>
  <r>
    <s v="Martinsfest"/>
    <n v="1.5238095238095242"/>
    <n v="9.2063492063492042E-2"/>
    <n v="0.45450180072028817"/>
    <n v="0.5917738126080001"/>
    <x v="1"/>
    <n v="1"/>
    <n v="2"/>
    <n v="0"/>
    <n v="0"/>
    <n v="5"/>
  </r>
  <r>
    <s v="Minnedurst"/>
    <n v="1.2142857142857124"/>
    <n v="0.11309523809523817"/>
    <n v="0.43660680618401199"/>
    <n v="0.46047750309376434"/>
    <x v="1"/>
    <n v="2"/>
    <n v="2"/>
    <n v="0"/>
    <n v="0"/>
    <n v="0"/>
  </r>
  <r>
    <s v="Rittertreue"/>
    <n v="0.7166666666666669"/>
    <n v="8.2341269841269868E-2"/>
    <n v="0.37489840913721595"/>
    <n v="0.28703295626670944"/>
    <x v="3"/>
    <n v="0"/>
    <n v="0"/>
    <n v="0"/>
    <n v="0"/>
    <n v="0"/>
  </r>
  <r>
    <s v="Scheidung_und_Suehne"/>
    <n v="2"/>
    <n v="0"/>
    <n v="0.33333333333333298"/>
    <n v="0"/>
    <x v="1"/>
    <n v="0"/>
    <n v="0"/>
    <n v="0"/>
    <n v="0"/>
    <n v="0"/>
  </r>
  <r>
    <s v="Thomas_von_Kandelberg"/>
    <n v="1.0666666666666669"/>
    <n v="0.11805555555555555"/>
    <n v="0.32933758592006879"/>
    <n v="0.46711099612228785"/>
    <x v="0"/>
    <n v="0"/>
    <n v="0"/>
    <n v="0"/>
    <n v="0"/>
    <n v="0"/>
  </r>
  <r>
    <s v="Turandot"/>
    <n v="1.0222222222222226"/>
    <n v="9.8148148148148068E-2"/>
    <n v="0.55508403361344549"/>
    <n v="0.41798663040756034"/>
    <x v="1"/>
    <n v="0"/>
    <n v="0"/>
    <n v="0"/>
    <n v="0"/>
    <n v="5"/>
  </r>
  <r>
    <s v="Von_der_ueblen_Adelheit_und_irem_man"/>
    <n v="1.6666666666666652"/>
    <n v="0.16666666666666699"/>
    <n v="0.75"/>
    <n v="0.57002747232012951"/>
    <x v="1"/>
    <n v="0"/>
    <n v="0"/>
    <n v="0"/>
    <n v="0"/>
    <n v="5"/>
  </r>
  <r>
    <s v="Weiberlist"/>
    <n v="0.76190476190476097"/>
    <n v="3.8095238095238106E-2"/>
    <n v="0.19291819291819298"/>
    <n v="0.44444444444444414"/>
    <x v="1"/>
    <n v="2"/>
    <n v="2"/>
    <n v="0"/>
    <n v="0"/>
    <n v="0"/>
  </r>
  <r>
    <s v="Zwei_Kaufmaenner_und_die_treue_Hausfrau"/>
    <n v="0.50526315789473708"/>
    <n v="8.6999443052074604E-2"/>
    <n v="0.35119794310325292"/>
    <n v="0.24479301146265436"/>
    <x v="1"/>
    <n v="1"/>
    <n v="2"/>
    <n v="0"/>
    <n v="0"/>
    <n v="0"/>
  </r>
  <r>
    <s v="Drei_listige_Frauen"/>
    <n v="1.2000000000000011"/>
    <n v="0.14657407407407394"/>
    <n v="0.38233907126561129"/>
    <n v="0.53181551961032025"/>
    <x v="1"/>
    <n v="3"/>
    <n v="6"/>
    <n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1">
  <r>
    <s v="Adam_und_Eva.csv"/>
    <s v="#Adam"/>
    <x v="0"/>
    <s v="NA"/>
    <x v="0"/>
    <x v="0"/>
    <x v="0"/>
    <x v="0"/>
    <x v="0"/>
    <n v="0"/>
    <n v="0"/>
    <n v="0"/>
    <n v="0"/>
    <x v="0"/>
    <x v="0"/>
    <s v=""/>
    <s v=""/>
    <s v=""/>
    <s v=""/>
    <s v=""/>
  </r>
  <r>
    <s v="Adam_und_Eva.csv"/>
    <s v="#Eva"/>
    <x v="1"/>
    <s v="NA"/>
    <x v="0"/>
    <x v="1"/>
    <x v="0"/>
    <x v="0"/>
    <x v="0"/>
    <n v="0"/>
    <n v="0"/>
    <n v="0"/>
    <n v="0"/>
    <x v="1"/>
    <x v="0"/>
    <s v=""/>
    <s v=""/>
    <s v=""/>
    <s v=""/>
    <s v=""/>
  </r>
  <r>
    <s v="Adam_und_Eva.csv"/>
    <s v="#Kain"/>
    <x v="0"/>
    <s v="NA"/>
    <x v="1"/>
    <x v="2"/>
    <x v="1"/>
    <x v="0"/>
    <x v="0"/>
    <n v="0"/>
    <n v="0"/>
    <n v="0"/>
    <n v="0"/>
    <x v="2"/>
    <x v="0"/>
    <s v=""/>
    <s v=""/>
    <s v=""/>
    <s v=""/>
    <s v=""/>
  </r>
  <r>
    <s v="Alten_Weibes_List.csv"/>
    <s v="#Morolf"/>
    <x v="0"/>
    <s v="adel:koenig"/>
    <x v="2"/>
    <x v="3"/>
    <x v="1"/>
    <x v="1"/>
    <x v="1"/>
    <n v="0.44444444444444398"/>
    <n v="0.22222222222222199"/>
    <n v="0.40909090909090901"/>
    <n v="3.83871767284353E-2"/>
    <x v="3"/>
    <x v="1"/>
    <s v=""/>
    <s v=""/>
    <s v=""/>
    <s v=""/>
    <s v=""/>
  </r>
  <r>
    <s v="Alten_Weibes_List.csv"/>
    <s v="#Ein-Jude"/>
    <x v="0"/>
    <s v="unbekannt"/>
    <x v="2"/>
    <x v="3"/>
    <x v="1"/>
    <x v="2"/>
    <x v="1"/>
    <n v="0.22222222222222199"/>
    <n v="0"/>
    <n v="0.3"/>
    <n v="1.47141028894164E-3"/>
    <x v="3"/>
    <x v="1"/>
    <s v=""/>
    <s v=""/>
    <s v=""/>
    <s v=""/>
    <s v=""/>
  </r>
  <r>
    <s v="Alten_Weibes_List.csv"/>
    <s v="#Frau-Mez-die-Kouflerin"/>
    <x v="1"/>
    <s v="buergerlich:unbekannt"/>
    <x v="2"/>
    <x v="4"/>
    <x v="0"/>
    <x v="3"/>
    <x v="1"/>
    <n v="1.7777777777777799"/>
    <n v="0.72222222222222199"/>
    <n v="0.5625"/>
    <n v="1"/>
    <x v="4"/>
    <x v="1"/>
    <n v="1"/>
    <s v=""/>
    <s v=""/>
    <s v=""/>
    <s v=""/>
  </r>
  <r>
    <s v="Alten_Weibes_List.csv"/>
    <s v="#Kor-herren-viere"/>
    <x v="2"/>
    <s v="klerus:chor"/>
    <x v="3"/>
    <x v="3"/>
    <x v="1"/>
    <x v="4"/>
    <x v="1"/>
    <n v="0.88888888888888895"/>
    <n v="0"/>
    <n v="0.34615384615384598"/>
    <n v="0.183761782169198"/>
    <x v="3"/>
    <x v="1"/>
    <s v=""/>
    <s v=""/>
    <s v=""/>
    <s v=""/>
    <s v=""/>
  </r>
  <r>
    <s v="Alten_Weibes_List.csv"/>
    <s v="#Heinrich"/>
    <x v="0"/>
    <s v="klerus:domprobst"/>
    <x v="0"/>
    <x v="3"/>
    <x v="0"/>
    <x v="4"/>
    <x v="1"/>
    <n v="1.1111111111111101"/>
    <n v="0"/>
    <n v="0.28125"/>
    <n v="0.72175853524477496"/>
    <x v="3"/>
    <x v="1"/>
    <s v=""/>
    <s v=""/>
    <s v=""/>
    <s v=""/>
    <s v=""/>
  </r>
  <r>
    <s v="Alten_Weibes_List.csv"/>
    <s v="#Wip"/>
    <x v="1"/>
    <s v="buergerlich:ehefrau"/>
    <x v="0"/>
    <x v="5"/>
    <x v="0"/>
    <x v="3"/>
    <x v="1"/>
    <n v="1.1111111111111101"/>
    <n v="0"/>
    <n v="0.31034482758620702"/>
    <n v="0.81643093382051901"/>
    <x v="5"/>
    <x v="1"/>
    <s v=""/>
    <n v="2"/>
    <s v=""/>
    <s v=""/>
    <s v=""/>
  </r>
  <r>
    <s v="Alten_Weibes_List.csv"/>
    <s v="#Einer-krame"/>
    <x v="1"/>
    <s v="buergerlich:kraemer"/>
    <x v="3"/>
    <x v="3"/>
    <x v="1"/>
    <x v="3"/>
    <x v="1"/>
    <n v="0.44444444444444398"/>
    <n v="0.16666666666666699"/>
    <n v="0.40909090909090901"/>
    <n v="6.9625208024108598E-2"/>
    <x v="3"/>
    <x v="1"/>
    <s v=""/>
    <s v=""/>
    <s v=""/>
    <s v=""/>
    <s v=""/>
  </r>
  <r>
    <s v="Alten_Weibes_List.csv"/>
    <s v="#Dienst-magt"/>
    <x v="1"/>
    <s v="buergerlich:magd"/>
    <x v="0"/>
    <x v="6"/>
    <x v="1"/>
    <x v="3"/>
    <x v="1"/>
    <n v="0.44444444444444398"/>
    <n v="0"/>
    <n v="0.28125"/>
    <n v="0.20183927923720699"/>
    <x v="6"/>
    <x v="1"/>
    <s v=""/>
    <s v=""/>
    <s v=""/>
    <s v=""/>
    <s v=""/>
  </r>
  <r>
    <s v="Alten_Weibes_List.csv"/>
    <s v="#Schreiber"/>
    <x v="0"/>
    <s v="klerus:schreiber"/>
    <x v="3"/>
    <x v="6"/>
    <x v="1"/>
    <x v="4"/>
    <x v="1"/>
    <n v="0.88888888888888895"/>
    <n v="0.29166666666666702"/>
    <n v="0.47368421052631599"/>
    <n v="0.12246457943637699"/>
    <x v="6"/>
    <x v="1"/>
    <s v=""/>
    <s v=""/>
    <s v=""/>
    <s v=""/>
    <s v=""/>
  </r>
  <r>
    <s v="Alten_Weibes_List.csv"/>
    <s v="#Der-vrouwen-eman"/>
    <x v="0"/>
    <s v="buergerlich:burger"/>
    <x v="0"/>
    <x v="7"/>
    <x v="0"/>
    <x v="3"/>
    <x v="1"/>
    <n v="1.1111111111111101"/>
    <n v="2.7777777777777801E-2"/>
    <n v="0.375"/>
    <n v="0.383900632830871"/>
    <x v="5"/>
    <x v="1"/>
    <s v=""/>
    <n v="2"/>
    <s v=""/>
    <s v=""/>
    <s v=""/>
  </r>
  <r>
    <s v="Aristoteles_und_Phyllis.csv"/>
    <s v="#Fillipus"/>
    <x v="0"/>
    <s v="adel:koenig"/>
    <x v="2"/>
    <x v="8"/>
    <x v="1"/>
    <x v="1"/>
    <x v="2"/>
    <n v="1.6"/>
    <n v="0"/>
    <n v="0.27777777777777801"/>
    <n v="0.45186423914524898"/>
    <x v="7"/>
    <x v="2"/>
    <s v=""/>
    <s v=""/>
    <s v=""/>
    <s v=""/>
    <s v=""/>
  </r>
  <r>
    <s v="Aristoteles_und_Phyllis.csv"/>
    <s v="#Frau-Koenigin"/>
    <x v="1"/>
    <s v="adel:koenigin"/>
    <x v="2"/>
    <x v="9"/>
    <x v="1"/>
    <x v="1"/>
    <x v="2"/>
    <n v="2"/>
    <n v="0.4"/>
    <n v="0.35714285714285698"/>
    <n v="0.40780303044572702"/>
    <x v="8"/>
    <x v="2"/>
    <s v=""/>
    <s v=""/>
    <s v=""/>
    <s v=""/>
    <s v=""/>
  </r>
  <r>
    <s v="Aristoteles_und_Phyllis.csv"/>
    <s v="#Alexander"/>
    <x v="0"/>
    <s v="adel:koenigssohn"/>
    <x v="0"/>
    <x v="10"/>
    <x v="0"/>
    <x v="1"/>
    <x v="2"/>
    <n v="2"/>
    <n v="0.1"/>
    <n v="0.33333333333333298"/>
    <n v="0.68260571356004196"/>
    <x v="9"/>
    <x v="2"/>
    <s v=""/>
    <s v=""/>
    <n v="3"/>
    <s v=""/>
    <s v=""/>
  </r>
  <r>
    <s v="Aristoteles_und_Phyllis.csv"/>
    <s v="#Aristoteles"/>
    <x v="0"/>
    <s v="buergerlich:gelehrter"/>
    <x v="2"/>
    <x v="11"/>
    <x v="0"/>
    <x v="3"/>
    <x v="2"/>
    <n v="1.6"/>
    <n v="0"/>
    <n v="0.22727272727272699"/>
    <n v="0.92457227880880199"/>
    <x v="10"/>
    <x v="2"/>
    <s v=""/>
    <s v=""/>
    <s v=""/>
    <s v=""/>
    <n v="5"/>
  </r>
  <r>
    <s v="Aristoteles_und_Phyllis.csv"/>
    <s v="#Fillis"/>
    <x v="1"/>
    <s v="adel:hofstaat"/>
    <x v="0"/>
    <x v="12"/>
    <x v="0"/>
    <x v="1"/>
    <x v="2"/>
    <n v="2"/>
    <n v="0"/>
    <n v="0.27777777777777801"/>
    <n v="1"/>
    <x v="11"/>
    <x v="2"/>
    <s v=""/>
    <s v=""/>
    <s v=""/>
    <n v="4"/>
    <s v=""/>
  </r>
  <r>
    <s v="Aristoteles_und_Phyllis.csv"/>
    <s v="#Der-Koeniginnen-Jungfrauen"/>
    <x v="2"/>
    <s v="adel:hofstaat"/>
    <x v="0"/>
    <x v="3"/>
    <x v="1"/>
    <x v="1"/>
    <x v="2"/>
    <n v="1.2"/>
    <n v="0.4"/>
    <n v="0.38461538461538503"/>
    <n v="0.12404363187041401"/>
    <x v="3"/>
    <x v="2"/>
    <s v=""/>
    <s v=""/>
    <s v=""/>
    <s v=""/>
    <s v=""/>
  </r>
  <r>
    <s v="Berchta_mit_der_langen_Nase.csv"/>
    <s v="#Vater"/>
    <x v="0"/>
    <s v="unbekannt"/>
    <x v="3"/>
    <x v="7"/>
    <x v="0"/>
    <x v="2"/>
    <x v="3"/>
    <n v="2"/>
    <n v="0.66666666666666696"/>
    <n v="0.75"/>
    <n v="1"/>
    <x v="5"/>
    <x v="1"/>
    <s v=""/>
    <n v="2"/>
    <s v=""/>
    <s v=""/>
    <s v=""/>
  </r>
  <r>
    <s v="Berchta_mit_der_langen_Nase.csv"/>
    <s v="#Gesinde"/>
    <x v="2"/>
    <s v="unbekannt"/>
    <x v="3"/>
    <x v="3"/>
    <x v="1"/>
    <x v="2"/>
    <x v="3"/>
    <n v="1.3333333333333299"/>
    <n v="0.66666666666666696"/>
    <n v="0.75"/>
    <n v="0.53216822606869996"/>
    <x v="3"/>
    <x v="1"/>
    <s v=""/>
    <s v=""/>
    <s v=""/>
    <s v=""/>
    <s v=""/>
  </r>
  <r>
    <s v="Berchta_mit_der_langen_Nase.csv"/>
    <s v="#Kinde"/>
    <x v="3"/>
    <s v="unbekannt"/>
    <x v="1"/>
    <x v="6"/>
    <x v="0"/>
    <x v="2"/>
    <x v="3"/>
    <n v="1.3333333333333299"/>
    <n v="0"/>
    <n v="0.5"/>
    <n v="0.95935180783908602"/>
    <x v="6"/>
    <x v="1"/>
    <s v=""/>
    <s v=""/>
    <s v=""/>
    <s v=""/>
    <s v=""/>
  </r>
  <r>
    <s v="Berchta_mit_der_langen_Nase.csv"/>
    <s v="#Muoter"/>
    <x v="1"/>
    <s v="unbekannt"/>
    <x v="3"/>
    <x v="13"/>
    <x v="1"/>
    <x v="2"/>
    <x v="3"/>
    <n v="0.66666666666666696"/>
    <n v="0"/>
    <n v="0.5"/>
    <n v="0.27160422336589701"/>
    <x v="4"/>
    <x v="1"/>
    <n v="1"/>
    <s v=""/>
    <s v=""/>
    <s v=""/>
    <s v=""/>
  </r>
  <r>
    <s v="Das_Auge.csv"/>
    <s v="#Herre"/>
    <x v="0"/>
    <s v="adel:ritter"/>
    <x v="0"/>
    <x v="0"/>
    <x v="0"/>
    <x v="1"/>
    <x v="3"/>
    <n v="2"/>
    <n v="0.16666666666666699"/>
    <n v="0.42857142857142899"/>
    <n v="1"/>
    <x v="0"/>
    <x v="1"/>
    <s v=""/>
    <s v=""/>
    <s v=""/>
    <s v=""/>
    <s v=""/>
  </r>
  <r>
    <s v="Das_Auge.csv"/>
    <s v="#Wip"/>
    <x v="1"/>
    <s v="adel:edelfrau"/>
    <x v="0"/>
    <x v="1"/>
    <x v="0"/>
    <x v="1"/>
    <x v="3"/>
    <n v="2"/>
    <n v="0.16666666666666699"/>
    <n v="0.42857142857142899"/>
    <n v="1"/>
    <x v="1"/>
    <x v="1"/>
    <s v=""/>
    <s v=""/>
    <s v=""/>
    <s v=""/>
    <s v=""/>
  </r>
  <r>
    <s v="Das_Auge.csv"/>
    <s v="#Ritter"/>
    <x v="0"/>
    <s v="adel:ritter"/>
    <x v="0"/>
    <x v="11"/>
    <x v="1"/>
    <x v="1"/>
    <x v="3"/>
    <n v="1.3333333333333299"/>
    <n v="0.33333333333333298"/>
    <n v="0.42857142857142899"/>
    <n v="0.12414315171437"/>
    <x v="10"/>
    <x v="1"/>
    <s v=""/>
    <s v=""/>
    <s v=""/>
    <s v=""/>
    <n v="5"/>
  </r>
  <r>
    <s v="Das_Auge.csv"/>
    <s v="#Knappe"/>
    <x v="0"/>
    <s v="adel:knappe"/>
    <x v="0"/>
    <x v="6"/>
    <x v="1"/>
    <x v="1"/>
    <x v="3"/>
    <n v="1.3333333333333299"/>
    <n v="0"/>
    <n v="0.230769230769231"/>
    <n v="0.496572606857482"/>
    <x v="6"/>
    <x v="1"/>
    <s v=""/>
    <s v=""/>
    <s v=""/>
    <s v=""/>
    <s v=""/>
  </r>
  <r>
    <s v="Das_Gaenselein.csv"/>
    <s v="#Junger-muenche"/>
    <x v="0"/>
    <s v="klerus:moench"/>
    <x v="0"/>
    <x v="14"/>
    <x v="0"/>
    <x v="4"/>
    <x v="1"/>
    <n v="2"/>
    <n v="0.133333333333333"/>
    <n v="0.35294117647058798"/>
    <n v="1"/>
    <x v="5"/>
    <x v="1"/>
    <s v=""/>
    <n v="2"/>
    <s v=""/>
    <s v=""/>
    <s v=""/>
  </r>
  <r>
    <s v="Das_Gaenselein.csv"/>
    <s v="#Tohter-des-wirts"/>
    <x v="1"/>
    <s v="buergerlich:tochter"/>
    <x v="3"/>
    <x v="4"/>
    <x v="1"/>
    <x v="3"/>
    <x v="1"/>
    <n v="1.6666666666666701"/>
    <n v="0.133333333333333"/>
    <n v="0.3"/>
    <n v="0.76059425267780501"/>
    <x v="4"/>
    <x v="1"/>
    <n v="1"/>
    <s v=""/>
    <s v=""/>
    <s v=""/>
    <s v=""/>
  </r>
  <r>
    <s v="Das_Gaenselein.csv"/>
    <s v="#Moenche-des-klosters"/>
    <x v="2"/>
    <s v="klerus:moench"/>
    <x v="3"/>
    <x v="3"/>
    <x v="1"/>
    <x v="4"/>
    <x v="1"/>
    <n v="1"/>
    <n v="0.2"/>
    <n v="0.31578947368421101"/>
    <n v="0.22858569381341701"/>
    <x v="3"/>
    <x v="1"/>
    <s v=""/>
    <s v=""/>
    <s v=""/>
    <s v=""/>
    <s v=""/>
  </r>
  <r>
    <s v="Das_Gaenselein.csv"/>
    <s v="#Apte"/>
    <x v="0"/>
    <s v="klerus:abt"/>
    <x v="2"/>
    <x v="4"/>
    <x v="0"/>
    <x v="4"/>
    <x v="1"/>
    <n v="2"/>
    <n v="0.133333333333333"/>
    <n v="0.35294117647058798"/>
    <n v="0.89915266055836895"/>
    <x v="4"/>
    <x v="1"/>
    <n v="1"/>
    <s v=""/>
    <s v=""/>
    <s v=""/>
    <s v=""/>
  </r>
  <r>
    <s v="Das_Gaenselein.csv"/>
    <s v="#Wirt"/>
    <x v="0"/>
    <s v="buergerlich:wirt"/>
    <x v="3"/>
    <x v="3"/>
    <x v="1"/>
    <x v="3"/>
    <x v="1"/>
    <n v="1.3333333333333299"/>
    <n v="0"/>
    <n v="0.28571428571428598"/>
    <n v="0.36009806601030497"/>
    <x v="3"/>
    <x v="1"/>
    <s v=""/>
    <s v=""/>
    <s v=""/>
    <s v=""/>
    <s v=""/>
  </r>
  <r>
    <s v="Das_Gaenselein.csv"/>
    <s v="#Wip-des-wirts"/>
    <x v="1"/>
    <s v="buergerlich:wirt"/>
    <x v="3"/>
    <x v="3"/>
    <x v="1"/>
    <x v="3"/>
    <x v="1"/>
    <n v="1.3333333333333299"/>
    <n v="0.1"/>
    <n v="0.33333333333333298"/>
    <n v="0.29517468699158"/>
    <x v="3"/>
    <x v="1"/>
    <s v=""/>
    <s v=""/>
    <s v=""/>
    <s v=""/>
    <s v=""/>
  </r>
  <r>
    <s v="Das_Gaenselein.csv"/>
    <s v="#Ein-moench"/>
    <x v="0"/>
    <s v="klerus:moench"/>
    <x v="3"/>
    <x v="15"/>
    <x v="1"/>
    <x v="4"/>
    <x v="1"/>
    <n v="0.66666666666666696"/>
    <n v="6.6666666666666693E-2"/>
    <n v="0.3"/>
    <n v="6.7221371524696302E-2"/>
    <x v="12"/>
    <x v="1"/>
    <s v=""/>
    <s v=""/>
    <s v=""/>
    <s v=""/>
    <s v=""/>
  </r>
  <r>
    <s v="Das_Haeselein.csv"/>
    <s v="#Ritter"/>
    <x v="0"/>
    <s v="adel:ritter"/>
    <x v="3"/>
    <x v="4"/>
    <x v="0"/>
    <x v="1"/>
    <x v="2"/>
    <n v="2"/>
    <n v="0.33333333333333298"/>
    <n v="0.33333333333333298"/>
    <n v="1"/>
    <x v="4"/>
    <x v="1"/>
    <n v="1"/>
    <s v=""/>
    <s v=""/>
    <s v=""/>
    <s v=""/>
  </r>
  <r>
    <s v="Das_Haeselein.csv"/>
    <s v="#Maget"/>
    <x v="1"/>
    <s v="unbekannt"/>
    <x v="3"/>
    <x v="3"/>
    <x v="1"/>
    <x v="2"/>
    <x v="2"/>
    <n v="0.33333333333333298"/>
    <n v="0"/>
    <n v="0.26086956521739102"/>
    <n v="3.2961247936630897E-2"/>
    <x v="3"/>
    <x v="1"/>
    <s v=""/>
    <s v=""/>
    <s v=""/>
    <s v=""/>
    <s v=""/>
  </r>
  <r>
    <s v="Das_Haeselein.csv"/>
    <s v="#Junk-vroeuwelin"/>
    <x v="1"/>
    <s v="buergerlich:unbekannt"/>
    <x v="1"/>
    <x v="14"/>
    <x v="0"/>
    <x v="3"/>
    <x v="2"/>
    <n v="1.6666666666666701"/>
    <n v="0.2"/>
    <n v="0.33333333333333298"/>
    <n v="0.95840764446238103"/>
    <x v="5"/>
    <x v="1"/>
    <s v=""/>
    <n v="2"/>
    <s v=""/>
    <s v=""/>
    <s v=""/>
  </r>
  <r>
    <s v="Das_Haeselein.csv"/>
    <s v="#Muoter-des-kints"/>
    <x v="1"/>
    <s v="buergerlich:unbekannt"/>
    <x v="3"/>
    <x v="9"/>
    <x v="1"/>
    <x v="3"/>
    <x v="2"/>
    <n v="0.66666666666666696"/>
    <n v="0"/>
    <n v="0.12765957446808501"/>
    <n v="0.45186091951082602"/>
    <x v="8"/>
    <x v="1"/>
    <s v=""/>
    <s v=""/>
    <s v=""/>
    <s v=""/>
    <s v=""/>
  </r>
  <r>
    <s v="Das_Haeselein.csv"/>
    <s v="#Zukuenftiges-wip-des-ritters"/>
    <x v="1"/>
    <s v="adel:edelfrau"/>
    <x v="0"/>
    <x v="3"/>
    <x v="1"/>
    <x v="1"/>
    <x v="2"/>
    <n v="1.3333333333333299"/>
    <n v="0"/>
    <n v="0.28571428571428598"/>
    <n v="0.33873234180956802"/>
    <x v="3"/>
    <x v="1"/>
    <s v=""/>
    <s v=""/>
    <s v=""/>
    <s v=""/>
    <s v=""/>
  </r>
  <r>
    <s v="Das_Haeselein.csv"/>
    <s v="#Kappelan"/>
    <x v="0"/>
    <s v="klerus:kaplan"/>
    <x v="3"/>
    <x v="3"/>
    <x v="1"/>
    <x v="4"/>
    <x v="2"/>
    <n v="1.3333333333333299"/>
    <n v="6.6666666666666693E-2"/>
    <n v="0.35294117647058798"/>
    <n v="0.123559287013149"/>
    <x v="3"/>
    <x v="1"/>
    <s v=""/>
    <s v=""/>
    <s v=""/>
    <s v=""/>
    <s v=""/>
  </r>
  <r>
    <s v="Das_Haeselein.csv"/>
    <s v="#Vriunde-des-ritters"/>
    <x v="2"/>
    <s v="unbekannt"/>
    <x v="3"/>
    <x v="3"/>
    <x v="1"/>
    <x v="2"/>
    <x v="2"/>
    <n v="1.3333333333333299"/>
    <n v="0.3"/>
    <n v="0.375"/>
    <n v="0.112750516863404"/>
    <x v="3"/>
    <x v="1"/>
    <s v=""/>
    <s v=""/>
    <s v=""/>
    <s v=""/>
    <s v=""/>
  </r>
  <r>
    <s v="Das_heiße_Eisen.csv"/>
    <s v="#Wip"/>
    <x v="1"/>
    <s v="unbekannt"/>
    <x v="3"/>
    <x v="1"/>
    <x v="0"/>
    <x v="2"/>
    <x v="3"/>
    <n v="0"/>
    <n v="0"/>
    <n v="0"/>
    <n v="0"/>
    <x v="1"/>
    <x v="1"/>
    <s v=""/>
    <s v=""/>
    <s v=""/>
    <s v=""/>
    <s v=""/>
  </r>
  <r>
    <s v="Das_heiße_Eisen.csv"/>
    <s v="#Man"/>
    <x v="0"/>
    <s v="unbekannt"/>
    <x v="3"/>
    <x v="0"/>
    <x v="0"/>
    <x v="2"/>
    <x v="3"/>
    <n v="0"/>
    <n v="0"/>
    <n v="0"/>
    <n v="0"/>
    <x v="0"/>
    <x v="1"/>
    <s v=""/>
    <s v=""/>
    <s v=""/>
    <s v=""/>
    <s v=""/>
  </r>
  <r>
    <s v="Das_Herz.csv"/>
    <s v="#Ritter"/>
    <x v="0"/>
    <s v="adel:ritter"/>
    <x v="0"/>
    <x v="4"/>
    <x v="0"/>
    <x v="1"/>
    <x v="3"/>
    <n v="1.5"/>
    <n v="0"/>
    <n v="0.21052631578947401"/>
    <n v="0.99781134463478205"/>
    <x v="4"/>
    <x v="1"/>
    <n v="1"/>
    <s v=""/>
    <s v=""/>
    <s v=""/>
    <s v=""/>
  </r>
  <r>
    <s v="Das_Herz.csv"/>
    <s v="#Vrouwe"/>
    <x v="1"/>
    <s v="adel:edelfrau"/>
    <x v="0"/>
    <x v="16"/>
    <x v="0"/>
    <x v="1"/>
    <x v="3"/>
    <n v="1.5"/>
    <n v="0"/>
    <n v="0.36363636363636398"/>
    <n v="1"/>
    <x v="5"/>
    <x v="1"/>
    <s v=""/>
    <n v="2"/>
    <s v=""/>
    <s v=""/>
    <s v=""/>
  </r>
  <r>
    <s v="Das_Herz.csv"/>
    <s v="#Man"/>
    <x v="0"/>
    <s v="adel:ritter"/>
    <x v="0"/>
    <x v="17"/>
    <x v="0"/>
    <x v="1"/>
    <x v="3"/>
    <n v="2"/>
    <n v="0"/>
    <n v="0.36363636363636398"/>
    <n v="0.68963517112689299"/>
    <x v="5"/>
    <x v="1"/>
    <s v=""/>
    <n v="2"/>
    <s v=""/>
    <s v=""/>
    <s v=""/>
  </r>
  <r>
    <s v="Das_Herz.csv"/>
    <s v="#Kneht"/>
    <x v="0"/>
    <s v="adel:knecht"/>
    <x v="0"/>
    <x v="15"/>
    <x v="1"/>
    <x v="1"/>
    <x v="3"/>
    <n v="2"/>
    <n v="0.66666666666666696"/>
    <n v="0.5"/>
    <n v="0.43259919579718198"/>
    <x v="12"/>
    <x v="1"/>
    <s v=""/>
    <s v=""/>
    <s v=""/>
    <s v=""/>
    <s v=""/>
  </r>
  <r>
    <s v="Das_Herz.csv"/>
    <s v="#Koch"/>
    <x v="0"/>
    <s v="buergerlich:koch"/>
    <x v="3"/>
    <x v="6"/>
    <x v="1"/>
    <x v="3"/>
    <x v="3"/>
    <n v="1"/>
    <n v="0.33333333333333298"/>
    <n v="0.44444444444444398"/>
    <n v="5.2873165805478697E-2"/>
    <x v="6"/>
    <x v="1"/>
    <s v=""/>
    <s v=""/>
    <s v=""/>
    <s v=""/>
    <s v=""/>
  </r>
  <r>
    <s v="Das_Nonnentunier.csv"/>
    <s v="#Ritter"/>
    <x v="0"/>
    <s v="adel:ritter"/>
    <x v="3"/>
    <x v="6"/>
    <x v="1"/>
    <x v="1"/>
    <x v="1"/>
    <n v="0.19047619047618999"/>
    <n v="0"/>
    <n v="0.15217391304347799"/>
    <n v="0.36862561854102799"/>
    <x v="6"/>
    <x v="0"/>
    <s v=""/>
    <s v=""/>
    <s v=""/>
    <s v=""/>
    <s v=""/>
  </r>
  <r>
    <s v="Das_Nonnentunier.csv"/>
    <s v="#Frauwe"/>
    <x v="1"/>
    <s v="unbekannt"/>
    <x v="3"/>
    <x v="6"/>
    <x v="1"/>
    <x v="2"/>
    <x v="1"/>
    <n v="0.19047619047618999"/>
    <n v="0"/>
    <n v="0.269230769230769"/>
    <n v="0.24088269569041801"/>
    <x v="6"/>
    <x v="0"/>
    <s v=""/>
    <s v=""/>
    <s v=""/>
    <s v=""/>
    <s v=""/>
  </r>
  <r>
    <s v="Das_Nonnentunier.csv"/>
    <s v="#Zagel"/>
    <x v="4"/>
    <s v="NA"/>
    <x v="4"/>
    <x v="3"/>
    <x v="0"/>
    <x v="0"/>
    <x v="1"/>
    <n v="1.71428571428571"/>
    <n v="0.57142857142857195"/>
    <n v="0.53846153846153799"/>
    <n v="1"/>
    <x v="3"/>
    <x v="0"/>
    <s v=""/>
    <s v=""/>
    <s v=""/>
    <s v=""/>
    <s v=""/>
  </r>
  <r>
    <s v="Das_Nonnentunier.csv"/>
    <s v="#Nunnen"/>
    <x v="2"/>
    <s v="klerus:nonne"/>
    <x v="3"/>
    <x v="3"/>
    <x v="0"/>
    <x v="4"/>
    <x v="1"/>
    <n v="1.1428571428571399"/>
    <n v="0.24960317460317499"/>
    <n v="0.4375"/>
    <n v="0.81779060142865101"/>
    <x v="3"/>
    <x v="0"/>
    <s v=""/>
    <s v=""/>
    <s v=""/>
    <s v=""/>
    <s v=""/>
  </r>
  <r>
    <s v="Das_Nonnentunier.csv"/>
    <s v="#Eine-nunne4"/>
    <x v="1"/>
    <s v="klerus:nonne"/>
    <x v="3"/>
    <x v="3"/>
    <x v="1"/>
    <x v="4"/>
    <x v="1"/>
    <n v="0.38095238095238099"/>
    <n v="2.5000000000000001E-2"/>
    <n v="0.41176470588235298"/>
    <n v="0.17153346696921101"/>
    <x v="3"/>
    <x v="0"/>
    <s v=""/>
    <s v=""/>
    <s v=""/>
    <s v=""/>
    <s v=""/>
  </r>
  <r>
    <s v="Das_Nonnentunier.csv"/>
    <s v="#Ein-nunne2"/>
    <x v="1"/>
    <s v="klerus:nonne"/>
    <x v="3"/>
    <x v="3"/>
    <x v="1"/>
    <x v="4"/>
    <x v="1"/>
    <n v="9.5238095238095205E-2"/>
    <n v="0"/>
    <n v="0.308823529411765"/>
    <n v="4.6771871787378599E-2"/>
    <x v="3"/>
    <x v="0"/>
    <s v=""/>
    <s v=""/>
    <s v=""/>
    <s v=""/>
    <s v=""/>
  </r>
  <r>
    <s v="Das_Nonnentunier.csv"/>
    <s v="#Ein-scharpfe-nunne"/>
    <x v="1"/>
    <s v="klerus:nonne"/>
    <x v="3"/>
    <x v="3"/>
    <x v="1"/>
    <x v="4"/>
    <x v="1"/>
    <n v="0.28571428571428598"/>
    <n v="2.6190476190476202E-2"/>
    <n v="0.42"/>
    <n v="0.11027159999845899"/>
    <x v="3"/>
    <x v="0"/>
    <s v=""/>
    <s v=""/>
    <s v=""/>
    <s v=""/>
    <s v=""/>
  </r>
  <r>
    <s v="Das_Nonnentunier.csv"/>
    <s v="#Ein-zarte-nunne"/>
    <x v="1"/>
    <s v="klerus:nonne"/>
    <x v="3"/>
    <x v="3"/>
    <x v="1"/>
    <x v="4"/>
    <x v="1"/>
    <n v="0.28571428571428598"/>
    <n v="2.6190476190476202E-2"/>
    <n v="0.42"/>
    <n v="0.11027159999845899"/>
    <x v="3"/>
    <x v="0"/>
    <s v=""/>
    <s v=""/>
    <s v=""/>
    <s v=""/>
    <s v=""/>
  </r>
  <r>
    <s v="Das_Nonnentunier.csv"/>
    <s v="#Ein-biederbe-nunne-frum"/>
    <x v="1"/>
    <s v="klerus:nonne"/>
    <x v="3"/>
    <x v="3"/>
    <x v="1"/>
    <x v="4"/>
    <x v="1"/>
    <n v="0.19047619047618999"/>
    <n v="3.0158730158730201E-2"/>
    <n v="0.36842105263157898"/>
    <n v="6.4154744215901102E-2"/>
    <x v="3"/>
    <x v="0"/>
    <s v=""/>
    <s v=""/>
    <s v=""/>
    <s v=""/>
    <s v=""/>
  </r>
  <r>
    <s v="Das_Nonnentunier.csv"/>
    <s v="#Die-den-segen-las-zu-tische"/>
    <x v="1"/>
    <s v="klerus:nonne"/>
    <x v="3"/>
    <x v="3"/>
    <x v="1"/>
    <x v="4"/>
    <x v="1"/>
    <n v="0.28571428571428598"/>
    <n v="2.3809523809523799E-3"/>
    <n v="0.28000000000000003"/>
    <n v="0.12172433669804"/>
    <x v="3"/>
    <x v="0"/>
    <s v=""/>
    <s v=""/>
    <s v=""/>
    <s v=""/>
    <s v=""/>
  </r>
  <r>
    <s v="Das_Nonnentunier.csv"/>
    <s v="#Ein-zarte-nunne-frische"/>
    <x v="1"/>
    <s v="klerus:nonne"/>
    <x v="3"/>
    <x v="3"/>
    <x v="1"/>
    <x v="4"/>
    <x v="1"/>
    <n v="0.19047619047618999"/>
    <n v="3.0158730158730201E-2"/>
    <n v="0.36842105263157898"/>
    <n v="6.4154744215901102E-2"/>
    <x v="3"/>
    <x v="0"/>
    <s v=""/>
    <s v=""/>
    <s v=""/>
    <s v=""/>
    <s v=""/>
  </r>
  <r>
    <s v="Das_Nonnentunier.csv"/>
    <s v="#Kuesterin"/>
    <x v="1"/>
    <s v="klerus:kuesterin"/>
    <x v="3"/>
    <x v="18"/>
    <x v="1"/>
    <x v="4"/>
    <x v="1"/>
    <n v="0.57142857142857095"/>
    <n v="6.7857142857142894E-2"/>
    <n v="0.42"/>
    <n v="0.42105361410368097"/>
    <x v="13"/>
    <x v="0"/>
    <s v=""/>
    <s v=""/>
    <s v=""/>
    <s v=""/>
    <s v=""/>
  </r>
  <r>
    <s v="Das_Nonnentunier.csv"/>
    <s v="#Eine-nunne1"/>
    <x v="1"/>
    <s v="klerus:nonne"/>
    <x v="3"/>
    <x v="3"/>
    <x v="1"/>
    <x v="4"/>
    <x v="1"/>
    <n v="0.57142857142857095"/>
    <n v="0.14285714285714299"/>
    <n v="0.47727272727272702"/>
    <n v="0.20194819966113201"/>
    <x v="3"/>
    <x v="0"/>
    <s v=""/>
    <s v=""/>
    <s v=""/>
    <s v=""/>
    <s v=""/>
  </r>
  <r>
    <s v="Das_Nonnentunier.csv"/>
    <s v="#Aptissinne"/>
    <x v="1"/>
    <s v="klerus:abt"/>
    <x v="3"/>
    <x v="3"/>
    <x v="1"/>
    <x v="4"/>
    <x v="1"/>
    <n v="0.66666666666666696"/>
    <n v="2.3015873015873E-2"/>
    <n v="0.33333333333333298"/>
    <n v="0.47947159594871502"/>
    <x v="3"/>
    <x v="0"/>
    <s v=""/>
    <s v=""/>
    <s v=""/>
    <s v=""/>
    <s v=""/>
  </r>
  <r>
    <s v="Das_Nonnentunier.csv"/>
    <s v="#Eine-nunne5"/>
    <x v="1"/>
    <s v="klerus:nonne"/>
    <x v="3"/>
    <x v="3"/>
    <x v="1"/>
    <x v="4"/>
    <x v="1"/>
    <n v="9.5238095238095205E-2"/>
    <n v="0"/>
    <n v="0.308823529411765"/>
    <n v="4.6771871787378599E-2"/>
    <x v="3"/>
    <x v="0"/>
    <s v=""/>
    <s v=""/>
    <s v=""/>
    <s v=""/>
    <s v=""/>
  </r>
  <r>
    <s v="Das_Nonnentunier.csv"/>
    <s v="#Kovent"/>
    <x v="2"/>
    <s v="klerus:nonne"/>
    <x v="3"/>
    <x v="3"/>
    <x v="1"/>
    <x v="4"/>
    <x v="1"/>
    <n v="0.28571428571428598"/>
    <n v="3.57142857142857E-3"/>
    <n v="0.328125"/>
    <n v="0.23535208348911399"/>
    <x v="3"/>
    <x v="0"/>
    <s v=""/>
    <s v=""/>
    <s v=""/>
    <s v=""/>
    <s v=""/>
  </r>
  <r>
    <s v="Das_Nonnentunier.csv"/>
    <s v="#Eine-nunne3"/>
    <x v="1"/>
    <s v="klerus:nonne"/>
    <x v="3"/>
    <x v="3"/>
    <x v="1"/>
    <x v="4"/>
    <x v="1"/>
    <n v="0.19047619047618999"/>
    <n v="2.6190476190476202E-2"/>
    <n v="0.41176470588235298"/>
    <n v="0.103964839896415"/>
    <x v="3"/>
    <x v="0"/>
    <s v=""/>
    <s v=""/>
    <s v=""/>
    <s v=""/>
    <s v=""/>
  </r>
  <r>
    <s v="Das_Nonnentunier.csv"/>
    <s v="#Dirnen"/>
    <x v="2"/>
    <s v="klerus:magd"/>
    <x v="3"/>
    <x v="18"/>
    <x v="1"/>
    <x v="4"/>
    <x v="1"/>
    <n v="0.28571428571428598"/>
    <n v="0"/>
    <n v="0.33333333333333298"/>
    <n v="0.16167614041103501"/>
    <x v="13"/>
    <x v="0"/>
    <s v=""/>
    <s v=""/>
    <s v=""/>
    <s v=""/>
    <s v=""/>
  </r>
  <r>
    <s v="Das_Nonnentunier.csv"/>
    <s v="#Eine-nunne"/>
    <x v="1"/>
    <s v="klerus:nonne"/>
    <x v="3"/>
    <x v="18"/>
    <x v="1"/>
    <x v="4"/>
    <x v="1"/>
    <n v="0.57142857142857095"/>
    <n v="3.2142857142857098E-2"/>
    <n v="0.375"/>
    <n v="0.212178515598762"/>
    <x v="13"/>
    <x v="0"/>
    <s v=""/>
    <s v=""/>
    <s v=""/>
    <s v=""/>
    <s v=""/>
  </r>
  <r>
    <s v="Das_Nonnentunier.csv"/>
    <s v="#Adelheit"/>
    <x v="1"/>
    <s v="klerus:nonne"/>
    <x v="3"/>
    <x v="18"/>
    <x v="1"/>
    <x v="4"/>
    <x v="1"/>
    <n v="0.57142857142857095"/>
    <n v="3.2142857142857098E-2"/>
    <n v="0.375"/>
    <n v="0.212178515598762"/>
    <x v="13"/>
    <x v="0"/>
    <s v=""/>
    <s v=""/>
    <s v=""/>
    <s v=""/>
    <s v=""/>
  </r>
  <r>
    <s v="Das_Nonnentunier.csv"/>
    <s v="#Margreth"/>
    <x v="1"/>
    <s v="klerus:nonne"/>
    <x v="3"/>
    <x v="18"/>
    <x v="1"/>
    <x v="4"/>
    <x v="1"/>
    <n v="0.38095238095238099"/>
    <n v="3.6904761904761899E-2"/>
    <n v="0.41176470588235298"/>
    <n v="8.6404962527457205E-2"/>
    <x v="13"/>
    <x v="0"/>
    <s v=""/>
    <s v=""/>
    <s v=""/>
    <s v=""/>
    <s v=""/>
  </r>
  <r>
    <s v="Das_Nonnentunier.csv"/>
    <s v="#Ein-alte-nunne"/>
    <x v="1"/>
    <s v="klerus:nonne"/>
    <x v="2"/>
    <x v="18"/>
    <x v="1"/>
    <x v="4"/>
    <x v="1"/>
    <n v="0.38095238095238099"/>
    <n v="3.6904761904761899E-2"/>
    <n v="0.41176470588235298"/>
    <n v="8.6404962527457205E-2"/>
    <x v="13"/>
    <x v="0"/>
    <s v=""/>
    <s v=""/>
    <s v=""/>
    <s v=""/>
    <s v=""/>
  </r>
  <r>
    <s v="Das_Raedlein.csv"/>
    <s v="#Burgaere"/>
    <x v="0"/>
    <s v="buergerlich:wirt"/>
    <x v="3"/>
    <x v="0"/>
    <x v="1"/>
    <x v="3"/>
    <x v="2"/>
    <n v="2"/>
    <n v="3.3333333333333298E-2"/>
    <n v="0.625"/>
    <n v="0.168506529429229"/>
    <x v="0"/>
    <x v="1"/>
    <s v=""/>
    <s v=""/>
    <s v=""/>
    <s v=""/>
    <s v=""/>
  </r>
  <r>
    <s v="Das_Raedlein.csv"/>
    <s v="#Vrouwe"/>
    <x v="1"/>
    <s v="buergerlich:ehefrau"/>
    <x v="3"/>
    <x v="1"/>
    <x v="1"/>
    <x v="3"/>
    <x v="2"/>
    <n v="1.6"/>
    <n v="0"/>
    <n v="0.625"/>
    <n v="0.10730849775602801"/>
    <x v="1"/>
    <x v="1"/>
    <s v=""/>
    <s v=""/>
    <s v=""/>
    <s v=""/>
    <s v=""/>
  </r>
  <r>
    <s v="Das_Raedlein.csv"/>
    <s v="#Schribaerc"/>
    <x v="0"/>
    <s v="buergerlich:schreiber"/>
    <x v="3"/>
    <x v="19"/>
    <x v="0"/>
    <x v="3"/>
    <x v="2"/>
    <n v="2"/>
    <n v="3.3333333333333298E-2"/>
    <n v="0.625"/>
    <n v="1"/>
    <x v="4"/>
    <x v="1"/>
    <n v="1"/>
    <s v=""/>
    <s v=""/>
    <s v=""/>
    <s v=""/>
  </r>
  <r>
    <s v="Das_Raedlein.csv"/>
    <s v="#Meidin"/>
    <x v="1"/>
    <s v="buergerlich:magd"/>
    <x v="3"/>
    <x v="14"/>
    <x v="0"/>
    <x v="3"/>
    <x v="2"/>
    <n v="2"/>
    <n v="0.133333333333333"/>
    <n v="0.71428571428571397"/>
    <n v="0.99560269402820301"/>
    <x v="5"/>
    <x v="1"/>
    <s v=""/>
    <n v="2"/>
    <s v=""/>
    <s v=""/>
    <s v=""/>
  </r>
  <r>
    <s v="Das_Raedlein.csv"/>
    <s v="#Geste"/>
    <x v="2"/>
    <s v="unbekannt"/>
    <x v="3"/>
    <x v="3"/>
    <x v="1"/>
    <x v="2"/>
    <x v="2"/>
    <n v="1.6"/>
    <n v="0.233333333333333"/>
    <n v="0.83333333333333304"/>
    <n v="7.1600165582172803E-2"/>
    <x v="3"/>
    <x v="1"/>
    <s v=""/>
    <s v=""/>
    <s v=""/>
    <s v=""/>
    <s v=""/>
  </r>
  <r>
    <s v="Das_Raedlein.csv"/>
    <s v="#Gesinde"/>
    <x v="2"/>
    <s v="unbekannt"/>
    <x v="3"/>
    <x v="3"/>
    <x v="1"/>
    <x v="2"/>
    <x v="2"/>
    <n v="1.2"/>
    <n v="0.133333333333333"/>
    <n v="0.71428571428571397"/>
    <n v="6.8217561785456099E-2"/>
    <x v="3"/>
    <x v="1"/>
    <s v=""/>
    <s v=""/>
    <s v=""/>
    <s v=""/>
    <s v=""/>
  </r>
  <r>
    <s v="Das_Schneekind.csv"/>
    <s v="#Koufman"/>
    <x v="0"/>
    <s v="buergerlich:kaufmann"/>
    <x v="3"/>
    <x v="0"/>
    <x v="0"/>
    <x v="3"/>
    <x v="3"/>
    <n v="2"/>
    <n v="8.3333333333333301E-2"/>
    <n v="0.5"/>
    <n v="1"/>
    <x v="0"/>
    <x v="1"/>
    <s v=""/>
    <s v=""/>
    <s v=""/>
    <s v=""/>
    <s v=""/>
  </r>
  <r>
    <s v="Das_Schneekind.csv"/>
    <s v="#Wip"/>
    <x v="1"/>
    <s v="buergerlich:ehefrau"/>
    <x v="3"/>
    <x v="1"/>
    <x v="0"/>
    <x v="3"/>
    <x v="3"/>
    <n v="1"/>
    <n v="0"/>
    <n v="0.33333333333333298"/>
    <n v="0.82263730161023896"/>
    <x v="1"/>
    <x v="1"/>
    <s v=""/>
    <s v=""/>
    <s v=""/>
    <s v=""/>
    <s v=""/>
  </r>
  <r>
    <s v="Das_Schneekind.csv"/>
    <s v="#Schneekind"/>
    <x v="0"/>
    <s v="buergerlich:NA"/>
    <x v="1"/>
    <x v="2"/>
    <x v="1"/>
    <x v="3"/>
    <x v="3"/>
    <n v="2"/>
    <n v="0.58333333333333304"/>
    <n v="0.66666666666666696"/>
    <n v="0.76761399408651498"/>
    <x v="2"/>
    <x v="1"/>
    <s v=""/>
    <s v=""/>
    <s v=""/>
    <s v=""/>
    <s v=""/>
  </r>
  <r>
    <s v="Das_Schneekind.csv"/>
    <s v="#Knehte"/>
    <x v="0"/>
    <s v="buergerlich:knecht"/>
    <x v="3"/>
    <x v="3"/>
    <x v="1"/>
    <x v="3"/>
    <x v="3"/>
    <n v="1"/>
    <n v="0.16666666666666699"/>
    <n v="0.57142857142857095"/>
    <n v="0.19297428142401599"/>
    <x v="3"/>
    <x v="1"/>
    <s v=""/>
    <s v=""/>
    <s v=""/>
    <s v=""/>
    <s v=""/>
  </r>
  <r>
    <s v="Das_Schneekind.csv"/>
    <s v="#Fremder-koufman"/>
    <x v="0"/>
    <s v="buergerlich:kaufmann"/>
    <x v="3"/>
    <x v="3"/>
    <x v="1"/>
    <x v="3"/>
    <x v="3"/>
    <n v="1"/>
    <n v="0.16666666666666699"/>
    <n v="0.57142857142857095"/>
    <n v="0.19297428142401599"/>
    <x v="3"/>
    <x v="1"/>
    <s v=""/>
    <s v=""/>
    <s v=""/>
    <s v=""/>
    <s v=""/>
  </r>
  <r>
    <s v="Das_Schraetel_und_der_Wasserbaer.csv"/>
    <s v="#Schretel"/>
    <x v="4"/>
    <s v="NA"/>
    <x v="4"/>
    <x v="11"/>
    <x v="1"/>
    <x v="0"/>
    <x v="1"/>
    <n v="0.85714285714285698"/>
    <n v="4.7619047619047603E-2"/>
    <n v="0.20588235294117599"/>
    <n v="0.65897274749892398"/>
    <x v="10"/>
    <x v="3"/>
    <s v=""/>
    <s v=""/>
    <s v=""/>
    <s v=""/>
    <n v="5"/>
  </r>
  <r>
    <s v="Das_Schraetel_und_der_Wasserbaer.csv"/>
    <s v="#Kuenige-von-Norwegen"/>
    <x v="0"/>
    <s v="adel:koenig"/>
    <x v="3"/>
    <x v="3"/>
    <x v="1"/>
    <x v="1"/>
    <x v="1"/>
    <n v="0.28571428571428598"/>
    <n v="0"/>
    <n v="0.194444444444444"/>
    <n v="3.1951668996922401E-3"/>
    <x v="3"/>
    <x v="3"/>
    <s v=""/>
    <s v=""/>
    <s v=""/>
    <s v=""/>
    <s v=""/>
  </r>
  <r>
    <s v="Das_Schraetel_und_der_Wasserbaer.csv"/>
    <s v="#Kuenige-von-Tenemarken"/>
    <x v="0"/>
    <s v="adel:koenig"/>
    <x v="3"/>
    <x v="3"/>
    <x v="1"/>
    <x v="1"/>
    <x v="1"/>
    <n v="0.85714285714285698"/>
    <n v="0.42857142857142899"/>
    <n v="0.233333333333333"/>
    <n v="7.8343427975868102E-2"/>
    <x v="3"/>
    <x v="3"/>
    <s v=""/>
    <s v=""/>
    <s v=""/>
    <s v=""/>
    <s v=""/>
  </r>
  <r>
    <s v="Das_Schraetel_und_der_Wasserbaer.csv"/>
    <s v="#Wazzer-ber"/>
    <x v="5"/>
    <s v="NA"/>
    <x v="4"/>
    <x v="6"/>
    <x v="1"/>
    <x v="0"/>
    <x v="1"/>
    <n v="1.1428571428571399"/>
    <n v="0.33333333333333298"/>
    <n v="0.233333333333333"/>
    <n v="1"/>
    <x v="6"/>
    <x v="3"/>
    <s v=""/>
    <s v=""/>
    <s v=""/>
    <s v=""/>
    <s v=""/>
  </r>
  <r>
    <s v="Das_Schraetel_und_der_Wasserbaer.csv"/>
    <s v="#Norman"/>
    <x v="0"/>
    <s v="unbekannt"/>
    <x v="3"/>
    <x v="20"/>
    <x v="0"/>
    <x v="2"/>
    <x v="1"/>
    <n v="1.1428571428571399"/>
    <n v="0.14285714285714299"/>
    <n v="0.20588235294117599"/>
    <n v="0.91773506920194703"/>
    <x v="14"/>
    <x v="3"/>
    <s v=""/>
    <s v=""/>
    <s v=""/>
    <s v=""/>
    <s v=""/>
  </r>
  <r>
    <s v="Das_Schraetel_und_der_Wasserbaer.csv"/>
    <s v="#Wirt"/>
    <x v="0"/>
    <s v="bauer"/>
    <x v="3"/>
    <x v="6"/>
    <x v="1"/>
    <x v="5"/>
    <x v="1"/>
    <n v="1.4285714285714299"/>
    <n v="0.476190476190476"/>
    <n v="0.194444444444444"/>
    <n v="0.68087615945596203"/>
    <x v="6"/>
    <x v="3"/>
    <s v=""/>
    <s v=""/>
    <s v=""/>
    <s v=""/>
    <s v=""/>
  </r>
  <r>
    <s v="Das_Schraetel_und_der_Wasserbaer.csv"/>
    <s v="#Wip"/>
    <x v="1"/>
    <s v="bauer"/>
    <x v="3"/>
    <x v="1"/>
    <x v="1"/>
    <x v="5"/>
    <x v="1"/>
    <n v="0.57142857142857095"/>
    <n v="0"/>
    <n v="0.17073170731707299"/>
    <n v="2.89496115589159E-2"/>
    <x v="1"/>
    <x v="3"/>
    <s v=""/>
    <s v=""/>
    <s v=""/>
    <s v=""/>
    <s v=""/>
  </r>
  <r>
    <s v="Das_Schraetel_und_der_Wasserbaer.csv"/>
    <s v="#Kint"/>
    <x v="2"/>
    <s v="bauer"/>
    <x v="1"/>
    <x v="2"/>
    <x v="1"/>
    <x v="5"/>
    <x v="1"/>
    <n v="0.57142857142857095"/>
    <n v="0"/>
    <n v="0.17073170731707299"/>
    <n v="2.8949611558916E-2"/>
    <x v="2"/>
    <x v="3"/>
    <s v=""/>
    <s v=""/>
    <s v=""/>
    <s v=""/>
    <s v=""/>
  </r>
  <r>
    <s v="Das_warme_Almosen.csv"/>
    <s v="#Man"/>
    <x v="0"/>
    <s v="unbekannt"/>
    <x v="3"/>
    <x v="0"/>
    <x v="0"/>
    <x v="2"/>
    <x v="3"/>
    <n v="0"/>
    <n v="0"/>
    <n v="0"/>
    <n v="0"/>
    <x v="0"/>
    <x v="1"/>
    <s v=""/>
    <s v=""/>
    <s v=""/>
    <s v=""/>
    <s v=""/>
  </r>
  <r>
    <s v="Das_warme_Almosen.csv"/>
    <s v="#Wip"/>
    <x v="1"/>
    <s v="unbekannt"/>
    <x v="3"/>
    <x v="0"/>
    <x v="0"/>
    <x v="2"/>
    <x v="3"/>
    <n v="0"/>
    <n v="0"/>
    <n v="0"/>
    <n v="0"/>
    <x v="0"/>
    <x v="1"/>
    <s v=""/>
    <s v=""/>
    <s v=""/>
    <s v=""/>
    <s v=""/>
  </r>
  <r>
    <s v="Das_warme_Almosen.csv"/>
    <s v="#Armer-man"/>
    <x v="0"/>
    <s v="unbekannt"/>
    <x v="3"/>
    <x v="6"/>
    <x v="0"/>
    <x v="2"/>
    <x v="3"/>
    <n v="0"/>
    <n v="0"/>
    <n v="0"/>
    <n v="0"/>
    <x v="6"/>
    <x v="1"/>
    <s v=""/>
    <s v=""/>
    <s v=""/>
    <s v=""/>
    <s v=""/>
  </r>
  <r>
    <s v="Der_begrabene_Ehemann.csv"/>
    <s v="#Wip"/>
    <x v="1"/>
    <s v="unbekannt"/>
    <x v="3"/>
    <x v="13"/>
    <x v="0"/>
    <x v="2"/>
    <x v="3"/>
    <n v="0"/>
    <n v="0"/>
    <n v="0"/>
    <n v="0"/>
    <x v="4"/>
    <x v="1"/>
    <n v="1"/>
    <s v=""/>
    <s v=""/>
    <s v=""/>
    <s v=""/>
  </r>
  <r>
    <s v="Der_begrabene_Ehemann.csv"/>
    <s v="#Man"/>
    <x v="0"/>
    <s v="unbekannt"/>
    <x v="3"/>
    <x v="7"/>
    <x v="0"/>
    <x v="2"/>
    <x v="3"/>
    <n v="0"/>
    <n v="0"/>
    <n v="0"/>
    <n v="0"/>
    <x v="5"/>
    <x v="1"/>
    <s v=""/>
    <n v="2"/>
    <s v=""/>
    <s v=""/>
    <s v=""/>
  </r>
  <r>
    <s v="Der_begrabene_Ehemann.csv"/>
    <s v="#Pfaffe"/>
    <x v="0"/>
    <s v="klerus:pfarrer"/>
    <x v="3"/>
    <x v="6"/>
    <x v="1"/>
    <x v="4"/>
    <x v="3"/>
    <n v="0"/>
    <n v="0"/>
    <n v="0"/>
    <n v="0"/>
    <x v="6"/>
    <x v="1"/>
    <s v=""/>
    <s v=""/>
    <s v=""/>
    <s v=""/>
    <s v=""/>
  </r>
  <r>
    <s v="Der_Bildschnitzer_von_Wuerzburg.csv"/>
    <s v="#Man"/>
    <x v="0"/>
    <s v="buergerlich:maler"/>
    <x v="3"/>
    <x v="21"/>
    <x v="0"/>
    <x v="3"/>
    <x v="3"/>
    <n v="2"/>
    <n v="0"/>
    <n v="0.6"/>
    <n v="1"/>
    <x v="4"/>
    <x v="1"/>
    <n v="1"/>
    <s v=""/>
    <s v=""/>
    <s v=""/>
    <s v=""/>
  </r>
  <r>
    <s v="Der_Bildschnitzer_von_Wuerzburg.csv"/>
    <s v="#Weib"/>
    <x v="1"/>
    <s v="buergerlich:ehefrau"/>
    <x v="3"/>
    <x v="13"/>
    <x v="0"/>
    <x v="3"/>
    <x v="3"/>
    <n v="2"/>
    <n v="0"/>
    <n v="0.6"/>
    <n v="0.96349394369014196"/>
    <x v="4"/>
    <x v="1"/>
    <n v="1"/>
    <s v=""/>
    <s v=""/>
    <s v=""/>
    <s v=""/>
  </r>
  <r>
    <s v="Der_Bildschnitzer_von_Wuerzburg.csv"/>
    <s v="#Probst"/>
    <x v="0"/>
    <s v="klerus:probst"/>
    <x v="3"/>
    <x v="14"/>
    <x v="0"/>
    <x v="4"/>
    <x v="3"/>
    <n v="2"/>
    <n v="0"/>
    <n v="0.6"/>
    <n v="0.92041396180808299"/>
    <x v="5"/>
    <x v="1"/>
    <s v=""/>
    <n v="2"/>
    <s v=""/>
    <s v=""/>
    <s v=""/>
  </r>
  <r>
    <s v="Der_Bildschnitzer_von_Wuerzburg.csv"/>
    <s v="#Meit"/>
    <x v="1"/>
    <s v="buergerlich:magd"/>
    <x v="3"/>
    <x v="15"/>
    <x v="1"/>
    <x v="3"/>
    <x v="3"/>
    <n v="2"/>
    <n v="1"/>
    <n v="1"/>
    <n v="0.17788024419939399"/>
    <x v="12"/>
    <x v="1"/>
    <s v=""/>
    <s v=""/>
    <s v=""/>
    <s v=""/>
    <s v=""/>
  </r>
  <r>
    <s v="Der_blossgestellte_Ritter.csv"/>
    <s v="#Ritter"/>
    <x v="0"/>
    <s v="adel:ritter"/>
    <x v="3"/>
    <x v="14"/>
    <x v="0"/>
    <x v="1"/>
    <x v="1"/>
    <n v="2"/>
    <n v="0.3"/>
    <n v="0.625"/>
    <n v="0.98828583836448602"/>
    <x v="5"/>
    <x v="1"/>
    <s v=""/>
    <n v="2"/>
    <s v=""/>
    <s v=""/>
    <s v=""/>
  </r>
  <r>
    <s v="Der_blossgestellte_Ritter.csv"/>
    <s v="#Wirt"/>
    <x v="0"/>
    <s v="buergerlich:wirt"/>
    <x v="3"/>
    <x v="4"/>
    <x v="0"/>
    <x v="3"/>
    <x v="1"/>
    <n v="2"/>
    <n v="0"/>
    <n v="0.55555555555555602"/>
    <n v="1"/>
    <x v="4"/>
    <x v="1"/>
    <n v="1"/>
    <s v=""/>
    <s v=""/>
    <s v=""/>
    <s v=""/>
  </r>
  <r>
    <s v="Der_blossgestellte_Ritter.csv"/>
    <s v="#Tohter"/>
    <x v="2"/>
    <s v="buergerlich:NA"/>
    <x v="3"/>
    <x v="2"/>
    <x v="1"/>
    <x v="3"/>
    <x v="1"/>
    <n v="1.6"/>
    <n v="0"/>
    <n v="0.5"/>
    <n v="0.79645360513706398"/>
    <x v="2"/>
    <x v="1"/>
    <s v=""/>
    <s v=""/>
    <s v=""/>
    <s v=""/>
    <s v=""/>
  </r>
  <r>
    <s v="Der_blossgestellte_Ritter.csv"/>
    <s v="#Vrouwe"/>
    <x v="1"/>
    <s v="buergerlich:ehefrau"/>
    <x v="3"/>
    <x v="1"/>
    <x v="1"/>
    <x v="3"/>
    <x v="1"/>
    <n v="1.6"/>
    <n v="0"/>
    <n v="0.5"/>
    <n v="0.67101642522730098"/>
    <x v="1"/>
    <x v="1"/>
    <s v=""/>
    <s v=""/>
    <s v=""/>
    <s v=""/>
    <s v=""/>
  </r>
  <r>
    <s v="Der_blossgestellte_Ritter.csv"/>
    <s v="#Koch"/>
    <x v="0"/>
    <s v="buergerlich:koch"/>
    <x v="3"/>
    <x v="3"/>
    <x v="1"/>
    <x v="3"/>
    <x v="1"/>
    <n v="1.6"/>
    <n v="0.8"/>
    <n v="0.83333333333333304"/>
    <n v="0.26891264395280701"/>
    <x v="3"/>
    <x v="1"/>
    <s v=""/>
    <s v=""/>
    <s v=""/>
    <s v=""/>
    <s v=""/>
  </r>
  <r>
    <s v="Der_blossgestellte_Ritter.csv"/>
    <s v="#Kneht"/>
    <x v="2"/>
    <s v="buergerlich:knecht"/>
    <x v="3"/>
    <x v="3"/>
    <x v="1"/>
    <x v="3"/>
    <x v="1"/>
    <n v="0.8"/>
    <n v="0"/>
    <n v="0.45454545454545497"/>
    <n v="0.23253605758236401"/>
    <x v="3"/>
    <x v="1"/>
    <s v=""/>
    <s v=""/>
    <s v=""/>
    <s v=""/>
    <s v=""/>
  </r>
  <r>
    <s v="Der_entlaufene_Hasenbraten.csv"/>
    <s v="#Ritter"/>
    <x v="0"/>
    <s v="adel:ritter"/>
    <x v="3"/>
    <x v="0"/>
    <x v="0"/>
    <x v="1"/>
    <x v="3"/>
    <n v="2"/>
    <n v="0"/>
    <n v="0.38461538461538503"/>
    <n v="1"/>
    <x v="0"/>
    <x v="1"/>
    <s v=""/>
    <s v=""/>
    <s v=""/>
    <s v=""/>
    <s v=""/>
  </r>
  <r>
    <s v="Der_entlaufene_Hasenbraten.csv"/>
    <s v="#Hus-vrouwe"/>
    <x v="1"/>
    <s v="adel:edelfrau"/>
    <x v="3"/>
    <x v="1"/>
    <x v="0"/>
    <x v="1"/>
    <x v="3"/>
    <n v="2"/>
    <n v="0"/>
    <n v="0.38461538461538503"/>
    <n v="0.922063291350257"/>
    <x v="1"/>
    <x v="1"/>
    <s v=""/>
    <s v=""/>
    <s v=""/>
    <s v=""/>
    <s v=""/>
  </r>
  <r>
    <s v="Der_entlaufene_Hasenbraten.csv"/>
    <s v="#Niftel"/>
    <x v="1"/>
    <s v="unbekannt"/>
    <x v="3"/>
    <x v="3"/>
    <x v="1"/>
    <x v="2"/>
    <x v="3"/>
    <n v="2"/>
    <n v="0.1"/>
    <n v="0.55555555555555602"/>
    <n v="0.426652358265807"/>
    <x v="3"/>
    <x v="1"/>
    <s v=""/>
    <s v=""/>
    <s v=""/>
    <s v=""/>
    <s v=""/>
  </r>
  <r>
    <s v="Der_entlaufene_Hasenbraten.csv"/>
    <s v="#Muome"/>
    <x v="1"/>
    <s v="unbekannt"/>
    <x v="3"/>
    <x v="3"/>
    <x v="1"/>
    <x v="2"/>
    <x v="3"/>
    <n v="2"/>
    <n v="0.1"/>
    <n v="0.55555555555555602"/>
    <n v="0.426652358265807"/>
    <x v="3"/>
    <x v="1"/>
    <s v=""/>
    <s v=""/>
    <s v=""/>
    <s v=""/>
    <s v=""/>
  </r>
  <r>
    <s v="Der_entlaufene_Hasenbraten.csv"/>
    <s v="#Base"/>
    <x v="1"/>
    <s v="unbekannt"/>
    <x v="3"/>
    <x v="3"/>
    <x v="1"/>
    <x v="2"/>
    <x v="3"/>
    <n v="2"/>
    <n v="0.1"/>
    <n v="0.55555555555555602"/>
    <n v="0.426652358265807"/>
    <x v="3"/>
    <x v="1"/>
    <s v=""/>
    <s v=""/>
    <s v=""/>
    <s v=""/>
    <s v=""/>
  </r>
  <r>
    <s v="Der_entlaufene_Hasenbraten.csv"/>
    <s v="#Pfaffe"/>
    <x v="0"/>
    <s v="klerus:pfarrer"/>
    <x v="3"/>
    <x v="6"/>
    <x v="1"/>
    <x v="4"/>
    <x v="3"/>
    <n v="2"/>
    <n v="0.15"/>
    <n v="0.55555555555555602"/>
    <n v="0.858133496191128"/>
    <x v="6"/>
    <x v="1"/>
    <s v=""/>
    <s v=""/>
    <s v=""/>
    <s v=""/>
    <s v=""/>
  </r>
  <r>
    <s v="Der_falsche_Blinde.csv"/>
    <s v="#Triegaere"/>
    <x v="0"/>
    <s v="unbekannt"/>
    <x v="3"/>
    <x v="4"/>
    <x v="0"/>
    <x v="2"/>
    <x v="1"/>
    <n v="2"/>
    <n v="0.83333333333333304"/>
    <n v="0.66666666666666696"/>
    <n v="1"/>
    <x v="4"/>
    <x v="1"/>
    <n v="1"/>
    <s v=""/>
    <s v=""/>
    <s v=""/>
    <s v=""/>
  </r>
  <r>
    <s v="Der_falsche_Blinde.csv"/>
    <s v="#Kinder"/>
    <x v="2"/>
    <s v="unbekannt"/>
    <x v="1"/>
    <x v="6"/>
    <x v="1"/>
    <x v="2"/>
    <x v="1"/>
    <n v="1"/>
    <n v="0"/>
    <n v="0.4"/>
    <n v="0.88682304343071905"/>
    <x v="6"/>
    <x v="1"/>
    <s v=""/>
    <s v=""/>
    <s v=""/>
    <s v=""/>
    <s v=""/>
  </r>
  <r>
    <s v="Der_falsche_Blinde.csv"/>
    <s v="#Wiben"/>
    <x v="2"/>
    <s v="unbekannt"/>
    <x v="3"/>
    <x v="3"/>
    <x v="1"/>
    <x v="2"/>
    <x v="1"/>
    <n v="1"/>
    <n v="0.5"/>
    <n v="0.57142857142857095"/>
    <n v="0.38186442808788801"/>
    <x v="3"/>
    <x v="1"/>
    <s v=""/>
    <s v=""/>
    <s v=""/>
    <s v=""/>
    <s v=""/>
  </r>
  <r>
    <s v="Der_falsche_Blinde.csv"/>
    <s v="#Liute"/>
    <x v="2"/>
    <s v="unbekannt"/>
    <x v="3"/>
    <x v="14"/>
    <x v="0"/>
    <x v="2"/>
    <x v="1"/>
    <n v="0.5"/>
    <n v="0"/>
    <n v="0.33333333333333298"/>
    <n v="0.40476973123410898"/>
    <x v="5"/>
    <x v="1"/>
    <s v=""/>
    <n v="2"/>
    <s v=""/>
    <s v=""/>
    <s v=""/>
  </r>
  <r>
    <s v="Der_falsche_Blinde.csv"/>
    <s v="#Ein-man"/>
    <x v="0"/>
    <s v="unbekannt"/>
    <x v="3"/>
    <x v="11"/>
    <x v="1"/>
    <x v="2"/>
    <x v="1"/>
    <n v="0.5"/>
    <n v="0"/>
    <n v="0.44444444444444398"/>
    <n v="0.20238486561705399"/>
    <x v="10"/>
    <x v="1"/>
    <s v=""/>
    <s v=""/>
    <s v=""/>
    <s v=""/>
    <n v="5"/>
  </r>
  <r>
    <s v="Der_Frauen_Trost.csv"/>
    <s v="#Ritter"/>
    <x v="0"/>
    <s v="adel:ritter"/>
    <x v="3"/>
    <x v="21"/>
    <x v="0"/>
    <x v="1"/>
    <x v="3"/>
    <n v="2"/>
    <n v="0.33333333333333298"/>
    <n v="0.75"/>
    <n v="0.99634281667130098"/>
    <x v="4"/>
    <x v="1"/>
    <n v="1"/>
    <s v=""/>
    <s v=""/>
    <s v=""/>
    <s v=""/>
  </r>
  <r>
    <s v="Der_Frauen_Trost.csv"/>
    <s v="#Wip"/>
    <x v="1"/>
    <s v="adel:edelfrau"/>
    <x v="3"/>
    <x v="5"/>
    <x v="0"/>
    <x v="1"/>
    <x v="3"/>
    <n v="2"/>
    <n v="0"/>
    <n v="0.6"/>
    <n v="1"/>
    <x v="5"/>
    <x v="1"/>
    <s v=""/>
    <n v="2"/>
    <s v=""/>
    <s v=""/>
    <s v=""/>
  </r>
  <r>
    <s v="Der_Frauen_Trost.csv"/>
    <s v="#Knehte"/>
    <x v="2"/>
    <s v="adel:knecht"/>
    <x v="3"/>
    <x v="3"/>
    <x v="1"/>
    <x v="1"/>
    <x v="3"/>
    <n v="1.3333333333333299"/>
    <n v="0"/>
    <n v="0.6"/>
    <n v="0.14745769345937701"/>
    <x v="3"/>
    <x v="1"/>
    <s v=""/>
    <s v=""/>
    <s v=""/>
    <s v=""/>
    <s v=""/>
  </r>
  <r>
    <s v="Der_Frauen_Trost.csv"/>
    <s v="#Gesinde"/>
    <x v="2"/>
    <s v="unbekannt"/>
    <x v="3"/>
    <x v="3"/>
    <x v="1"/>
    <x v="2"/>
    <x v="3"/>
    <n v="1.3333333333333299"/>
    <n v="0.33333333333333298"/>
    <n v="0.75"/>
    <n v="9.8245135857843793E-2"/>
    <x v="3"/>
    <x v="1"/>
    <s v=""/>
    <s v=""/>
    <s v=""/>
    <s v=""/>
    <s v=""/>
  </r>
  <r>
    <s v="Der_Frauen_Turnei.csv"/>
    <s v="#Rittergruppe"/>
    <x v="2"/>
    <s v="adel:ritter"/>
    <x v="3"/>
    <x v="3"/>
    <x v="0"/>
    <x v="1"/>
    <x v="1"/>
    <n v="1.1764705882352899"/>
    <n v="0.34558823529411797"/>
    <n v="0.32692307692307698"/>
    <n v="0.63172764852622498"/>
    <x v="3"/>
    <x v="0"/>
    <s v=""/>
    <s v=""/>
    <s v=""/>
    <s v=""/>
    <s v=""/>
  </r>
  <r>
    <s v="Der_Frauen_Turnei.csv"/>
    <s v="#Houb-(e)-tman"/>
    <x v="0"/>
    <s v="adel:hauptmann"/>
    <x v="3"/>
    <x v="3"/>
    <x v="1"/>
    <x v="1"/>
    <x v="1"/>
    <n v="0.11764705882352899"/>
    <n v="0"/>
    <n v="0.25373134328358199"/>
    <n v="4.7812033481528703E-2"/>
    <x v="3"/>
    <x v="0"/>
    <s v=""/>
    <s v=""/>
    <s v=""/>
    <s v=""/>
    <s v=""/>
  </r>
  <r>
    <s v="Der_Frauen_Turnei.csv"/>
    <s v="#Frauengruppe"/>
    <x v="2"/>
    <s v="adel:edelfrau"/>
    <x v="3"/>
    <x v="3"/>
    <x v="0"/>
    <x v="1"/>
    <x v="1"/>
    <n v="1.4117647058823499"/>
    <n v="0.41911764705882398"/>
    <n v="0.34"/>
    <n v="0.99563054250221905"/>
    <x v="3"/>
    <x v="0"/>
    <s v=""/>
    <s v=""/>
    <s v=""/>
    <s v=""/>
    <s v=""/>
  </r>
  <r>
    <s v="Der_Frauen_Turnei.csv"/>
    <s v="#Fremder-ritter"/>
    <x v="0"/>
    <s v="adel:ritter"/>
    <x v="3"/>
    <x v="18"/>
    <x v="1"/>
    <x v="1"/>
    <x v="1"/>
    <n v="0.11764705882352899"/>
    <n v="0"/>
    <n v="0.207317073170732"/>
    <n v="9.5624066963057502E-2"/>
    <x v="13"/>
    <x v="0"/>
    <s v=""/>
    <s v=""/>
    <s v=""/>
    <s v=""/>
    <s v=""/>
  </r>
  <r>
    <s v="Der_Frauen_Turnei.csv"/>
    <s v="#Eine-der-vrouwen-4"/>
    <x v="1"/>
    <s v="adel:edelfrau"/>
    <x v="3"/>
    <x v="3"/>
    <x v="1"/>
    <x v="1"/>
    <x v="1"/>
    <n v="0.35294117647058798"/>
    <n v="6.25E-2"/>
    <n v="0.30909090909090903"/>
    <n v="0.12961145898764301"/>
    <x v="3"/>
    <x v="0"/>
    <s v=""/>
    <s v=""/>
    <s v=""/>
    <s v=""/>
    <s v=""/>
  </r>
  <r>
    <s v="Der_Frauen_Turnei.csv"/>
    <s v="#Eine-der-vrouwen-3"/>
    <x v="1"/>
    <s v="adel:edelfrau"/>
    <x v="3"/>
    <x v="3"/>
    <x v="1"/>
    <x v="1"/>
    <x v="1"/>
    <n v="0.23529411764705899"/>
    <n v="0"/>
    <n v="0.28333333333333299"/>
    <n v="8.5163453547691698E-2"/>
    <x v="3"/>
    <x v="0"/>
    <s v=""/>
    <s v=""/>
    <s v=""/>
    <s v=""/>
    <s v=""/>
  </r>
  <r>
    <s v="Der_Frauen_Turnei.csv"/>
    <s v="#Eine-der-vrouwen-1"/>
    <x v="1"/>
    <s v="adel:edelfrau"/>
    <x v="3"/>
    <x v="6"/>
    <x v="0"/>
    <x v="1"/>
    <x v="1"/>
    <n v="0.11764705882352899"/>
    <n v="0"/>
    <n v="0.17894736842105299"/>
    <n v="0.226061599224302"/>
    <x v="6"/>
    <x v="0"/>
    <s v=""/>
    <s v=""/>
    <s v=""/>
    <s v=""/>
    <s v=""/>
  </r>
  <r>
    <s v="Der_Frauen_Turnei.csv"/>
    <s v="#Ein-vrouwe-wol-gezogen"/>
    <x v="1"/>
    <s v="adel:edelfrau"/>
    <x v="3"/>
    <x v="3"/>
    <x v="1"/>
    <x v="1"/>
    <x v="1"/>
    <n v="0"/>
    <n v="0"/>
    <n v="5.5555555555555601E-2"/>
    <n v="9.9831087659658595E-18"/>
    <x v="3"/>
    <x v="0"/>
    <s v=""/>
    <s v=""/>
    <s v=""/>
    <s v=""/>
    <s v=""/>
  </r>
  <r>
    <s v="Der_Frauen_Turnei.csv"/>
    <s v="#Eine-der-vrouwen-2"/>
    <x v="1"/>
    <s v="adel:edelfrau"/>
    <x v="3"/>
    <x v="3"/>
    <x v="1"/>
    <x v="1"/>
    <x v="1"/>
    <n v="0.11764705882352899"/>
    <n v="0"/>
    <n v="0.21249999999999999"/>
    <n v="0.15070773281620101"/>
    <x v="3"/>
    <x v="0"/>
    <s v=""/>
    <s v=""/>
    <s v=""/>
    <s v=""/>
    <s v=""/>
  </r>
  <r>
    <s v="Der_Frauen_Turnei.csv"/>
    <s v="#Junk-vrouwe"/>
    <x v="1"/>
    <s v="adel:edelfrau"/>
    <x v="0"/>
    <x v="3"/>
    <x v="0"/>
    <x v="1"/>
    <x v="1"/>
    <n v="0.70588235294117696"/>
    <n v="3.6764705882352902E-3"/>
    <n v="0.25373134328358199"/>
    <n v="1"/>
    <x v="3"/>
    <x v="0"/>
    <s v=""/>
    <s v=""/>
    <s v=""/>
    <s v=""/>
    <s v=""/>
  </r>
  <r>
    <s v="Der_Frauen_Turnei.csv"/>
    <s v="#Vater-der-junk-vrouwe"/>
    <x v="0"/>
    <s v="adel:unbekannt"/>
    <x v="2"/>
    <x v="3"/>
    <x v="1"/>
    <x v="1"/>
    <x v="1"/>
    <n v="0.35294117647058798"/>
    <n v="1.2867647058823499E-2"/>
    <n v="0.28333333333333299"/>
    <n v="0.33483352403769701"/>
    <x v="3"/>
    <x v="0"/>
    <s v=""/>
    <s v=""/>
    <s v=""/>
    <s v=""/>
    <s v=""/>
  </r>
  <r>
    <s v="Der_Frauen_Turnei.csv"/>
    <s v="#Knechte-der-ritter"/>
    <x v="2"/>
    <s v="adel:knecht"/>
    <x v="3"/>
    <x v="6"/>
    <x v="1"/>
    <x v="1"/>
    <x v="1"/>
    <n v="0.23529411764705899"/>
    <n v="2.9411764705882401E-2"/>
    <n v="0.30357142857142899"/>
    <n v="0.123165899889629"/>
    <x v="6"/>
    <x v="0"/>
    <s v=""/>
    <s v=""/>
    <s v=""/>
    <s v=""/>
    <s v=""/>
  </r>
  <r>
    <s v="Der_Frauen_Turnei.csv"/>
    <s v="#Einer-der-ritter-3"/>
    <x v="0"/>
    <s v="adel:ritter"/>
    <x v="3"/>
    <x v="3"/>
    <x v="1"/>
    <x v="1"/>
    <x v="1"/>
    <n v="0.35294117647058798"/>
    <n v="2.9411764705882401E-2"/>
    <n v="0.30909090909090903"/>
    <n v="0.133250939538475"/>
    <x v="3"/>
    <x v="0"/>
    <s v=""/>
    <s v=""/>
    <s v=""/>
    <s v=""/>
    <s v=""/>
  </r>
  <r>
    <s v="Der_Frauen_Turnei.csv"/>
    <s v="#Einer-der-ritter-2"/>
    <x v="0"/>
    <s v="adel:ritter"/>
    <x v="3"/>
    <x v="3"/>
    <x v="1"/>
    <x v="1"/>
    <x v="1"/>
    <n v="0.35294117647058798"/>
    <n v="2.9411764705882401E-2"/>
    <n v="0.30909090909090903"/>
    <n v="0.133250939538474"/>
    <x v="3"/>
    <x v="0"/>
    <s v=""/>
    <s v=""/>
    <s v=""/>
    <s v=""/>
    <s v=""/>
  </r>
  <r>
    <s v="Der_Frauen_Turnei.csv"/>
    <s v="#Einer-der-ritter"/>
    <x v="0"/>
    <s v="adel:ritter"/>
    <x v="3"/>
    <x v="3"/>
    <x v="1"/>
    <x v="1"/>
    <x v="1"/>
    <n v="0.35294117647058798"/>
    <n v="8.2720588235294101E-2"/>
    <n v="0.29310344827586199"/>
    <n v="0.177551862296327"/>
    <x v="3"/>
    <x v="0"/>
    <s v=""/>
    <s v=""/>
    <s v=""/>
    <s v=""/>
    <s v=""/>
  </r>
  <r>
    <s v="Der_Frauen_Turnei.csv"/>
    <s v="#Herzoge-Walraben-von-Limburk"/>
    <x v="0"/>
    <s v="adel:herzog"/>
    <x v="3"/>
    <x v="6"/>
    <x v="1"/>
    <x v="1"/>
    <x v="1"/>
    <n v="0.82352941176470595"/>
    <n v="0.13602941176470601"/>
    <n v="0.28333333333333299"/>
    <n v="0.714217760870416"/>
    <x v="6"/>
    <x v="0"/>
    <s v=""/>
    <s v=""/>
    <s v=""/>
    <s v=""/>
    <s v=""/>
  </r>
  <r>
    <s v="Der_Frauen_Turnei.csv"/>
    <s v="#Knecht-des-herzogs"/>
    <x v="0"/>
    <s v="adel:knecht"/>
    <x v="3"/>
    <x v="3"/>
    <x v="1"/>
    <x v="1"/>
    <x v="1"/>
    <n v="0.11764705882352899"/>
    <n v="0"/>
    <n v="0.22666666666666699"/>
    <n v="5.4055261908362101E-2"/>
    <x v="3"/>
    <x v="0"/>
    <s v=""/>
    <s v=""/>
    <s v=""/>
    <s v=""/>
    <s v=""/>
  </r>
  <r>
    <s v="Der_Frauen_Turnei.csv"/>
    <s v="#Richer-man"/>
    <x v="0"/>
    <s v="adel:ritter"/>
    <x v="3"/>
    <x v="3"/>
    <x v="1"/>
    <x v="1"/>
    <x v="1"/>
    <n v="0.35294117647058798"/>
    <n v="6.0661764705882401E-2"/>
    <n v="0.29824561403508798"/>
    <n v="0.28077826212933499"/>
    <x v="3"/>
    <x v="0"/>
    <s v=""/>
    <s v=""/>
    <s v=""/>
    <s v=""/>
    <s v=""/>
  </r>
  <r>
    <s v="Der_geaeffte_Pfaffe.csv"/>
    <s v="#Pfaffe"/>
    <x v="0"/>
    <s v="klerus:pfarrer"/>
    <x v="3"/>
    <x v="4"/>
    <x v="1"/>
    <x v="4"/>
    <x v="3"/>
    <n v="2"/>
    <n v="0.33333333333333298"/>
    <n v="0.11111111111111099"/>
    <n v="0.68677628591208895"/>
    <x v="4"/>
    <x v="1"/>
    <n v="1"/>
    <s v=""/>
    <s v=""/>
    <s v=""/>
    <s v=""/>
  </r>
  <r>
    <s v="Der_geaeffte_Pfaffe.csv"/>
    <s v="#Man"/>
    <x v="0"/>
    <s v="bauer"/>
    <x v="3"/>
    <x v="7"/>
    <x v="0"/>
    <x v="5"/>
    <x v="3"/>
    <n v="2"/>
    <n v="0"/>
    <n v="7.3170731707317097E-2"/>
    <n v="1"/>
    <x v="5"/>
    <x v="1"/>
    <s v=""/>
    <n v="2"/>
    <s v=""/>
    <s v=""/>
    <s v=""/>
  </r>
  <r>
    <s v="Der_geaeffte_Pfaffe.csv"/>
    <s v="#Wip"/>
    <x v="1"/>
    <s v="bauer"/>
    <x v="3"/>
    <x v="13"/>
    <x v="0"/>
    <x v="5"/>
    <x v="3"/>
    <n v="2"/>
    <n v="0"/>
    <n v="7.4999999999999997E-2"/>
    <n v="0.94227047528225105"/>
    <x v="4"/>
    <x v="1"/>
    <n v="1"/>
    <s v=""/>
    <s v=""/>
    <s v=""/>
    <s v=""/>
  </r>
  <r>
    <s v="Der_geaeffte_Pfaffe.csv"/>
    <s v="#Kneht"/>
    <x v="0"/>
    <s v="bauer:knecht"/>
    <x v="3"/>
    <x v="6"/>
    <x v="0"/>
    <x v="5"/>
    <x v="3"/>
    <n v="2"/>
    <n v="0"/>
    <n v="8.3333333333333301E-2"/>
    <n v="0.93389631838573395"/>
    <x v="6"/>
    <x v="1"/>
    <s v=""/>
    <s v=""/>
    <s v=""/>
    <s v=""/>
    <s v=""/>
  </r>
  <r>
    <s v="Der_Guertel.csv"/>
    <s v="#Das-maere-selbst"/>
    <x v="4"/>
    <s v="NA"/>
    <x v="4"/>
    <x v="22"/>
    <x v="1"/>
    <x v="0"/>
    <x v="3"/>
    <n v="0.30769230769230799"/>
    <n v="1.2820512820512799E-2"/>
    <n v="0.30232558139534899"/>
    <n v="3.3950300679227503E-2"/>
    <x v="15"/>
    <x v="1"/>
    <s v=""/>
    <s v=""/>
    <s v=""/>
    <s v=""/>
    <s v=""/>
  </r>
  <r>
    <s v="Der_Guertel.csv"/>
    <s v="#Konrad"/>
    <x v="0"/>
    <s v="adel:ritter"/>
    <x v="3"/>
    <x v="7"/>
    <x v="0"/>
    <x v="1"/>
    <x v="3"/>
    <n v="0.92307692307692302"/>
    <n v="8.4401709401709393E-2"/>
    <n v="0.32500000000000001"/>
    <n v="0.82855883634683103"/>
    <x v="5"/>
    <x v="1"/>
    <s v=""/>
    <n v="2"/>
    <s v=""/>
    <s v=""/>
    <s v=""/>
  </r>
  <r>
    <s v="Der_Guertel.csv"/>
    <s v="#Wip/Heinrich"/>
    <x v="1"/>
    <s v="adel:edelfrau"/>
    <x v="0"/>
    <x v="13"/>
    <x v="0"/>
    <x v="1"/>
    <x v="3"/>
    <n v="1.84615384615385"/>
    <n v="0.67841880341880301"/>
    <n v="0.54166666666666696"/>
    <n v="1"/>
    <x v="4"/>
    <x v="1"/>
    <n v="1"/>
    <s v=""/>
    <s v=""/>
    <s v=""/>
    <s v=""/>
  </r>
  <r>
    <s v="Der_Guertel.csv"/>
    <s v="#Ritter"/>
    <x v="0"/>
    <s v="adel:ritter"/>
    <x v="3"/>
    <x v="11"/>
    <x v="1"/>
    <x v="1"/>
    <x v="3"/>
    <n v="0.61538461538461497"/>
    <n v="0.112179487179487"/>
    <n v="0.371428571428571"/>
    <n v="0.48756903861689899"/>
    <x v="10"/>
    <x v="1"/>
    <s v=""/>
    <s v=""/>
    <s v=""/>
    <s v=""/>
    <n v="5"/>
  </r>
  <r>
    <s v="Der_Guertel.csv"/>
    <s v="#Junk-vroeuwelin"/>
    <x v="1"/>
    <s v="adel:edelfrau"/>
    <x v="0"/>
    <x v="3"/>
    <x v="1"/>
    <x v="1"/>
    <x v="3"/>
    <n v="0.30769230769230799"/>
    <n v="0.17521367521367501"/>
    <n v="0.41935483870967699"/>
    <n v="5.1076691492626503E-2"/>
    <x v="3"/>
    <x v="1"/>
    <s v=""/>
    <s v=""/>
    <s v=""/>
    <s v=""/>
    <s v=""/>
  </r>
  <r>
    <s v="Der_Guertel.csv"/>
    <s v="#Magt-der-vrouwe"/>
    <x v="1"/>
    <s v="adel:magd"/>
    <x v="3"/>
    <x v="3"/>
    <x v="1"/>
    <x v="1"/>
    <x v="3"/>
    <n v="0.15384615384615399"/>
    <n v="0"/>
    <n v="0.36111111111111099"/>
    <n v="3.4335677986492799E-2"/>
    <x v="3"/>
    <x v="1"/>
    <s v=""/>
    <s v=""/>
    <s v=""/>
    <s v=""/>
    <s v=""/>
  </r>
  <r>
    <s v="Der_Guertel.csv"/>
    <s v="#Ein-knecht"/>
    <x v="0"/>
    <s v="adel:knecht"/>
    <x v="3"/>
    <x v="6"/>
    <x v="1"/>
    <x v="1"/>
    <x v="3"/>
    <n v="0.61538461538461497"/>
    <n v="8.9743589743589702E-2"/>
    <n v="0.34210526315789502"/>
    <n v="0.16021734837225601"/>
    <x v="6"/>
    <x v="1"/>
    <s v=""/>
    <s v=""/>
    <s v=""/>
    <s v=""/>
    <s v=""/>
  </r>
  <r>
    <s v="Der_Guertel.csv"/>
    <s v="#Knechte-der-vrouwe"/>
    <x v="2"/>
    <s v="adel:knecht"/>
    <x v="3"/>
    <x v="3"/>
    <x v="1"/>
    <x v="1"/>
    <x v="3"/>
    <n v="0.30769230769230799"/>
    <n v="0"/>
    <n v="0.282608695652174"/>
    <n v="7.8565988690701902E-2"/>
    <x v="3"/>
    <x v="1"/>
    <s v=""/>
    <s v=""/>
    <s v=""/>
    <s v=""/>
    <s v=""/>
  </r>
  <r>
    <s v="Der_Guertel.csv"/>
    <s v="#Wirt"/>
    <x v="0"/>
    <s v="buergerlich:wirt"/>
    <x v="3"/>
    <x v="6"/>
    <x v="1"/>
    <x v="3"/>
    <x v="3"/>
    <n v="0.46153846153846201"/>
    <n v="6.41025641025641E-3"/>
    <n v="0.29545454545454503"/>
    <n v="0.144086753166907"/>
    <x v="6"/>
    <x v="1"/>
    <s v=""/>
    <s v=""/>
    <s v=""/>
    <s v=""/>
    <s v=""/>
  </r>
  <r>
    <s v="Der_Guertel.csv"/>
    <s v="#Knechte-von-heinrich"/>
    <x v="2"/>
    <s v="adel:knecht"/>
    <x v="3"/>
    <x v="3"/>
    <x v="1"/>
    <x v="1"/>
    <x v="3"/>
    <n v="0.30769230769230799"/>
    <n v="0.141025641025641"/>
    <n v="0.38235294117647101"/>
    <n v="3.9282994345350999E-2"/>
    <x v="3"/>
    <x v="1"/>
    <s v=""/>
    <s v=""/>
    <s v=""/>
    <s v=""/>
    <s v=""/>
  </r>
  <r>
    <s v="Der_Guertel.csv"/>
    <s v="#Herzoge"/>
    <x v="0"/>
    <s v="adel:herzog"/>
    <x v="3"/>
    <x v="3"/>
    <x v="1"/>
    <x v="1"/>
    <x v="3"/>
    <n v="0.76923076923076905"/>
    <n v="9.4017094017094002E-2"/>
    <n v="0.35135135135135098"/>
    <n v="0.48929475817026402"/>
    <x v="3"/>
    <x v="1"/>
    <s v=""/>
    <s v=""/>
    <s v=""/>
    <s v=""/>
    <s v=""/>
  </r>
  <r>
    <s v="Der_Guertel.csv"/>
    <s v="#Knechte-des-herzogs"/>
    <x v="2"/>
    <s v="adel:knecht"/>
    <x v="3"/>
    <x v="3"/>
    <x v="1"/>
    <x v="1"/>
    <x v="3"/>
    <n v="0.30769230769230799"/>
    <n v="7.3717948717948706E-2"/>
    <n v="0.40625"/>
    <n v="5.1135945243505801E-2"/>
    <x v="3"/>
    <x v="1"/>
    <s v=""/>
    <s v=""/>
    <s v=""/>
    <s v=""/>
    <s v=""/>
  </r>
  <r>
    <s v="Der_Guertel.csv"/>
    <s v="#Ein-ritter"/>
    <x v="0"/>
    <s v="adel:ritter"/>
    <x v="3"/>
    <x v="3"/>
    <x v="1"/>
    <x v="1"/>
    <x v="3"/>
    <n v="0.30769230769230799"/>
    <n v="7.3717948717948706E-2"/>
    <n v="0.40625"/>
    <n v="5.1135945243505898E-2"/>
    <x v="3"/>
    <x v="1"/>
    <s v=""/>
    <s v=""/>
    <s v=""/>
    <s v=""/>
    <s v=""/>
  </r>
  <r>
    <s v="Der_Guertel.csv"/>
    <s v="#Ein-brite"/>
    <x v="0"/>
    <s v="adel:ritter"/>
    <x v="3"/>
    <x v="18"/>
    <x v="1"/>
    <x v="1"/>
    <x v="3"/>
    <n v="0.46153846153846201"/>
    <n v="4.2735042735042701E-2"/>
    <n v="0.30952380952380998"/>
    <n v="0.176705560011827"/>
    <x v="13"/>
    <x v="1"/>
    <s v=""/>
    <s v=""/>
    <s v=""/>
    <s v=""/>
    <s v=""/>
  </r>
  <r>
    <s v="Der_junge_Ratgeber.csv"/>
    <s v="#Kunic"/>
    <x v="0"/>
    <s v="adel:koenig"/>
    <x v="3"/>
    <x v="3"/>
    <x v="0"/>
    <x v="1"/>
    <x v="1"/>
    <n v="2"/>
    <n v="0.05"/>
    <n v="0.55555555555555602"/>
    <n v="1"/>
    <x v="3"/>
    <x v="1"/>
    <s v=""/>
    <s v=""/>
    <s v=""/>
    <s v=""/>
    <s v=""/>
  </r>
  <r>
    <s v="Der_junge_Ratgeber.csv"/>
    <s v="#Alter-ratgeben"/>
    <x v="0"/>
    <s v="adel:ratgeber"/>
    <x v="2"/>
    <x v="8"/>
    <x v="1"/>
    <x v="1"/>
    <x v="1"/>
    <n v="1.6"/>
    <n v="0.25"/>
    <n v="0.625"/>
    <n v="0.81844232581321796"/>
    <x v="7"/>
    <x v="1"/>
    <s v=""/>
    <s v=""/>
    <s v=""/>
    <s v=""/>
    <s v=""/>
  </r>
  <r>
    <s v="Der_junge_Ratgeber.csv"/>
    <s v="#Sun-(neuer-ratgeben)"/>
    <x v="0"/>
    <s v="adel:ratgeber"/>
    <x v="0"/>
    <x v="23"/>
    <x v="0"/>
    <x v="1"/>
    <x v="1"/>
    <n v="2"/>
    <n v="0"/>
    <n v="0.45454545454545497"/>
    <n v="0.896398856114894"/>
    <x v="16"/>
    <x v="1"/>
    <s v=""/>
    <s v=""/>
    <s v=""/>
    <s v=""/>
    <s v=""/>
  </r>
  <r>
    <s v="Der_junge_Ratgeber.csv"/>
    <s v="#Bote"/>
    <x v="0"/>
    <s v="buergerlich:bote"/>
    <x v="3"/>
    <x v="15"/>
    <x v="1"/>
    <x v="3"/>
    <x v="1"/>
    <n v="1.2"/>
    <n v="0.4"/>
    <n v="0.625"/>
    <n v="0.19434459280845101"/>
    <x v="12"/>
    <x v="1"/>
    <s v=""/>
    <s v=""/>
    <s v=""/>
    <s v=""/>
    <s v=""/>
  </r>
  <r>
    <s v="Der_junge_Ratgeber.csv"/>
    <s v="#Besten-von-dem-lande"/>
    <x v="2"/>
    <s v="unbekannt"/>
    <x v="3"/>
    <x v="3"/>
    <x v="1"/>
    <x v="2"/>
    <x v="1"/>
    <n v="1.6"/>
    <n v="0.15"/>
    <n v="0.55555555555555602"/>
    <n v="0.54945473053465199"/>
    <x v="3"/>
    <x v="1"/>
    <s v=""/>
    <s v=""/>
    <s v=""/>
    <s v=""/>
    <s v=""/>
  </r>
  <r>
    <s v="Der_junge_Ratgeber.csv"/>
    <s v="#Nidaere"/>
    <x v="2"/>
    <s v="unbekannt"/>
    <x v="3"/>
    <x v="11"/>
    <x v="1"/>
    <x v="2"/>
    <x v="1"/>
    <n v="1.2"/>
    <n v="0"/>
    <n v="0.45454545454545497"/>
    <n v="0.37501403777258802"/>
    <x v="10"/>
    <x v="1"/>
    <s v=""/>
    <s v=""/>
    <s v=""/>
    <s v=""/>
    <n v="5"/>
  </r>
  <r>
    <s v="Der_kluge_Knecht.csv"/>
    <s v="#Man"/>
    <x v="0"/>
    <s v="unbekannt"/>
    <x v="3"/>
    <x v="7"/>
    <x v="0"/>
    <x v="2"/>
    <x v="3"/>
    <n v="2"/>
    <n v="0"/>
    <n v="8.5714285714285701E-2"/>
    <n v="1"/>
    <x v="5"/>
    <x v="1"/>
    <s v=""/>
    <n v="2"/>
    <s v=""/>
    <s v=""/>
    <s v=""/>
  </r>
  <r>
    <s v="Der_kluge_Knecht.csv"/>
    <s v="#Wip"/>
    <x v="1"/>
    <s v="unbekannt"/>
    <x v="3"/>
    <x v="13"/>
    <x v="0"/>
    <x v="2"/>
    <x v="3"/>
    <n v="2"/>
    <n v="0"/>
    <n v="8.5714285714285701E-2"/>
    <n v="0.93521875234554497"/>
    <x v="4"/>
    <x v="1"/>
    <n v="1"/>
    <s v=""/>
    <s v=""/>
    <s v=""/>
    <s v=""/>
  </r>
  <r>
    <s v="Der_kluge_Knecht.csv"/>
    <s v="#Kneht"/>
    <x v="0"/>
    <s v="unbekannt:knecht"/>
    <x v="3"/>
    <x v="6"/>
    <x v="0"/>
    <x v="2"/>
    <x v="3"/>
    <n v="2"/>
    <n v="0"/>
    <n v="0.12"/>
    <n v="0.88656582522251803"/>
    <x v="6"/>
    <x v="1"/>
    <s v=""/>
    <s v=""/>
    <s v=""/>
    <s v=""/>
    <s v=""/>
  </r>
  <r>
    <s v="Der_kluge_Knecht.csv"/>
    <s v="#Pfarraere"/>
    <x v="0"/>
    <s v="klerus:pfarrer"/>
    <x v="3"/>
    <x v="4"/>
    <x v="1"/>
    <x v="4"/>
    <x v="3"/>
    <n v="2"/>
    <n v="1"/>
    <n v="0.157894736842105"/>
    <n v="0.49375060358839501"/>
    <x v="4"/>
    <x v="1"/>
    <n v="1"/>
    <s v=""/>
    <s v=""/>
    <s v=""/>
    <s v=""/>
  </r>
  <r>
    <s v="Der_nackte_Bote.csv"/>
    <s v="#Kneht"/>
    <x v="0"/>
    <s v="adel:knecht"/>
    <x v="3"/>
    <x v="14"/>
    <x v="0"/>
    <x v="1"/>
    <x v="1"/>
    <n v="2"/>
    <n v="9.5238095238095205E-2"/>
    <n v="0.58333333333333304"/>
    <n v="1"/>
    <x v="5"/>
    <x v="1"/>
    <s v=""/>
    <n v="2"/>
    <s v=""/>
    <s v=""/>
    <s v=""/>
  </r>
  <r>
    <s v="Der_nackte_Bote.csv"/>
    <s v="#Vrouwe"/>
    <x v="1"/>
    <s v="buergerlich:ehefrau"/>
    <x v="3"/>
    <x v="1"/>
    <x v="1"/>
    <x v="3"/>
    <x v="1"/>
    <n v="1.1428571428571399"/>
    <n v="0"/>
    <n v="0.5"/>
    <n v="0.31866831887568697"/>
    <x v="1"/>
    <x v="1"/>
    <s v=""/>
    <s v=""/>
    <s v=""/>
    <s v=""/>
    <s v=""/>
  </r>
  <r>
    <s v="Der_nackte_Bote.csv"/>
    <s v="#Tohter"/>
    <x v="2"/>
    <s v="buergerlich:NA"/>
    <x v="3"/>
    <x v="2"/>
    <x v="1"/>
    <x v="3"/>
    <x v="1"/>
    <n v="1.1428571428571399"/>
    <n v="0"/>
    <n v="0.5"/>
    <n v="0.31866831887568697"/>
    <x v="2"/>
    <x v="1"/>
    <s v=""/>
    <s v=""/>
    <s v=""/>
    <s v=""/>
    <s v=""/>
  </r>
  <r>
    <s v="Der_nackte_Bote.csv"/>
    <s v="#Herre"/>
    <x v="0"/>
    <s v="adel:ritter"/>
    <x v="3"/>
    <x v="6"/>
    <x v="1"/>
    <x v="1"/>
    <x v="1"/>
    <n v="1.1428571428571399"/>
    <n v="4.7619047619047603E-2"/>
    <n v="0.46666666666666701"/>
    <n v="0.76040883095630196"/>
    <x v="6"/>
    <x v="1"/>
    <s v=""/>
    <s v=""/>
    <s v=""/>
    <s v=""/>
    <s v=""/>
  </r>
  <r>
    <s v="Der_nackte_Bote.csv"/>
    <s v="#Kint"/>
    <x v="3"/>
    <s v="buergerlich:NA"/>
    <x v="1"/>
    <x v="2"/>
    <x v="1"/>
    <x v="3"/>
    <x v="1"/>
    <n v="1.1428571428571399"/>
    <n v="0.17460317460317501"/>
    <n v="0.58333333333333304"/>
    <n v="0.36192709358522301"/>
    <x v="2"/>
    <x v="1"/>
    <s v=""/>
    <s v=""/>
    <s v=""/>
    <s v=""/>
    <s v=""/>
  </r>
  <r>
    <s v="Der_nackte_Bote.csv"/>
    <s v="#Wirt"/>
    <x v="0"/>
    <s v="buergerlich:wirt"/>
    <x v="3"/>
    <x v="14"/>
    <x v="0"/>
    <x v="3"/>
    <x v="1"/>
    <n v="2"/>
    <n v="7.1428571428571397E-2"/>
    <n v="0.58333333333333304"/>
    <n v="0.87639159649611098"/>
    <x v="5"/>
    <x v="1"/>
    <s v=""/>
    <n v="2"/>
    <s v=""/>
    <s v=""/>
    <s v=""/>
  </r>
  <r>
    <s v="Der_nackte_Bote.csv"/>
    <s v="#Gesinde"/>
    <x v="2"/>
    <s v="unbekannt"/>
    <x v="3"/>
    <x v="3"/>
    <x v="1"/>
    <x v="2"/>
    <x v="1"/>
    <n v="1.4285714285714299"/>
    <n v="0.49206349206349198"/>
    <n v="0.77777777777777801"/>
    <n v="0.182723492296711"/>
    <x v="3"/>
    <x v="1"/>
    <s v=""/>
    <s v=""/>
    <s v=""/>
    <s v=""/>
    <s v=""/>
  </r>
  <r>
    <s v="Der_nackte_Bote.csv"/>
    <s v="#Knehten"/>
    <x v="2"/>
    <s v="buergerlich:knecht"/>
    <x v="3"/>
    <x v="3"/>
    <x v="1"/>
    <x v="3"/>
    <x v="1"/>
    <n v="0.85714285714285698"/>
    <n v="6.3492063492063502E-2"/>
    <n v="0.5"/>
    <n v="0.22323353898209999"/>
    <x v="3"/>
    <x v="1"/>
    <s v=""/>
    <s v=""/>
    <s v=""/>
    <s v=""/>
    <s v=""/>
  </r>
  <r>
    <s v="Der_nackte_Koenig.csv"/>
    <s v="#Kunik"/>
    <x v="0"/>
    <s v="adel:koenig"/>
    <x v="3"/>
    <x v="14"/>
    <x v="0"/>
    <x v="1"/>
    <x v="1"/>
    <n v="2"/>
    <n v="8.7962962962963007E-2"/>
    <n v="0.47368421052631599"/>
    <n v="1"/>
    <x v="5"/>
    <x v="1"/>
    <s v=""/>
    <n v="2"/>
    <s v=""/>
    <s v=""/>
    <s v=""/>
  </r>
  <r>
    <s v="Der_nackte_Koenig.csv"/>
    <s v="#Engel"/>
    <x v="0"/>
    <s v="NA"/>
    <x v="4"/>
    <x v="4"/>
    <x v="0"/>
    <x v="0"/>
    <x v="1"/>
    <n v="1.7777777777777799"/>
    <n v="0.24537037037036999"/>
    <n v="0.5"/>
    <n v="0.81199406616390601"/>
    <x v="4"/>
    <x v="1"/>
    <n v="1"/>
    <s v=""/>
    <s v=""/>
    <s v=""/>
    <s v=""/>
  </r>
  <r>
    <s v="Der_nackte_Koenig.csv"/>
    <s v="#Bader"/>
    <x v="0"/>
    <s v="adel:bader"/>
    <x v="3"/>
    <x v="3"/>
    <x v="1"/>
    <x v="1"/>
    <x v="1"/>
    <n v="1.1111111111111101"/>
    <n v="6.9444444444444406E-2"/>
    <n v="0.42857142857142899"/>
    <n v="0.33309027936334501"/>
    <x v="3"/>
    <x v="1"/>
    <s v=""/>
    <s v=""/>
    <s v=""/>
    <s v=""/>
    <s v=""/>
  </r>
  <r>
    <s v="Der_nackte_Koenig.csv"/>
    <s v="#Bader-gesinde"/>
    <x v="2"/>
    <s v="adel:bader"/>
    <x v="3"/>
    <x v="3"/>
    <x v="1"/>
    <x v="1"/>
    <x v="1"/>
    <n v="0.66666666666666696"/>
    <n v="1.85185185185185E-2"/>
    <n v="0.42857142857142899"/>
    <n v="0.13622536954321901"/>
    <x v="3"/>
    <x v="1"/>
    <s v=""/>
    <s v=""/>
    <s v=""/>
    <s v=""/>
    <s v=""/>
  </r>
  <r>
    <s v="Der_nackte_Koenig.csv"/>
    <s v="#Schenke"/>
    <x v="0"/>
    <s v="buergerlich:wirt"/>
    <x v="3"/>
    <x v="6"/>
    <x v="1"/>
    <x v="3"/>
    <x v="1"/>
    <n v="1.3333333333333299"/>
    <n v="0.171296296296296"/>
    <n v="0.52941176470588203"/>
    <n v="0.57925812999990201"/>
    <x v="6"/>
    <x v="1"/>
    <s v=""/>
    <s v=""/>
    <s v=""/>
    <s v=""/>
    <s v=""/>
  </r>
  <r>
    <s v="Der_nackte_Koenig.csv"/>
    <s v="#Portenaere"/>
    <x v="0"/>
    <s v="buergerlich:torwart"/>
    <x v="3"/>
    <x v="15"/>
    <x v="1"/>
    <x v="3"/>
    <x v="1"/>
    <n v="0.66666666666666696"/>
    <n v="0"/>
    <n v="0.34615384615384598"/>
    <n v="0.21736092644973701"/>
    <x v="12"/>
    <x v="1"/>
    <s v=""/>
    <s v=""/>
    <s v=""/>
    <s v=""/>
    <s v=""/>
  </r>
  <r>
    <s v="Der_nackte_Koenig.csv"/>
    <s v="#Hove-gesinde"/>
    <x v="2"/>
    <s v="adel:unbekannt"/>
    <x v="3"/>
    <x v="3"/>
    <x v="1"/>
    <x v="1"/>
    <x v="1"/>
    <n v="1.3333333333333299"/>
    <n v="0.180555555555556"/>
    <n v="0.52941176470588203"/>
    <n v="0.41989076013968601"/>
    <x v="3"/>
    <x v="1"/>
    <s v=""/>
    <s v=""/>
    <s v=""/>
    <s v=""/>
    <s v=""/>
  </r>
  <r>
    <s v="Der_nackte_Koenig.csv"/>
    <s v="#Kuenegin"/>
    <x v="1"/>
    <s v="adel:koenigin"/>
    <x v="3"/>
    <x v="1"/>
    <x v="1"/>
    <x v="1"/>
    <x v="1"/>
    <n v="1.1111111111111101"/>
    <n v="2.7777777777777801E-2"/>
    <n v="0.40909090909090901"/>
    <n v="0.37630478201439099"/>
    <x v="1"/>
    <x v="1"/>
    <s v=""/>
    <s v=""/>
    <s v=""/>
    <s v=""/>
    <s v=""/>
  </r>
  <r>
    <s v="Der_nackte_Koenig.csv"/>
    <s v="#Ritter"/>
    <x v="0"/>
    <s v="adel:ritter"/>
    <x v="3"/>
    <x v="3"/>
    <x v="1"/>
    <x v="1"/>
    <x v="1"/>
    <n v="0.66666666666666696"/>
    <n v="0.21296296296296299"/>
    <n v="0.5625"/>
    <n v="9.3655221265290703E-2"/>
    <x v="3"/>
    <x v="1"/>
    <s v=""/>
    <s v=""/>
    <s v=""/>
    <s v=""/>
    <s v=""/>
  </r>
  <r>
    <s v="Der_nackte_Koenig.csv"/>
    <s v="#Hove-riter"/>
    <x v="0"/>
    <s v="adel:ritter"/>
    <x v="2"/>
    <x v="3"/>
    <x v="1"/>
    <x v="1"/>
    <x v="1"/>
    <n v="0.44444444444444398"/>
    <n v="5.5555555555555601E-2"/>
    <n v="0.42857142857142899"/>
    <n v="5.56111076559632E-2"/>
    <x v="3"/>
    <x v="1"/>
    <s v=""/>
    <s v=""/>
    <s v=""/>
    <s v=""/>
    <s v=""/>
  </r>
  <r>
    <s v="Der_Nußberg.csv"/>
    <s v="#Ritter-von-nuzberk"/>
    <x v="0"/>
    <s v="adel:ritter"/>
    <x v="3"/>
    <x v="7"/>
    <x v="0"/>
    <x v="1"/>
    <x v="3"/>
    <n v="2"/>
    <n v="0"/>
    <n v="0.6"/>
    <n v="1"/>
    <x v="5"/>
    <x v="1"/>
    <s v=""/>
    <n v="2"/>
    <s v=""/>
    <s v=""/>
    <s v=""/>
  </r>
  <r>
    <s v="Der_Nußberg.csv"/>
    <s v="#Wip"/>
    <x v="1"/>
    <s v="adel:edelfrau"/>
    <x v="3"/>
    <x v="13"/>
    <x v="0"/>
    <x v="1"/>
    <x v="3"/>
    <n v="2"/>
    <n v="0.66666666666666696"/>
    <n v="1"/>
    <n v="0.49033010167086699"/>
    <x v="4"/>
    <x v="1"/>
    <n v="1"/>
    <s v=""/>
    <s v=""/>
    <s v=""/>
    <s v=""/>
  </r>
  <r>
    <s v="Der_Nußberg.csv"/>
    <s v="#Kuenik"/>
    <x v="0"/>
    <s v="adel:koenig"/>
    <x v="3"/>
    <x v="3"/>
    <x v="1"/>
    <x v="1"/>
    <x v="3"/>
    <n v="2"/>
    <n v="0"/>
    <n v="0.75"/>
    <n v="0.80636096254159195"/>
    <x v="3"/>
    <x v="1"/>
    <s v=""/>
    <s v=""/>
    <s v=""/>
    <s v=""/>
    <s v=""/>
  </r>
  <r>
    <s v="Der_Nußberg.csv"/>
    <s v="#Kuenik-der-heiden"/>
    <x v="0"/>
    <s v="adel:koenig"/>
    <x v="3"/>
    <x v="4"/>
    <x v="0"/>
    <x v="1"/>
    <x v="3"/>
    <n v="2"/>
    <n v="0"/>
    <n v="0.75"/>
    <n v="0.80636096254159195"/>
    <x v="4"/>
    <x v="1"/>
    <n v="1"/>
    <s v=""/>
    <s v=""/>
    <s v=""/>
    <s v=""/>
  </r>
  <r>
    <s v="Der_Pfaffe_im_Kaesekorb.csv"/>
    <s v="#Pur"/>
    <x v="0"/>
    <s v="bauer:meyer"/>
    <x v="3"/>
    <x v="7"/>
    <x v="0"/>
    <x v="5"/>
    <x v="3"/>
    <n v="0"/>
    <n v="0"/>
    <n v="0"/>
    <n v="0"/>
    <x v="5"/>
    <x v="1"/>
    <s v=""/>
    <n v="2"/>
    <s v=""/>
    <s v=""/>
    <s v=""/>
  </r>
  <r>
    <s v="Der_Pfaffe_im_Kaesekorb.csv"/>
    <s v="#Wib"/>
    <x v="1"/>
    <s v="bauer:ehefrau"/>
    <x v="3"/>
    <x v="13"/>
    <x v="0"/>
    <x v="5"/>
    <x v="3"/>
    <n v="0"/>
    <n v="0"/>
    <n v="0"/>
    <n v="0"/>
    <x v="4"/>
    <x v="1"/>
    <n v="1"/>
    <s v=""/>
    <s v=""/>
    <s v=""/>
    <s v=""/>
  </r>
  <r>
    <s v="Der_Pfaffe_im_Kaesekorb.csv"/>
    <s v="#Pfaffe"/>
    <x v="0"/>
    <s v="klerus:pfarrer"/>
    <x v="3"/>
    <x v="4"/>
    <x v="1"/>
    <x v="4"/>
    <x v="3"/>
    <n v="0"/>
    <n v="0"/>
    <n v="0"/>
    <n v="0"/>
    <x v="4"/>
    <x v="1"/>
    <n v="1"/>
    <s v=""/>
    <s v=""/>
    <s v=""/>
    <s v=""/>
  </r>
  <r>
    <s v="Der_Raubritter_und_sein_Kaemmerer.csv"/>
    <s v="#Ritter"/>
    <x v="0"/>
    <s v="adel:ritter"/>
    <x v="3"/>
    <x v="14"/>
    <x v="0"/>
    <x v="1"/>
    <x v="1"/>
    <n v="2"/>
    <n v="0.33333333333333298"/>
    <n v="0.2"/>
    <n v="0.91001080941258605"/>
    <x v="5"/>
    <x v="1"/>
    <s v=""/>
    <n v="2"/>
    <s v=""/>
    <s v=""/>
    <s v=""/>
  </r>
  <r>
    <s v="Der_Raubritter_und_sein_Kaemmerer.csv"/>
    <s v="#Muench"/>
    <x v="0"/>
    <s v="klerus:moench"/>
    <x v="3"/>
    <x v="6"/>
    <x v="0"/>
    <x v="4"/>
    <x v="1"/>
    <n v="2"/>
    <n v="0"/>
    <n v="0.16666666666666699"/>
    <n v="1"/>
    <x v="6"/>
    <x v="1"/>
    <s v=""/>
    <s v=""/>
    <s v=""/>
    <s v=""/>
    <s v=""/>
  </r>
  <r>
    <s v="Der_Raubritter_und_sein_Kaemmerer.csv"/>
    <s v="#Gesinde"/>
    <x v="2"/>
    <s v="adel:unbekannt"/>
    <x v="3"/>
    <x v="3"/>
    <x v="1"/>
    <x v="1"/>
    <x v="1"/>
    <n v="1.3333333333333299"/>
    <n v="0"/>
    <n v="0.15"/>
    <n v="0.78888576762637597"/>
    <x v="3"/>
    <x v="1"/>
    <s v=""/>
    <s v=""/>
    <s v=""/>
    <s v=""/>
    <s v=""/>
  </r>
  <r>
    <s v="Der_Raubritter_und_sein_Kaemmerer.csv"/>
    <s v="#Kamerer"/>
    <x v="0"/>
    <s v="adel:kaemmerer"/>
    <x v="3"/>
    <x v="4"/>
    <x v="0"/>
    <x v="1"/>
    <x v="1"/>
    <n v="1.3333333333333299"/>
    <n v="0.33333333333333298"/>
    <n v="0.2"/>
    <n v="0.45967116488522702"/>
    <x v="4"/>
    <x v="1"/>
    <n v="1"/>
    <s v=""/>
    <s v=""/>
    <s v=""/>
    <s v=""/>
  </r>
  <r>
    <s v="Der_Reiher.csv"/>
    <s v="#Man"/>
    <x v="0"/>
    <s v="adel:ritter"/>
    <x v="3"/>
    <x v="7"/>
    <x v="0"/>
    <x v="1"/>
    <x v="3"/>
    <n v="1.6"/>
    <n v="0.05"/>
    <n v="0.217391304347826"/>
    <n v="0.77462461884820499"/>
    <x v="5"/>
    <x v="1"/>
    <s v=""/>
    <n v="2"/>
    <s v=""/>
    <s v=""/>
    <s v=""/>
  </r>
  <r>
    <s v="Der_Reiher.csv"/>
    <s v="#Vrouwe"/>
    <x v="1"/>
    <s v="adel:edelfrau"/>
    <x v="3"/>
    <x v="13"/>
    <x v="0"/>
    <x v="1"/>
    <x v="3"/>
    <n v="2"/>
    <n v="0.3"/>
    <n v="0.29411764705882398"/>
    <n v="1"/>
    <x v="4"/>
    <x v="1"/>
    <n v="1"/>
    <s v=""/>
    <s v=""/>
    <s v=""/>
    <s v=""/>
  </r>
  <r>
    <s v="Der_Reiher.csv"/>
    <s v="#Koch"/>
    <x v="0"/>
    <s v="buergerlich:koch"/>
    <x v="3"/>
    <x v="3"/>
    <x v="1"/>
    <x v="3"/>
    <x v="3"/>
    <n v="0.8"/>
    <n v="0.15"/>
    <n v="0.238095238095238"/>
    <n v="0.13253896714941199"/>
    <x v="3"/>
    <x v="1"/>
    <s v=""/>
    <s v=""/>
    <s v=""/>
    <s v=""/>
    <s v=""/>
  </r>
  <r>
    <s v="Der_Reiher.csv"/>
    <s v="#Meit"/>
    <x v="1"/>
    <s v="adel:magd"/>
    <x v="3"/>
    <x v="15"/>
    <x v="1"/>
    <x v="1"/>
    <x v="3"/>
    <n v="0.8"/>
    <n v="0"/>
    <n v="0.18518518518518501"/>
    <n v="0.26336845883157001"/>
    <x v="12"/>
    <x v="1"/>
    <s v=""/>
    <s v=""/>
    <s v=""/>
    <s v=""/>
    <s v=""/>
  </r>
  <r>
    <s v="Der_Reiher.csv"/>
    <s v="#Gewatern"/>
    <x v="1"/>
    <s v="unbekannt"/>
    <x v="3"/>
    <x v="6"/>
    <x v="0"/>
    <x v="2"/>
    <x v="3"/>
    <n v="1.6"/>
    <n v="0.2"/>
    <n v="0.26315789473684198"/>
    <n v="0.76318014589525895"/>
    <x v="6"/>
    <x v="1"/>
    <s v=""/>
    <s v=""/>
    <s v=""/>
    <s v=""/>
    <s v=""/>
  </r>
  <r>
    <s v="Der_Reiher.csv"/>
    <s v="#Herre"/>
    <x v="0"/>
    <s v="adel:unbekannt"/>
    <x v="3"/>
    <x v="3"/>
    <x v="1"/>
    <x v="1"/>
    <x v="3"/>
    <n v="1.2"/>
    <n v="0.15"/>
    <n v="0.26315789473684198"/>
    <n v="0.285161079570807"/>
    <x v="3"/>
    <x v="1"/>
    <s v=""/>
    <s v=""/>
    <s v=""/>
    <s v=""/>
    <s v=""/>
  </r>
  <r>
    <s v="Der_Richter_und_der_Teufel.csv"/>
    <s v="#Rihter"/>
    <x v="0"/>
    <s v="buergerlich:richter"/>
    <x v="3"/>
    <x v="4"/>
    <x v="0"/>
    <x v="3"/>
    <x v="1"/>
    <n v="1.6"/>
    <n v="0.5"/>
    <n v="0.5"/>
    <n v="1"/>
    <x v="4"/>
    <x v="1"/>
    <n v="1"/>
    <s v=""/>
    <s v=""/>
    <s v=""/>
    <s v=""/>
  </r>
  <r>
    <s v="Der_Richter_und_der_Teufel.csv"/>
    <s v="#Wip-1"/>
    <x v="1"/>
    <s v="unbekannt"/>
    <x v="3"/>
    <x v="3"/>
    <x v="1"/>
    <x v="2"/>
    <x v="1"/>
    <n v="0"/>
    <n v="0"/>
    <n v="0.16666666666666699"/>
    <n v="0"/>
    <x v="3"/>
    <x v="1"/>
    <s v=""/>
    <s v=""/>
    <s v=""/>
    <s v=""/>
    <s v=""/>
  </r>
  <r>
    <s v="Der_Richter_und_der_Teufel.csv"/>
    <s v="#Wip-2"/>
    <x v="1"/>
    <s v="unbekannt"/>
    <x v="3"/>
    <x v="3"/>
    <x v="1"/>
    <x v="2"/>
    <x v="1"/>
    <n v="0.4"/>
    <n v="0"/>
    <n v="0.38461538461538503"/>
    <n v="0.42681725548354599"/>
    <x v="3"/>
    <x v="1"/>
    <s v=""/>
    <s v=""/>
    <s v=""/>
    <s v=""/>
    <s v=""/>
  </r>
  <r>
    <s v="Der_Richter_und_der_Teufel.csv"/>
    <s v="#Wip-3"/>
    <x v="1"/>
    <s v="unbekannt"/>
    <x v="3"/>
    <x v="3"/>
    <x v="1"/>
    <x v="2"/>
    <x v="1"/>
    <n v="0.8"/>
    <n v="0"/>
    <n v="0.41666666666666702"/>
    <n v="0.74464428590503995"/>
    <x v="3"/>
    <x v="1"/>
    <s v=""/>
    <s v=""/>
    <s v=""/>
    <s v=""/>
    <s v=""/>
  </r>
  <r>
    <s v="Der_Richter_und_der_Teufel.csv"/>
    <s v="#Kinde"/>
    <x v="3"/>
    <s v="unbekannt"/>
    <x v="1"/>
    <x v="2"/>
    <x v="1"/>
    <x v="2"/>
    <x v="1"/>
    <n v="0.8"/>
    <n v="0"/>
    <n v="0.41666666666666702"/>
    <n v="0.74464428590503995"/>
    <x v="2"/>
    <x v="1"/>
    <s v=""/>
    <s v=""/>
    <s v=""/>
    <s v=""/>
    <s v=""/>
  </r>
  <r>
    <s v="Der_Richter_und_der_Teufel.csv"/>
    <s v="#Witwe"/>
    <x v="1"/>
    <s v="unbekannt"/>
    <x v="2"/>
    <x v="6"/>
    <x v="1"/>
    <x v="2"/>
    <x v="1"/>
    <n v="0.4"/>
    <n v="0"/>
    <n v="0.38461538461538503"/>
    <n v="0.42681725548354599"/>
    <x v="6"/>
    <x v="1"/>
    <s v=""/>
    <s v=""/>
    <s v=""/>
    <s v=""/>
    <s v=""/>
  </r>
  <r>
    <s v="Der_Ritter_und_die_Nuesse.csv"/>
    <s v="#Ritter"/>
    <x v="0"/>
    <s v="adel:ritter"/>
    <x v="3"/>
    <x v="7"/>
    <x v="0"/>
    <x v="1"/>
    <x v="3"/>
    <n v="2"/>
    <n v="0.66666666666666696"/>
    <n v="0.14285714285714299"/>
    <n v="1"/>
    <x v="5"/>
    <x v="1"/>
    <s v=""/>
    <n v="2"/>
    <s v=""/>
    <s v=""/>
    <s v=""/>
  </r>
  <r>
    <s v="Der_Ritter_und_die_Nuesse.csv"/>
    <s v="#Vrouwe"/>
    <x v="1"/>
    <s v="adel:edelfrau"/>
    <x v="3"/>
    <x v="13"/>
    <x v="0"/>
    <x v="1"/>
    <x v="3"/>
    <n v="1.3333333333333299"/>
    <n v="0"/>
    <n v="9.375E-2"/>
    <n v="0.99244587365848402"/>
    <x v="4"/>
    <x v="1"/>
    <n v="1"/>
    <s v=""/>
    <s v=""/>
    <s v=""/>
    <s v=""/>
  </r>
  <r>
    <s v="Der_Ritter_und_die_Nuesse.csv"/>
    <s v="#Buoler"/>
    <x v="0"/>
    <s v="adel:ritter"/>
    <x v="3"/>
    <x v="4"/>
    <x v="0"/>
    <x v="1"/>
    <x v="3"/>
    <n v="1.3333333333333299"/>
    <n v="0"/>
    <n v="0.115384615384615"/>
    <n v="0.87776385500983101"/>
    <x v="4"/>
    <x v="1"/>
    <n v="1"/>
    <s v=""/>
    <s v=""/>
    <s v=""/>
    <s v=""/>
  </r>
  <r>
    <s v="Der_Ritter_und_die_Nuesse.csv"/>
    <s v="#Kint"/>
    <x v="2"/>
    <s v="unbekannt"/>
    <x v="1"/>
    <x v="6"/>
    <x v="1"/>
    <x v="2"/>
    <x v="3"/>
    <n v="0.66666666666666696"/>
    <n v="0"/>
    <n v="0.12"/>
    <n v="0.11013647429705301"/>
    <x v="6"/>
    <x v="1"/>
    <s v=""/>
    <s v=""/>
    <s v=""/>
    <s v=""/>
    <s v=""/>
  </r>
  <r>
    <s v="Der_Ritter_unterm_Zuber.csv"/>
    <s v="#Buoler"/>
    <x v="0"/>
    <s v="adel:ritter"/>
    <x v="3"/>
    <x v="4"/>
    <x v="0"/>
    <x v="1"/>
    <x v="3"/>
    <n v="2"/>
    <n v="0.36666666666666697"/>
    <n v="0.46153846153846201"/>
    <n v="0.78120374160726602"/>
    <x v="4"/>
    <x v="1"/>
    <n v="1"/>
    <s v=""/>
    <s v=""/>
    <s v=""/>
    <s v=""/>
  </r>
  <r>
    <s v="Der_Ritter_unterm_Zuber.csv"/>
    <s v="#Vrouwe"/>
    <x v="1"/>
    <s v="adel:edelfrau"/>
    <x v="3"/>
    <x v="13"/>
    <x v="0"/>
    <x v="1"/>
    <x v="3"/>
    <n v="2"/>
    <n v="0"/>
    <n v="0.375"/>
    <n v="0.96975939188064597"/>
    <x v="4"/>
    <x v="1"/>
    <n v="1"/>
    <s v=""/>
    <s v=""/>
    <s v=""/>
    <s v=""/>
  </r>
  <r>
    <s v="Der_Ritter_unterm_Zuber.csv"/>
    <s v="#Ritter"/>
    <x v="0"/>
    <s v="adel:ritter"/>
    <x v="3"/>
    <x v="7"/>
    <x v="0"/>
    <x v="1"/>
    <x v="3"/>
    <n v="1.3333333333333299"/>
    <n v="0"/>
    <n v="0.35294117647058798"/>
    <n v="1"/>
    <x v="5"/>
    <x v="1"/>
    <s v=""/>
    <n v="2"/>
    <s v=""/>
    <s v=""/>
    <s v=""/>
  </r>
  <r>
    <s v="Der_Ritter_unterm_Zuber.csv"/>
    <s v="#Brueder-dri-des-ritters"/>
    <x v="2"/>
    <s v="adel:unbekannt"/>
    <x v="3"/>
    <x v="6"/>
    <x v="1"/>
    <x v="1"/>
    <x v="3"/>
    <n v="1.3333333333333299"/>
    <n v="0"/>
    <n v="0.35294117647058798"/>
    <n v="0.74385367297630001"/>
    <x v="6"/>
    <x v="1"/>
    <s v=""/>
    <s v=""/>
    <s v=""/>
    <s v=""/>
    <s v=""/>
  </r>
  <r>
    <s v="Der_Ritter_unterm_Zuber.csv"/>
    <s v="#Einer-der-bruider"/>
    <x v="0"/>
    <s v="adel:unbekannt"/>
    <x v="3"/>
    <x v="3"/>
    <x v="1"/>
    <x v="1"/>
    <x v="3"/>
    <n v="0.66666666666666696"/>
    <n v="6.6666666666666693E-2"/>
    <n v="0.375"/>
    <n v="9.3260720348378998E-2"/>
    <x v="3"/>
    <x v="1"/>
    <s v=""/>
    <s v=""/>
    <s v=""/>
    <s v=""/>
    <s v=""/>
  </r>
  <r>
    <s v="Der_Ritter_unterm_Zuber.csv"/>
    <s v="#Brot-bekkerin"/>
    <x v="1"/>
    <s v="buergerlich:baecker"/>
    <x v="3"/>
    <x v="6"/>
    <x v="1"/>
    <x v="3"/>
    <x v="3"/>
    <n v="1.6666666666666701"/>
    <n v="0.6"/>
    <n v="0.5"/>
    <n v="0.19488398705766499"/>
    <x v="6"/>
    <x v="1"/>
    <s v=""/>
    <s v=""/>
    <s v=""/>
    <s v=""/>
    <s v=""/>
  </r>
  <r>
    <s v="Der_Ritter_unterm_Zuber.csv"/>
    <s v="#Megede-der-bekkerin"/>
    <x v="1"/>
    <s v="buergerlich:magd"/>
    <x v="3"/>
    <x v="15"/>
    <x v="1"/>
    <x v="3"/>
    <x v="3"/>
    <n v="1"/>
    <n v="0"/>
    <n v="0.35294117647058798"/>
    <n v="0.14654271480087999"/>
    <x v="12"/>
    <x v="1"/>
    <s v=""/>
    <s v=""/>
    <s v=""/>
    <s v=""/>
    <s v=""/>
  </r>
  <r>
    <s v="Der_Schlaegel.csv"/>
    <s v="#Koufman"/>
    <x v="0"/>
    <s v="buergerlich:kaufmann"/>
    <x v="2"/>
    <x v="14"/>
    <x v="0"/>
    <x v="3"/>
    <x v="1"/>
    <n v="1.5714285714285701"/>
    <n v="0.21978021978022"/>
    <n v="0.4"/>
    <n v="1"/>
    <x v="5"/>
    <x v="1"/>
    <s v=""/>
    <n v="2"/>
    <s v=""/>
    <s v=""/>
    <s v=""/>
  </r>
  <r>
    <s v="Der_Schlaegel.csv"/>
    <s v="#Zweite-tochter"/>
    <x v="1"/>
    <s v="buergerlich:ehefrau"/>
    <x v="0"/>
    <x v="4"/>
    <x v="0"/>
    <x v="3"/>
    <x v="1"/>
    <n v="1"/>
    <n v="0"/>
    <n v="0.34146341463414598"/>
    <n v="0.68258032424639303"/>
    <x v="4"/>
    <x v="1"/>
    <n v="1"/>
    <s v=""/>
    <s v=""/>
    <s v=""/>
    <s v=""/>
  </r>
  <r>
    <s v="Der_Schlaegel.csv"/>
    <s v="#Erste-tochter"/>
    <x v="1"/>
    <s v="buergerlich:ehefrau"/>
    <x v="0"/>
    <x v="4"/>
    <x v="0"/>
    <x v="3"/>
    <x v="1"/>
    <n v="1"/>
    <n v="0"/>
    <n v="0.34146341463414598"/>
    <n v="0.67361884454360299"/>
    <x v="4"/>
    <x v="1"/>
    <n v="1"/>
    <s v=""/>
    <s v=""/>
    <s v=""/>
    <s v=""/>
  </r>
  <r>
    <s v="Der_Schlaegel.csv"/>
    <s v="#Erster-sun"/>
    <x v="0"/>
    <s v="buergerlich:kaufmann"/>
    <x v="0"/>
    <x v="4"/>
    <x v="0"/>
    <x v="3"/>
    <x v="1"/>
    <n v="1.4285714285714299"/>
    <n v="0.31868131868131899"/>
    <n v="0.4"/>
    <n v="0.762272203631845"/>
    <x v="4"/>
    <x v="1"/>
    <n v="1"/>
    <s v=""/>
    <s v=""/>
    <s v=""/>
    <s v=""/>
  </r>
  <r>
    <s v="Der_Schlaegel.csv"/>
    <s v="#Zweiter-sun"/>
    <x v="0"/>
    <s v="buergerlich:kaufmann"/>
    <x v="0"/>
    <x v="4"/>
    <x v="0"/>
    <x v="3"/>
    <x v="1"/>
    <n v="1.28571428571429"/>
    <n v="0.12637362637362601"/>
    <n v="0.37837837837837801"/>
    <n v="0.74841887681967501"/>
    <x v="4"/>
    <x v="1"/>
    <n v="1"/>
    <s v=""/>
    <s v=""/>
    <s v=""/>
    <s v=""/>
  </r>
  <r>
    <s v="Der_Schlaegel.csv"/>
    <s v="#Dritter-sun"/>
    <x v="0"/>
    <s v="buergerlich:kaufmann"/>
    <x v="0"/>
    <x v="4"/>
    <x v="0"/>
    <x v="3"/>
    <x v="1"/>
    <n v="1.28571428571429"/>
    <n v="0.20329670329670299"/>
    <n v="0.38888888888888901"/>
    <n v="0.77167261148359301"/>
    <x v="4"/>
    <x v="1"/>
    <n v="1"/>
    <s v=""/>
    <s v=""/>
    <s v=""/>
    <s v=""/>
  </r>
  <r>
    <s v="Der_Schlaegel.csv"/>
    <s v="#Wip-des-koufmans"/>
    <x v="1"/>
    <s v="buergerlich:ehefrau"/>
    <x v="5"/>
    <x v="1"/>
    <x v="1"/>
    <x v="3"/>
    <x v="1"/>
    <n v="0.85714285714285698"/>
    <n v="0.63736263736263699"/>
    <n v="0.48275862068965503"/>
    <n v="5.00985771977304E-2"/>
    <x v="1"/>
    <x v="1"/>
    <s v=""/>
    <s v=""/>
    <s v=""/>
    <s v=""/>
    <s v=""/>
  </r>
  <r>
    <s v="Der_Schlaegel.csv"/>
    <s v="#Wip-des-zweiten"/>
    <x v="1"/>
    <s v="buergerlich:ehefrau"/>
    <x v="3"/>
    <x v="1"/>
    <x v="1"/>
    <x v="3"/>
    <x v="1"/>
    <n v="0.28571428571428598"/>
    <n v="0"/>
    <n v="0.29787234042553201"/>
    <n v="2.96841671453658E-2"/>
    <x v="1"/>
    <x v="1"/>
    <s v=""/>
    <s v=""/>
    <s v=""/>
    <s v=""/>
    <s v=""/>
  </r>
  <r>
    <s v="Der_Schlaegel.csv"/>
    <s v="#Wip-des-ersten"/>
    <x v="1"/>
    <s v="buergerlich:ehefrau"/>
    <x v="3"/>
    <x v="1"/>
    <x v="1"/>
    <x v="3"/>
    <x v="1"/>
    <n v="0.28571428571428598"/>
    <n v="0"/>
    <n v="0.20895522388059701"/>
    <n v="5.71000109438616E-2"/>
    <x v="1"/>
    <x v="1"/>
    <s v=""/>
    <s v=""/>
    <s v=""/>
    <s v=""/>
    <s v=""/>
  </r>
  <r>
    <s v="Der_Schlaegel.csv"/>
    <s v="#Wip-des-dritten"/>
    <x v="1"/>
    <s v="buergerlich:ehefrau"/>
    <x v="3"/>
    <x v="1"/>
    <x v="1"/>
    <x v="3"/>
    <x v="1"/>
    <n v="0.28571428571428598"/>
    <n v="0"/>
    <n v="0.20588235294117599"/>
    <n v="5.7404596915373501E-2"/>
    <x v="1"/>
    <x v="1"/>
    <s v=""/>
    <s v=""/>
    <s v=""/>
    <s v=""/>
    <s v=""/>
  </r>
  <r>
    <s v="Der_Schlaegel.csv"/>
    <s v="#Burgaer"/>
    <x v="0"/>
    <s v="buergerlich:kaufmann"/>
    <x v="3"/>
    <x v="6"/>
    <x v="1"/>
    <x v="3"/>
    <x v="1"/>
    <n v="0.85714285714285698"/>
    <n v="0"/>
    <n v="0.18181818181818199"/>
    <n v="0.33127928152897801"/>
    <x v="6"/>
    <x v="1"/>
    <s v=""/>
    <s v=""/>
    <s v=""/>
    <s v=""/>
    <s v=""/>
  </r>
  <r>
    <s v="Der_Schlaegel.csv"/>
    <s v="#Torwertel"/>
    <x v="0"/>
    <s v="buergerlich:torwaechter"/>
    <x v="3"/>
    <x v="3"/>
    <x v="1"/>
    <x v="3"/>
    <x v="1"/>
    <n v="0.14285714285714299"/>
    <n v="0"/>
    <n v="0.29166666666666702"/>
    <n v="8.2328846209414903E-3"/>
    <x v="3"/>
    <x v="1"/>
    <s v=""/>
    <s v=""/>
    <s v=""/>
    <s v=""/>
    <s v=""/>
  </r>
  <r>
    <s v="Der_Schlaegel.csv"/>
    <s v="#Kneht-des-ersten"/>
    <x v="0"/>
    <s v="buergerlich:knecht"/>
    <x v="3"/>
    <x v="3"/>
    <x v="1"/>
    <x v="3"/>
    <x v="1"/>
    <n v="0.14285714285714299"/>
    <n v="0"/>
    <n v="0.29166666666666702"/>
    <n v="8.2328846209414903E-3"/>
    <x v="3"/>
    <x v="1"/>
    <s v=""/>
    <s v=""/>
    <s v=""/>
    <s v=""/>
    <s v=""/>
  </r>
  <r>
    <s v="Der_Schlaegel.csv"/>
    <s v="#Knecht-des-zweiten"/>
    <x v="0"/>
    <s v="buergerlich:knecht"/>
    <x v="3"/>
    <x v="3"/>
    <x v="1"/>
    <x v="3"/>
    <x v="1"/>
    <n v="0.28571428571428598"/>
    <n v="0"/>
    <n v="0.30434782608695699"/>
    <n v="2.69669772096944E-2"/>
    <x v="3"/>
    <x v="1"/>
    <s v=""/>
    <s v=""/>
    <s v=""/>
    <s v=""/>
    <s v=""/>
  </r>
  <r>
    <s v="Der_Schlaegel.csv"/>
    <s v="#Magd-des-dritten"/>
    <x v="1"/>
    <s v="buergerlich:magd"/>
    <x v="3"/>
    <x v="3"/>
    <x v="1"/>
    <x v="3"/>
    <x v="1"/>
    <n v="0.14285714285714299"/>
    <n v="0"/>
    <n v="0.28571428571428598"/>
    <n v="8.3344132781121207E-3"/>
    <x v="3"/>
    <x v="1"/>
    <s v=""/>
    <s v=""/>
    <s v=""/>
    <s v=""/>
    <s v=""/>
  </r>
  <r>
    <s v="Der_Schueler_zu_Paris.csv"/>
    <s v="#Burgaere"/>
    <x v="0"/>
    <s v="buergerlich:buerger"/>
    <x v="2"/>
    <x v="3"/>
    <x v="1"/>
    <x v="3"/>
    <x v="2"/>
    <n v="0.22222222222222199"/>
    <n v="0"/>
    <n v="0.26470588235294101"/>
    <n v="1.8317626889649701E-2"/>
    <x v="3"/>
    <x v="2"/>
    <s v=""/>
    <s v=""/>
    <s v=""/>
    <s v=""/>
    <s v=""/>
  </r>
  <r>
    <s v="Der_Schueler_zu_Paris.csv"/>
    <s v="#Junc-vrouwe"/>
    <x v="1"/>
    <s v="buergerlich:unbekannt"/>
    <x v="0"/>
    <x v="12"/>
    <x v="0"/>
    <x v="3"/>
    <x v="2"/>
    <n v="1.7777777777777799"/>
    <n v="0.22222222222222199"/>
    <n v="0.34615384615384598"/>
    <n v="1"/>
    <x v="11"/>
    <x v="2"/>
    <s v=""/>
    <s v=""/>
    <s v=""/>
    <n v="4"/>
    <s v=""/>
  </r>
  <r>
    <s v="Der_Schueler_zu_Paris.csv"/>
    <s v="#Schuoler"/>
    <x v="0"/>
    <s v="buergerlich:schueler"/>
    <x v="0"/>
    <x v="10"/>
    <x v="0"/>
    <x v="3"/>
    <x v="2"/>
    <n v="1.55555555555556"/>
    <n v="0.194444444444444"/>
    <n v="0.375"/>
    <n v="0.97695490369002602"/>
    <x v="9"/>
    <x v="2"/>
    <s v=""/>
    <s v=""/>
    <n v="3"/>
    <s v=""/>
    <s v=""/>
  </r>
  <r>
    <s v="Der_Schueler_zu_Paris.csv"/>
    <s v="#Vater-der-vrouwe"/>
    <x v="0"/>
    <s v="buergerlich:unbekannt"/>
    <x v="2"/>
    <x v="11"/>
    <x v="1"/>
    <x v="3"/>
    <x v="2"/>
    <n v="1.3333333333333299"/>
    <n v="0.43518518518518501"/>
    <n v="0.45"/>
    <n v="0.352728361443373"/>
    <x v="10"/>
    <x v="2"/>
    <s v=""/>
    <s v=""/>
    <s v=""/>
    <s v=""/>
    <n v="5"/>
  </r>
  <r>
    <s v="Der_Schueler_zu_Paris.csv"/>
    <s v="#Megede-dri"/>
    <x v="2"/>
    <s v="buergerlich:magd"/>
    <x v="3"/>
    <x v="3"/>
    <x v="1"/>
    <x v="3"/>
    <x v="2"/>
    <n v="0.88888888888888895"/>
    <n v="0.17592592592592601"/>
    <n v="0.45"/>
    <n v="0.117864473744484"/>
    <x v="3"/>
    <x v="2"/>
    <s v=""/>
    <s v=""/>
    <s v=""/>
    <s v=""/>
    <s v=""/>
  </r>
  <r>
    <s v="Der_Schueler_zu_Paris.csv"/>
    <s v="#Kellaerin"/>
    <x v="1"/>
    <s v="buergerlich:magd"/>
    <x v="3"/>
    <x v="6"/>
    <x v="1"/>
    <x v="3"/>
    <x v="2"/>
    <n v="1.1111111111111101"/>
    <n v="0.22222222222222199"/>
    <n v="0.375"/>
    <n v="0.127845645839436"/>
    <x v="6"/>
    <x v="2"/>
    <s v=""/>
    <s v=""/>
    <s v=""/>
    <s v=""/>
    <s v=""/>
  </r>
  <r>
    <s v="Der_Schueler_zu_Paris.csv"/>
    <s v="#Barvuoz"/>
    <x v="0"/>
    <s v="klerus:priester"/>
    <x v="3"/>
    <x v="6"/>
    <x v="1"/>
    <x v="4"/>
    <x v="2"/>
    <n v="0.66666666666666696"/>
    <n v="0"/>
    <n v="0.28125"/>
    <n v="0.20214719872273099"/>
    <x v="6"/>
    <x v="2"/>
    <s v=""/>
    <s v=""/>
    <s v=""/>
    <s v=""/>
    <s v=""/>
  </r>
  <r>
    <s v="Der_Schueler_zu_Paris.csv"/>
    <s v="#Knecht-des-schuelers"/>
    <x v="0"/>
    <s v="buergerlich:knecht"/>
    <x v="0"/>
    <x v="3"/>
    <x v="1"/>
    <x v="3"/>
    <x v="2"/>
    <n v="0.44444444444444398"/>
    <n v="0"/>
    <n v="0.28125"/>
    <n v="9.1166002972406304E-2"/>
    <x v="3"/>
    <x v="2"/>
    <s v=""/>
    <s v=""/>
    <s v=""/>
    <s v=""/>
    <s v=""/>
  </r>
  <r>
    <s v="Der_Schueler_zu_Paris.csv"/>
    <s v="#Wirt-des-schuelers"/>
    <x v="0"/>
    <s v="buergerlich:wirt"/>
    <x v="3"/>
    <x v="3"/>
    <x v="1"/>
    <x v="3"/>
    <x v="2"/>
    <n v="0.66666666666666696"/>
    <n v="0.37962962962962998"/>
    <n v="0.45"/>
    <n v="6.0569764235582003E-2"/>
    <x v="3"/>
    <x v="2"/>
    <s v=""/>
    <s v=""/>
    <s v=""/>
    <s v=""/>
    <s v=""/>
  </r>
  <r>
    <s v="Der_Schueler_zu_Paris.csv"/>
    <s v="#Vriund-des-vaters"/>
    <x v="2"/>
    <s v="unbekannt"/>
    <x v="3"/>
    <x v="3"/>
    <x v="1"/>
    <x v="2"/>
    <x v="2"/>
    <n v="0.22222222222222199"/>
    <n v="0"/>
    <n v="0.32142857142857101"/>
    <n v="6.4611465183172E-3"/>
    <x v="3"/>
    <x v="2"/>
    <s v=""/>
    <s v=""/>
    <s v=""/>
    <s v=""/>
    <s v=""/>
  </r>
  <r>
    <s v="Der_schwangere_Moench.csv"/>
    <s v="#Muench"/>
    <x v="0"/>
    <s v="klerus:moench"/>
    <x v="0"/>
    <x v="14"/>
    <x v="0"/>
    <x v="4"/>
    <x v="1"/>
    <n v="2"/>
    <n v="0.125"/>
    <n v="0.38095238095238099"/>
    <n v="1"/>
    <x v="5"/>
    <x v="1"/>
    <s v=""/>
    <n v="2"/>
    <s v=""/>
    <s v=""/>
    <s v=""/>
  </r>
  <r>
    <s v="Der_schwangere_Moench.csv"/>
    <s v="#Apt"/>
    <x v="0"/>
    <s v="klerus:abt"/>
    <x v="3"/>
    <x v="3"/>
    <x v="1"/>
    <x v="4"/>
    <x v="1"/>
    <n v="1.75"/>
    <n v="0.33928571428571402"/>
    <n v="0.44444444444444398"/>
    <n v="0.51638670399931397"/>
    <x v="3"/>
    <x v="1"/>
    <s v=""/>
    <s v=""/>
    <s v=""/>
    <s v=""/>
    <s v=""/>
  </r>
  <r>
    <s v="Der_schwangere_Moench.csv"/>
    <s v="#Kneht[e-]"/>
    <x v="0"/>
    <s v="unbekannt:knecht"/>
    <x v="3"/>
    <x v="6"/>
    <x v="1"/>
    <x v="2"/>
    <x v="1"/>
    <n v="1"/>
    <n v="0"/>
    <n v="0.34782608695652201"/>
    <n v="0.61883230205109196"/>
    <x v="6"/>
    <x v="1"/>
    <s v=""/>
    <s v=""/>
    <s v=""/>
    <s v=""/>
    <s v=""/>
  </r>
  <r>
    <s v="Der_schwangere_Moench.csv"/>
    <s v="#Vrouwe"/>
    <x v="1"/>
    <s v="unbekannt"/>
    <x v="3"/>
    <x v="4"/>
    <x v="1"/>
    <x v="2"/>
    <x v="1"/>
    <n v="1.25"/>
    <n v="0.26785714285714302"/>
    <n v="0.47058823529411797"/>
    <n v="0.68992518323229102"/>
    <x v="4"/>
    <x v="1"/>
    <n v="1"/>
    <s v=""/>
    <s v=""/>
    <s v=""/>
    <s v=""/>
  </r>
  <r>
    <s v="Der_schwangere_Moench.csv"/>
    <s v="#Man-der-vrouwe"/>
    <x v="0"/>
    <s v="unbekannt"/>
    <x v="3"/>
    <x v="0"/>
    <x v="1"/>
    <x v="2"/>
    <x v="1"/>
    <n v="0.75"/>
    <n v="0.30357142857142899"/>
    <n v="0.44444444444444398"/>
    <n v="6.88296229739426E-2"/>
    <x v="0"/>
    <x v="1"/>
    <s v=""/>
    <s v=""/>
    <s v=""/>
    <s v=""/>
    <s v=""/>
  </r>
  <r>
    <s v="Der_schwangere_Moench.csv"/>
    <s v="#Muenche"/>
    <x v="2"/>
    <s v="klerus:moench"/>
    <x v="3"/>
    <x v="3"/>
    <x v="1"/>
    <x v="4"/>
    <x v="1"/>
    <n v="1"/>
    <n v="0.107142857142857"/>
    <n v="0.4"/>
    <n v="0.327618125355643"/>
    <x v="3"/>
    <x v="1"/>
    <s v=""/>
    <s v=""/>
    <s v=""/>
    <s v=""/>
    <s v=""/>
  </r>
  <r>
    <s v="Der_schwangere_Moench.csv"/>
    <s v="#Hof-man"/>
    <x v="0"/>
    <s v="bauer"/>
    <x v="3"/>
    <x v="3"/>
    <x v="1"/>
    <x v="5"/>
    <x v="1"/>
    <n v="0.5"/>
    <n v="8.9285714285714302E-2"/>
    <n v="0.36363636363636398"/>
    <n v="6.0601872719788299E-2"/>
    <x v="3"/>
    <x v="1"/>
    <s v=""/>
    <s v=""/>
    <s v=""/>
    <s v=""/>
    <s v=""/>
  </r>
  <r>
    <s v="Der_schwangere_Moench.csv"/>
    <s v="#Witwen-sun"/>
    <x v="0"/>
    <s v="unbekannt"/>
    <x v="3"/>
    <x v="3"/>
    <x v="1"/>
    <x v="2"/>
    <x v="1"/>
    <n v="0.5"/>
    <n v="0"/>
    <n v="0.25"/>
    <n v="0.20966391889111699"/>
    <x v="3"/>
    <x v="1"/>
    <s v=""/>
    <s v=""/>
    <s v=""/>
    <s v=""/>
    <s v=""/>
  </r>
  <r>
    <s v="Der_schwangere_Moench.csv"/>
    <s v="#Alter-muench"/>
    <x v="0"/>
    <s v="klerus:moench"/>
    <x v="2"/>
    <x v="15"/>
    <x v="1"/>
    <x v="4"/>
    <x v="1"/>
    <n v="0.75"/>
    <n v="8.9285714285714302E-2"/>
    <n v="0.38095238095238099"/>
    <n v="0.23384868200828701"/>
    <x v="12"/>
    <x v="1"/>
    <s v=""/>
    <s v=""/>
    <s v=""/>
    <s v=""/>
    <s v=""/>
  </r>
  <r>
    <s v="Der_Sperber.csv"/>
    <s v="#Nonnen"/>
    <x v="2"/>
    <s v="klerus:nonne"/>
    <x v="3"/>
    <x v="3"/>
    <x v="1"/>
    <x v="4"/>
    <x v="2"/>
    <n v="2"/>
    <n v="0.66666666666666696"/>
    <n v="0.75"/>
    <n v="0.20164722966590601"/>
    <x v="3"/>
    <x v="1"/>
    <s v=""/>
    <s v=""/>
    <s v=""/>
    <s v=""/>
    <s v=""/>
  </r>
  <r>
    <s v="Der_Sperber.csv"/>
    <s v="#Schuole-meisterin"/>
    <x v="1"/>
    <s v="klerus:nonne"/>
    <x v="3"/>
    <x v="6"/>
    <x v="1"/>
    <x v="4"/>
    <x v="2"/>
    <n v="2"/>
    <n v="0"/>
    <n v="0.6"/>
    <n v="0.37344680002823999"/>
    <x v="6"/>
    <x v="1"/>
    <s v=""/>
    <s v=""/>
    <s v=""/>
    <s v=""/>
    <s v=""/>
  </r>
  <r>
    <s v="Der_Sperber.csv"/>
    <s v="#Junk-vrouwe"/>
    <x v="1"/>
    <s v="klerus:nonne"/>
    <x v="0"/>
    <x v="14"/>
    <x v="0"/>
    <x v="4"/>
    <x v="2"/>
    <n v="2"/>
    <n v="0"/>
    <n v="0.375"/>
    <n v="1"/>
    <x v="5"/>
    <x v="1"/>
    <s v=""/>
    <n v="2"/>
    <s v=""/>
    <s v=""/>
    <s v=""/>
  </r>
  <r>
    <s v="Der_Sperber.csv"/>
    <s v="#Ritter"/>
    <x v="0"/>
    <s v="adel:ritter"/>
    <x v="3"/>
    <x v="4"/>
    <x v="1"/>
    <x v="1"/>
    <x v="2"/>
    <n v="2"/>
    <n v="0"/>
    <n v="0.6"/>
    <n v="0.946112034569356"/>
    <x v="4"/>
    <x v="1"/>
    <n v="1"/>
    <s v=""/>
    <s v=""/>
    <s v=""/>
    <s v=""/>
  </r>
  <r>
    <s v="Der_unbelehrbare_Zecher.csv"/>
    <s v="#Wines-slunt"/>
    <x v="0"/>
    <s v="unbekannt"/>
    <x v="3"/>
    <x v="3"/>
    <x v="0"/>
    <x v="2"/>
    <x v="1"/>
    <n v="0"/>
    <n v="0"/>
    <n v="0"/>
    <n v="0"/>
    <x v="3"/>
    <x v="1"/>
    <s v=""/>
    <s v=""/>
    <s v=""/>
    <s v=""/>
    <s v=""/>
  </r>
  <r>
    <s v="Der_unbelehrbare_Zecher.csv"/>
    <s v="#Freunt"/>
    <x v="0"/>
    <s v="unbekannt"/>
    <x v="3"/>
    <x v="11"/>
    <x v="0"/>
    <x v="2"/>
    <x v="1"/>
    <n v="0"/>
    <n v="0"/>
    <n v="0"/>
    <n v="0"/>
    <x v="10"/>
    <x v="1"/>
    <s v=""/>
    <s v=""/>
    <s v=""/>
    <s v=""/>
    <n v="5"/>
  </r>
  <r>
    <s v="Der_verkehrte_Wirt.csv"/>
    <s v="#Ritter"/>
    <x v="0"/>
    <s v="adel:ritter"/>
    <x v="2"/>
    <x v="7"/>
    <x v="0"/>
    <x v="1"/>
    <x v="3"/>
    <n v="1.5"/>
    <n v="0"/>
    <n v="0.16"/>
    <n v="1"/>
    <x v="5"/>
    <x v="1"/>
    <s v=""/>
    <n v="2"/>
    <s v=""/>
    <s v=""/>
    <s v=""/>
  </r>
  <r>
    <s v="Der_verkehrte_Wirt.csv"/>
    <s v="#Wip"/>
    <x v="1"/>
    <s v="adel:edelfrau"/>
    <x v="3"/>
    <x v="13"/>
    <x v="0"/>
    <x v="1"/>
    <x v="3"/>
    <n v="2"/>
    <n v="0.33333333333333298"/>
    <n v="0.25"/>
    <n v="0.99954369641468699"/>
    <x v="4"/>
    <x v="1"/>
    <n v="1"/>
    <s v=""/>
    <s v=""/>
    <s v=""/>
    <s v=""/>
  </r>
  <r>
    <s v="Der_verkehrte_Wirt.csv"/>
    <s v="#Buoler"/>
    <x v="0"/>
    <s v="adel:ritter"/>
    <x v="3"/>
    <x v="4"/>
    <x v="1"/>
    <x v="1"/>
    <x v="3"/>
    <n v="1.5"/>
    <n v="0.33333333333333298"/>
    <n v="0.25"/>
    <n v="0.44449245889201999"/>
    <x v="4"/>
    <x v="1"/>
    <n v="1"/>
    <s v=""/>
    <s v=""/>
    <s v=""/>
    <s v=""/>
  </r>
  <r>
    <s v="Der_verkehrte_Wirt.csv"/>
    <s v="#Bote"/>
    <x v="0"/>
    <s v="unbekannt"/>
    <x v="3"/>
    <x v="15"/>
    <x v="1"/>
    <x v="2"/>
    <x v="3"/>
    <n v="1"/>
    <n v="0.5"/>
    <n v="0.266666666666667"/>
    <n v="5.8059205976879698E-2"/>
    <x v="12"/>
    <x v="1"/>
    <s v=""/>
    <s v=""/>
    <s v=""/>
    <s v=""/>
    <s v=""/>
  </r>
  <r>
    <s v="Der_verkehrte_Wirt.csv"/>
    <s v="#Gevaterin"/>
    <x v="1"/>
    <s v="unbekannt"/>
    <x v="3"/>
    <x v="6"/>
    <x v="1"/>
    <x v="2"/>
    <x v="3"/>
    <n v="1"/>
    <n v="0"/>
    <n v="0.14285714285714299"/>
    <n v="0.52257051818489497"/>
    <x v="6"/>
    <x v="1"/>
    <s v=""/>
    <s v=""/>
    <s v=""/>
    <s v=""/>
    <s v=""/>
  </r>
  <r>
    <s v="Der_wahrsagende_Baum.csv"/>
    <s v="#Man"/>
    <x v="0"/>
    <s v="unbekannt"/>
    <x v="3"/>
    <x v="0"/>
    <x v="0"/>
    <x v="2"/>
    <x v="3"/>
    <n v="0"/>
    <n v="0"/>
    <n v="0"/>
    <n v="0"/>
    <x v="0"/>
    <x v="1"/>
    <s v=""/>
    <s v=""/>
    <s v=""/>
    <s v=""/>
    <s v=""/>
  </r>
  <r>
    <s v="Der_wahrsagende_Baum.csv"/>
    <s v="#Wip"/>
    <x v="1"/>
    <s v="unbekannt"/>
    <x v="3"/>
    <x v="1"/>
    <x v="0"/>
    <x v="2"/>
    <x v="3"/>
    <n v="0"/>
    <n v="0"/>
    <n v="0"/>
    <n v="0"/>
    <x v="1"/>
    <x v="1"/>
    <s v=""/>
    <s v=""/>
    <s v=""/>
    <s v=""/>
    <s v=""/>
  </r>
  <r>
    <s v="Der_weiße_Rosendorn.csv"/>
    <s v="#Junk-vrouw"/>
    <x v="1"/>
    <s v="unbekannt"/>
    <x v="3"/>
    <x v="11"/>
    <x v="0"/>
    <x v="2"/>
    <x v="1"/>
    <n v="0"/>
    <n v="0"/>
    <n v="0"/>
    <n v="0"/>
    <x v="10"/>
    <x v="3"/>
    <s v=""/>
    <s v=""/>
    <s v=""/>
    <s v=""/>
    <n v="5"/>
  </r>
  <r>
    <s v="Der_weiße_Rosendorn.csv"/>
    <s v="#Vut"/>
    <x v="4"/>
    <s v="NA"/>
    <x v="4"/>
    <x v="11"/>
    <x v="0"/>
    <x v="0"/>
    <x v="1"/>
    <n v="0"/>
    <n v="0"/>
    <n v="0"/>
    <n v="0"/>
    <x v="10"/>
    <x v="3"/>
    <s v=""/>
    <s v=""/>
    <s v=""/>
    <s v=""/>
    <n v="5"/>
  </r>
  <r>
    <s v="Der_weiße_Rosendorn.csv"/>
    <s v="#Schuoler"/>
    <x v="0"/>
    <s v="buergerlich:schueler"/>
    <x v="3"/>
    <x v="3"/>
    <x v="1"/>
    <x v="3"/>
    <x v="1"/>
    <n v="0"/>
    <n v="0"/>
    <n v="0"/>
    <n v="0"/>
    <x v="3"/>
    <x v="3"/>
    <s v=""/>
    <s v=""/>
    <s v=""/>
    <s v=""/>
    <s v=""/>
  </r>
  <r>
    <s v="Der_Welt_Lohn.csv"/>
    <s v="#Her-Wirent-da-von-Gravenberk"/>
    <x v="0"/>
    <s v="adel:ritter"/>
    <x v="3"/>
    <x v="3"/>
    <x v="0"/>
    <x v="1"/>
    <x v="1"/>
    <n v="0"/>
    <n v="0"/>
    <n v="0"/>
    <n v="0"/>
    <x v="3"/>
    <x v="0"/>
    <s v=""/>
    <s v=""/>
    <s v=""/>
    <s v=""/>
    <s v=""/>
  </r>
  <r>
    <s v="Der_Welt_Lohn.csv"/>
    <s v="#Werlt"/>
    <x v="1"/>
    <s v="NA"/>
    <x v="4"/>
    <x v="3"/>
    <x v="0"/>
    <x v="0"/>
    <x v="1"/>
    <n v="0"/>
    <n v="0"/>
    <n v="0"/>
    <n v="0"/>
    <x v="3"/>
    <x v="0"/>
    <s v=""/>
    <s v=""/>
    <s v=""/>
    <s v=""/>
    <s v=""/>
  </r>
  <r>
    <s v="Der_Weltheilige.csv"/>
    <s v="#Luoderaere"/>
    <x v="0"/>
    <s v="unbekannt"/>
    <x v="3"/>
    <x v="4"/>
    <x v="0"/>
    <x v="2"/>
    <x v="1"/>
    <n v="2"/>
    <n v="0.7"/>
    <n v="0.45454545454545497"/>
    <n v="1"/>
    <x v="4"/>
    <x v="1"/>
    <n v="1"/>
    <s v=""/>
    <s v=""/>
    <s v=""/>
    <s v=""/>
  </r>
  <r>
    <s v="Der_Weltheilige.csv"/>
    <s v="#Vriunden"/>
    <x v="2"/>
    <s v="unbekannt"/>
    <x v="3"/>
    <x v="3"/>
    <x v="1"/>
    <x v="2"/>
    <x v="1"/>
    <n v="0.8"/>
    <n v="0"/>
    <n v="0.217391304347826"/>
    <n v="0.67150236807641095"/>
    <x v="3"/>
    <x v="1"/>
    <s v=""/>
    <s v=""/>
    <s v=""/>
    <s v=""/>
    <s v=""/>
  </r>
  <r>
    <s v="Der_Weltheilige.csv"/>
    <s v="#Pfaffe"/>
    <x v="0"/>
    <s v="klerus:pfarrer"/>
    <x v="3"/>
    <x v="3"/>
    <x v="1"/>
    <x v="4"/>
    <x v="1"/>
    <n v="0.8"/>
    <n v="0.4"/>
    <n v="0.33333333333333298"/>
    <n v="0.29570716340551501"/>
    <x v="3"/>
    <x v="1"/>
    <s v=""/>
    <s v=""/>
    <s v=""/>
    <s v=""/>
    <s v=""/>
  </r>
  <r>
    <s v="Der_Weltheilige.csv"/>
    <s v="#Wip-1"/>
    <x v="1"/>
    <s v="unbekannt"/>
    <x v="3"/>
    <x v="6"/>
    <x v="1"/>
    <x v="2"/>
    <x v="1"/>
    <n v="1.2"/>
    <n v="0"/>
    <n v="0.3125"/>
    <n v="0.73116852160074197"/>
    <x v="6"/>
    <x v="1"/>
    <s v=""/>
    <s v=""/>
    <s v=""/>
    <s v=""/>
    <s v=""/>
  </r>
  <r>
    <s v="Der_Weltheilige.csv"/>
    <s v="#Knecht-von-wip-1"/>
    <x v="0"/>
    <s v="unbekannt:knecht"/>
    <x v="3"/>
    <x v="20"/>
    <x v="1"/>
    <x v="2"/>
    <x v="1"/>
    <n v="0.8"/>
    <n v="0.3"/>
    <n v="0.38461538461538503"/>
    <n v="0.15313138128802001"/>
    <x v="14"/>
    <x v="1"/>
    <s v=""/>
    <s v=""/>
    <s v=""/>
    <s v=""/>
    <s v=""/>
  </r>
  <r>
    <s v="Der_Weltheilige.csv"/>
    <s v="#Wip-2"/>
    <x v="1"/>
    <s v="unbekannt"/>
    <x v="3"/>
    <x v="3"/>
    <x v="1"/>
    <x v="2"/>
    <x v="1"/>
    <n v="0.8"/>
    <n v="0"/>
    <n v="0.27777777777777801"/>
    <n v="0.37093864148094902"/>
    <x v="3"/>
    <x v="1"/>
    <s v=""/>
    <s v=""/>
    <s v=""/>
    <s v=""/>
    <s v=""/>
  </r>
  <r>
    <s v="Der_Wiener_Meerfahrt.csv"/>
    <s v="#Burgaere"/>
    <x v="2"/>
    <s v="buergerlich:unbekannt"/>
    <x v="3"/>
    <x v="4"/>
    <x v="0"/>
    <x v="3"/>
    <x v="1"/>
    <n v="1.6923076923076901"/>
    <n v="0.354700854700855"/>
    <n v="0.29545454545454503"/>
    <n v="1"/>
    <x v="4"/>
    <x v="1"/>
    <n v="1"/>
    <s v=""/>
    <s v=""/>
    <s v=""/>
    <s v=""/>
  </r>
  <r>
    <s v="Der_Wiener_Meerfahrt.csv"/>
    <s v="#Wirt"/>
    <x v="0"/>
    <s v="buergerlich:wirt"/>
    <x v="3"/>
    <x v="3"/>
    <x v="1"/>
    <x v="3"/>
    <x v="1"/>
    <n v="0.46153846153846201"/>
    <n v="0"/>
    <n v="0.22807017543859601"/>
    <n v="0.171088408347843"/>
    <x v="3"/>
    <x v="1"/>
    <s v=""/>
    <s v=""/>
    <s v=""/>
    <s v=""/>
    <s v=""/>
  </r>
  <r>
    <s v="Der_Wiener_Meerfahrt.csv"/>
    <s v="#Einer"/>
    <x v="0"/>
    <s v="buergerlich:unbekannt"/>
    <x v="3"/>
    <x v="3"/>
    <x v="1"/>
    <x v="3"/>
    <x v="1"/>
    <n v="0.76923076923076905"/>
    <n v="2.6068376068376101E-2"/>
    <n v="0.245283018867925"/>
    <n v="0.53880985936399495"/>
    <x v="3"/>
    <x v="1"/>
    <s v=""/>
    <s v=""/>
    <s v=""/>
    <s v=""/>
    <s v=""/>
  </r>
  <r>
    <s v="Der_Wiener_Meerfahrt.csv"/>
    <s v="#Ein-ander"/>
    <x v="0"/>
    <s v="buergerlich:unbekannt"/>
    <x v="3"/>
    <x v="3"/>
    <x v="1"/>
    <x v="3"/>
    <x v="1"/>
    <n v="0.92307692307692302"/>
    <n v="4.6153846153846101E-2"/>
    <n v="0.25490196078431399"/>
    <n v="0.442325029869159"/>
    <x v="3"/>
    <x v="1"/>
    <s v=""/>
    <s v=""/>
    <s v=""/>
    <s v=""/>
    <s v=""/>
  </r>
  <r>
    <s v="Der_Wiener_Meerfahrt.csv"/>
    <s v="#Schribaere"/>
    <x v="0"/>
    <s v="buergerlich:schreiber"/>
    <x v="3"/>
    <x v="3"/>
    <x v="1"/>
    <x v="3"/>
    <x v="1"/>
    <n v="0.76923076923076905"/>
    <n v="6.7307692307692304E-2"/>
    <n v="0.26"/>
    <n v="0.33076300976294698"/>
    <x v="3"/>
    <x v="1"/>
    <s v=""/>
    <s v=""/>
    <s v=""/>
    <s v=""/>
    <s v=""/>
  </r>
  <r>
    <s v="Der_Wiener_Meerfahrt.csv"/>
    <s v="#Ein-burger"/>
    <x v="0"/>
    <s v="buergerlich:unbekannt"/>
    <x v="3"/>
    <x v="3"/>
    <x v="1"/>
    <x v="3"/>
    <x v="1"/>
    <n v="0.30769230769230799"/>
    <n v="4.48717948717949E-2"/>
    <n v="0.25490196078431399"/>
    <n v="9.2309779935597094E-2"/>
    <x v="3"/>
    <x v="1"/>
    <s v=""/>
    <s v=""/>
    <s v=""/>
    <s v=""/>
    <s v=""/>
  </r>
  <r>
    <s v="Der_Wiener_Meerfahrt.csv"/>
    <s v="#Einer-2"/>
    <x v="0"/>
    <s v="buergerlich:unbekannt"/>
    <x v="3"/>
    <x v="3"/>
    <x v="1"/>
    <x v="3"/>
    <x v="1"/>
    <n v="0.15384615384615399"/>
    <n v="0"/>
    <n v="7.69230769230769E-2"/>
    <n v="4.0528826699823401E-17"/>
    <x v="3"/>
    <x v="1"/>
    <s v=""/>
    <s v=""/>
    <s v=""/>
    <s v=""/>
    <s v=""/>
  </r>
  <r>
    <s v="Der_Wiener_Meerfahrt.csv"/>
    <s v="#Dri-buerger"/>
    <x v="2"/>
    <s v="buergerlich:unbekannt"/>
    <x v="3"/>
    <x v="3"/>
    <x v="1"/>
    <x v="3"/>
    <x v="1"/>
    <n v="0.15384615384615399"/>
    <n v="0"/>
    <n v="7.69230769230769E-2"/>
    <n v="4.5273225956579E-17"/>
    <x v="3"/>
    <x v="1"/>
    <s v=""/>
    <s v=""/>
    <s v=""/>
    <s v=""/>
    <s v=""/>
  </r>
  <r>
    <s v="Der_Wiener_Meerfahrt.csv"/>
    <s v="#Richer-burger"/>
    <x v="0"/>
    <s v="buergerlich:unbekannt"/>
    <x v="3"/>
    <x v="14"/>
    <x v="0"/>
    <x v="3"/>
    <x v="1"/>
    <n v="1.07692307692308"/>
    <n v="6.41025641025641E-3"/>
    <n v="0.25"/>
    <n v="0.83713576155104497"/>
    <x v="5"/>
    <x v="1"/>
    <s v=""/>
    <n v="2"/>
    <s v=""/>
    <s v=""/>
    <s v=""/>
  </r>
  <r>
    <s v="Der_Wiener_Meerfahrt.csv"/>
    <s v="#Dritte"/>
    <x v="0"/>
    <s v="buergerlich:unbekannt"/>
    <x v="3"/>
    <x v="3"/>
    <x v="1"/>
    <x v="3"/>
    <x v="1"/>
    <n v="0.61538461538461497"/>
    <n v="4.6367521367521397E-2"/>
    <n v="0.27083333333333298"/>
    <n v="0.145465960922014"/>
    <x v="3"/>
    <x v="1"/>
    <s v=""/>
    <s v=""/>
    <s v=""/>
    <s v=""/>
    <s v=""/>
  </r>
  <r>
    <s v="Der_Wiener_Meerfahrt.csv"/>
    <s v="#Vierde"/>
    <x v="0"/>
    <s v="buergerlich:unbekannt"/>
    <x v="3"/>
    <x v="3"/>
    <x v="1"/>
    <x v="3"/>
    <x v="1"/>
    <n v="0.61538461538461497"/>
    <n v="4.6367521367521397E-2"/>
    <n v="0.27083333333333298"/>
    <n v="0.145465960922014"/>
    <x v="3"/>
    <x v="1"/>
    <s v=""/>
    <s v=""/>
    <s v=""/>
    <s v=""/>
    <s v=""/>
  </r>
  <r>
    <s v="Der_Wiener_Meerfahrt.csv"/>
    <s v="#Vijnfte"/>
    <x v="0"/>
    <s v="buergerlich:unbekannt"/>
    <x v="3"/>
    <x v="3"/>
    <x v="1"/>
    <x v="3"/>
    <x v="1"/>
    <n v="0.15384615384615399"/>
    <n v="0"/>
    <n v="0.240740740740741"/>
    <n v="5.9987775210739502E-2"/>
    <x v="3"/>
    <x v="1"/>
    <s v=""/>
    <s v=""/>
    <s v=""/>
    <s v=""/>
    <s v=""/>
  </r>
  <r>
    <s v="Der_Wiener_Meerfahrt.csv"/>
    <s v="#Nuechterne"/>
    <x v="2"/>
    <s v="buergerlich:unbekannt"/>
    <x v="3"/>
    <x v="3"/>
    <x v="1"/>
    <x v="3"/>
    <x v="1"/>
    <n v="0.61538461538461497"/>
    <n v="0.111538461538462"/>
    <n v="0.27659574468085102"/>
    <n v="0.19052854903915101"/>
    <x v="3"/>
    <x v="1"/>
    <s v=""/>
    <s v=""/>
    <s v=""/>
    <s v=""/>
    <s v=""/>
  </r>
  <r>
    <s v="Der_Wiener_Meerfahrt.csv"/>
    <s v="#Vriunde-des-richen"/>
    <x v="2"/>
    <s v="buergerlich:unbekannt"/>
    <x v="3"/>
    <x v="11"/>
    <x v="1"/>
    <x v="3"/>
    <x v="1"/>
    <n v="0.30769230769230799"/>
    <n v="0"/>
    <n v="0.245283018867925"/>
    <n v="0.16042359898033001"/>
    <x v="10"/>
    <x v="1"/>
    <s v=""/>
    <s v=""/>
    <s v=""/>
    <s v=""/>
    <n v="5"/>
  </r>
  <r>
    <s v="Des_Bruders_Felix_Verzueckung.csv"/>
    <s v="#Felix"/>
    <x v="0"/>
    <s v="klerus:moench"/>
    <x v="3"/>
    <x v="3"/>
    <x v="0"/>
    <x v="4"/>
    <x v="1"/>
    <n v="2"/>
    <n v="0"/>
    <n v="0.44444444444444398"/>
    <n v="1"/>
    <x v="3"/>
    <x v="0"/>
    <s v=""/>
    <s v=""/>
    <s v=""/>
    <s v=""/>
    <s v=""/>
  </r>
  <r>
    <s v="Des_Bruders_Felix_Verzueckung.csv"/>
    <s v="#Pfortenaere"/>
    <x v="0"/>
    <s v="klerus:pfortner"/>
    <x v="3"/>
    <x v="11"/>
    <x v="1"/>
    <x v="4"/>
    <x v="1"/>
    <n v="1"/>
    <n v="0"/>
    <n v="0.4"/>
    <n v="0.46203707670192201"/>
    <x v="10"/>
    <x v="0"/>
    <s v=""/>
    <s v=""/>
    <s v=""/>
    <s v=""/>
    <n v="5"/>
  </r>
  <r>
    <s v="Des_Bruders_Felix_Verzueckung.csv"/>
    <s v="#Apt"/>
    <x v="0"/>
    <s v="klerus:abt"/>
    <x v="3"/>
    <x v="3"/>
    <x v="1"/>
    <x v="4"/>
    <x v="1"/>
    <n v="2"/>
    <n v="0.33333333333333298"/>
    <n v="0.5"/>
    <n v="0.96406043082997095"/>
    <x v="3"/>
    <x v="0"/>
    <s v=""/>
    <s v=""/>
    <s v=""/>
    <s v=""/>
    <s v=""/>
  </r>
  <r>
    <s v="Des_Bruders_Felix_Verzueckung.csv"/>
    <s v="#Eldisten"/>
    <x v="2"/>
    <s v="klerus:moench"/>
    <x v="3"/>
    <x v="3"/>
    <x v="1"/>
    <x v="4"/>
    <x v="1"/>
    <n v="1.5"/>
    <n v="0"/>
    <n v="0.5"/>
    <n v="0.50448143521806499"/>
    <x v="3"/>
    <x v="0"/>
    <s v=""/>
    <s v=""/>
    <s v=""/>
    <s v=""/>
    <s v=""/>
  </r>
  <r>
    <s v="Des_Bruders_Felix_Verzueckung.csv"/>
    <s v="#Muench"/>
    <x v="0"/>
    <s v="klerus:moench"/>
    <x v="2"/>
    <x v="6"/>
    <x v="1"/>
    <x v="4"/>
    <x v="1"/>
    <n v="1.5"/>
    <n v="0.25"/>
    <n v="0.57142857142857095"/>
    <n v="0.400092167716463"/>
    <x v="6"/>
    <x v="0"/>
    <s v=""/>
    <s v=""/>
    <s v=""/>
    <s v=""/>
    <s v=""/>
  </r>
  <r>
    <s v="Die_alte_Mutter_und_Kaiser_Friedrich.csv"/>
    <s v="#Keiser-Vridrich"/>
    <x v="0"/>
    <s v="adel:kaiser"/>
    <x v="3"/>
    <x v="6"/>
    <x v="1"/>
    <x v="1"/>
    <x v="1"/>
    <n v="1.1111111111111101"/>
    <n v="7.6388888888888895E-2"/>
    <n v="0.33333333333333298"/>
    <n v="0.68078474513314302"/>
    <x v="6"/>
    <x v="1"/>
    <s v=""/>
    <s v=""/>
    <s v=""/>
    <s v=""/>
    <s v=""/>
  </r>
  <r>
    <s v="Die_alte_Mutter_und_Kaiser_Friedrich.csv"/>
    <s v="#Fremder-ritter"/>
    <x v="0"/>
    <s v="adel:ritter"/>
    <x v="3"/>
    <x v="14"/>
    <x v="0"/>
    <x v="1"/>
    <x v="1"/>
    <n v="1.55555555555556"/>
    <n v="5.7870370370370398E-2"/>
    <n v="0.36"/>
    <n v="0.88699304273590596"/>
    <x v="5"/>
    <x v="1"/>
    <s v=""/>
    <n v="2"/>
    <s v=""/>
    <s v=""/>
    <s v=""/>
  </r>
  <r>
    <s v="Die_alte_Mutter_und_Kaiser_Friedrich.csv"/>
    <s v="#Muoter"/>
    <x v="1"/>
    <s v="adel:edelfrau"/>
    <x v="2"/>
    <x v="14"/>
    <x v="0"/>
    <x v="1"/>
    <x v="1"/>
    <n v="1.7777777777777799"/>
    <n v="0.26388888888888901"/>
    <n v="0.39130434782608697"/>
    <n v="1"/>
    <x v="5"/>
    <x v="1"/>
    <s v=""/>
    <n v="2"/>
    <s v=""/>
    <s v=""/>
    <s v=""/>
  </r>
  <r>
    <s v="Die_alte_Mutter_und_Kaiser_Friedrich.csv"/>
    <s v="#Ein-ritter"/>
    <x v="0"/>
    <s v="adel:ritter"/>
    <x v="3"/>
    <x v="3"/>
    <x v="1"/>
    <x v="1"/>
    <x v="1"/>
    <n v="0"/>
    <n v="0"/>
    <n v="0.1"/>
    <n v="0"/>
    <x v="3"/>
    <x v="1"/>
    <s v=""/>
    <s v=""/>
    <s v=""/>
    <s v=""/>
    <s v=""/>
  </r>
  <r>
    <s v="Die_alte_Mutter_und_Kaiser_Friedrich.csv"/>
    <s v="#Liute"/>
    <x v="2"/>
    <s v="unbekannt"/>
    <x v="3"/>
    <x v="3"/>
    <x v="1"/>
    <x v="2"/>
    <x v="1"/>
    <n v="0.88888888888888895"/>
    <n v="0"/>
    <n v="0.3"/>
    <n v="0.27620196624966498"/>
    <x v="3"/>
    <x v="1"/>
    <s v=""/>
    <s v=""/>
    <s v=""/>
    <s v=""/>
    <s v=""/>
  </r>
  <r>
    <s v="Die_alte_Mutter_und_Kaiser_Friedrich.csv"/>
    <s v="#Man-der-muoter"/>
    <x v="0"/>
    <s v="adel:unbekannt"/>
    <x v="5"/>
    <x v="3"/>
    <x v="1"/>
    <x v="1"/>
    <x v="1"/>
    <n v="0.44444444444444398"/>
    <n v="3.4722222222222203E-2"/>
    <n v="0.33333333333333298"/>
    <n v="5.0943220616632798E-2"/>
    <x v="3"/>
    <x v="1"/>
    <s v=""/>
    <s v=""/>
    <s v=""/>
    <s v=""/>
    <s v=""/>
  </r>
  <r>
    <s v="Die_alte_Mutter_und_Kaiser_Friedrich.csv"/>
    <s v="#Sun"/>
    <x v="0"/>
    <s v="adel:ritter"/>
    <x v="0"/>
    <x v="4"/>
    <x v="0"/>
    <x v="1"/>
    <x v="1"/>
    <n v="1.3333333333333299"/>
    <n v="8.7962962962963007E-2"/>
    <n v="0.34615384615384598"/>
    <n v="0.59414139280215195"/>
    <x v="4"/>
    <x v="1"/>
    <n v="1"/>
    <s v=""/>
    <s v=""/>
    <s v=""/>
    <s v=""/>
  </r>
  <r>
    <s v="Die_alte_Mutter_und_Kaiser_Friedrich.csv"/>
    <s v="#Herre"/>
    <x v="0"/>
    <s v="unbekannt"/>
    <x v="3"/>
    <x v="3"/>
    <x v="1"/>
    <x v="2"/>
    <x v="1"/>
    <n v="0.66666666666666696"/>
    <n v="0.101851851851852"/>
    <n v="0.36"/>
    <n v="7.928843670947E-2"/>
    <x v="3"/>
    <x v="1"/>
    <s v=""/>
    <s v=""/>
    <s v=""/>
    <s v=""/>
    <s v=""/>
  </r>
  <r>
    <s v="Die_alte_Mutter_und_Kaiser_Friedrich.csv"/>
    <s v="#Ein-ritter-2"/>
    <x v="0"/>
    <s v="adel:ritter"/>
    <x v="3"/>
    <x v="3"/>
    <x v="1"/>
    <x v="1"/>
    <x v="1"/>
    <n v="0.66666666666666696"/>
    <n v="0.180555555555556"/>
    <n v="0.375"/>
    <n v="8.2057257237367898E-2"/>
    <x v="3"/>
    <x v="1"/>
    <s v=""/>
    <s v=""/>
    <s v=""/>
    <s v=""/>
    <s v=""/>
  </r>
  <r>
    <s v="Die_alte_Mutter_und_Kaiser_Friedrich.csv"/>
    <s v="#Schar-des-suns"/>
    <x v="2"/>
    <s v="unbekannt"/>
    <x v="3"/>
    <x v="3"/>
    <x v="1"/>
    <x v="2"/>
    <x v="1"/>
    <n v="0.44444444444444398"/>
    <n v="0"/>
    <n v="0.31034482758620702"/>
    <n v="8.8646958028771594E-2"/>
    <x v="3"/>
    <x v="1"/>
    <s v=""/>
    <s v=""/>
    <s v=""/>
    <s v=""/>
    <s v=""/>
  </r>
  <r>
    <s v="Die_Beichte.csv"/>
    <s v="#Man"/>
    <x v="0"/>
    <s v="unbekannt"/>
    <x v="3"/>
    <x v="17"/>
    <x v="0"/>
    <x v="2"/>
    <x v="3"/>
    <n v="0"/>
    <n v="0"/>
    <n v="0"/>
    <n v="0"/>
    <x v="5"/>
    <x v="1"/>
    <s v=""/>
    <n v="2"/>
    <s v=""/>
    <s v=""/>
    <s v=""/>
  </r>
  <r>
    <s v="Die_Beichte.csv"/>
    <s v="#Vrouwe"/>
    <x v="1"/>
    <s v="unbekannt"/>
    <x v="3"/>
    <x v="16"/>
    <x v="0"/>
    <x v="2"/>
    <x v="3"/>
    <n v="0"/>
    <n v="0"/>
    <n v="0"/>
    <n v="0"/>
    <x v="5"/>
    <x v="1"/>
    <s v=""/>
    <n v="2"/>
    <s v=""/>
    <s v=""/>
    <s v=""/>
  </r>
  <r>
    <s v="Die_drei_Moenche_von_Kolmar.csv"/>
    <s v="#Man"/>
    <x v="0"/>
    <s v="unbekannt"/>
    <x v="3"/>
    <x v="21"/>
    <x v="0"/>
    <x v="2"/>
    <x v="1"/>
    <n v="1.6666666666666701"/>
    <n v="0"/>
    <n v="0.12765957446808501"/>
    <n v="0.95661262941960301"/>
    <x v="4"/>
    <x v="1"/>
    <n v="1"/>
    <s v=""/>
    <s v=""/>
    <s v=""/>
    <s v=""/>
  </r>
  <r>
    <s v="Die_drei_Moenche_von_Kolmar.csv"/>
    <s v="#Vrouwe"/>
    <x v="1"/>
    <s v="unbekannt"/>
    <x v="0"/>
    <x v="13"/>
    <x v="0"/>
    <x v="2"/>
    <x v="1"/>
    <n v="1.3333333333333299"/>
    <n v="0"/>
    <n v="0.11764705882352899"/>
    <n v="1"/>
    <x v="4"/>
    <x v="1"/>
    <n v="1"/>
    <s v=""/>
    <s v=""/>
    <s v=""/>
    <s v=""/>
  </r>
  <r>
    <s v="Die_drei_Moenche_von_Kolmar.csv"/>
    <s v="#Bruoder-TetiÃ "/>
    <x v="0"/>
    <s v="klerus:moench"/>
    <x v="3"/>
    <x v="14"/>
    <x v="1"/>
    <x v="4"/>
    <x v="1"/>
    <n v="2"/>
    <n v="5.5555555555555601E-2"/>
    <n v="0.25"/>
    <n v="0.95222085104804999"/>
    <x v="5"/>
    <x v="1"/>
    <s v=""/>
    <n v="2"/>
    <s v=""/>
    <s v=""/>
    <s v=""/>
  </r>
  <r>
    <s v="Die_drei_Moenche_von_Kolmar.csv"/>
    <s v="#Muench"/>
    <x v="0"/>
    <s v="klerus:moench"/>
    <x v="3"/>
    <x v="14"/>
    <x v="1"/>
    <x v="4"/>
    <x v="1"/>
    <n v="2"/>
    <n v="0"/>
    <n v="0.230769230769231"/>
    <n v="0.87113382517415705"/>
    <x v="5"/>
    <x v="1"/>
    <s v=""/>
    <n v="2"/>
    <s v=""/>
    <s v=""/>
    <s v=""/>
  </r>
  <r>
    <s v="Die_drei_Moenche_von_Kolmar.csv"/>
    <s v="#Augustiner-muench"/>
    <x v="0"/>
    <s v="klerus:moench"/>
    <x v="3"/>
    <x v="14"/>
    <x v="1"/>
    <x v="4"/>
    <x v="1"/>
    <n v="2"/>
    <n v="0.53333333333333299"/>
    <n v="0.28571428571428598"/>
    <n v="0.67807182041540304"/>
    <x v="5"/>
    <x v="1"/>
    <s v=""/>
    <n v="2"/>
    <s v=""/>
    <s v=""/>
    <s v=""/>
  </r>
  <r>
    <s v="Die_drei_Moenche_von_Kolmar.csv"/>
    <s v="#Schuoler"/>
    <x v="0"/>
    <s v="buergerlich:schueler"/>
    <x v="3"/>
    <x v="6"/>
    <x v="1"/>
    <x v="3"/>
    <x v="1"/>
    <n v="1.6666666666666701"/>
    <n v="0"/>
    <n v="0.1875"/>
    <n v="0.37870162876688301"/>
    <x v="6"/>
    <x v="1"/>
    <s v=""/>
    <s v=""/>
    <s v=""/>
    <s v=""/>
    <s v=""/>
  </r>
  <r>
    <s v="Die_drei_Moenche_von_Kolmar.csv"/>
    <s v="#Ein-bruoder"/>
    <x v="0"/>
    <s v="klerus:moench"/>
    <x v="3"/>
    <x v="14"/>
    <x v="1"/>
    <x v="4"/>
    <x v="1"/>
    <n v="1.3333333333333299"/>
    <n v="0.51111111111111096"/>
    <n v="0.28571428571428598"/>
    <n v="9.4801868264653699E-2"/>
    <x v="5"/>
    <x v="1"/>
    <s v=""/>
    <n v="2"/>
    <s v=""/>
    <s v=""/>
    <s v=""/>
  </r>
  <r>
    <s v="Die_drei_Wuensche.csv"/>
    <s v="#Man"/>
    <x v="0"/>
    <s v="bauer"/>
    <x v="3"/>
    <x v="0"/>
    <x v="0"/>
    <x v="5"/>
    <x v="3"/>
    <n v="0"/>
    <n v="0"/>
    <n v="0"/>
    <n v="0"/>
    <x v="0"/>
    <x v="1"/>
    <s v=""/>
    <s v=""/>
    <s v=""/>
    <s v=""/>
    <s v=""/>
  </r>
  <r>
    <s v="Die_drei_Wuensche.csv"/>
    <s v="#Wibe"/>
    <x v="1"/>
    <s v="bauer"/>
    <x v="3"/>
    <x v="24"/>
    <x v="0"/>
    <x v="5"/>
    <x v="3"/>
    <n v="0"/>
    <n v="0"/>
    <n v="0"/>
    <n v="0"/>
    <x v="17"/>
    <x v="1"/>
    <s v=""/>
    <s v=""/>
    <s v=""/>
    <s v=""/>
    <s v=""/>
  </r>
  <r>
    <s v="Die_drei_Wuensche.csv"/>
    <s v="#Vriund-der-vrouwe"/>
    <x v="2"/>
    <s v="unbekannt"/>
    <x v="3"/>
    <x v="6"/>
    <x v="1"/>
    <x v="2"/>
    <x v="3"/>
    <n v="0"/>
    <n v="0"/>
    <n v="0"/>
    <n v="0"/>
    <x v="6"/>
    <x v="1"/>
    <s v=""/>
    <s v=""/>
    <s v=""/>
    <s v=""/>
    <s v=""/>
  </r>
  <r>
    <s v="Die_eingemauerte_Frau.csv"/>
    <s v="#Ritter"/>
    <x v="0"/>
    <s v="adel:ritter"/>
    <x v="3"/>
    <x v="0"/>
    <x v="0"/>
    <x v="1"/>
    <x v="3"/>
    <n v="1.71428571428571"/>
    <n v="0.119047619047619"/>
    <n v="0.5"/>
    <n v="0.92679401514459703"/>
    <x v="0"/>
    <x v="1"/>
    <s v=""/>
    <s v=""/>
    <s v=""/>
    <s v=""/>
    <s v=""/>
  </r>
  <r>
    <s v="Die_eingemauerte_Frau.csv"/>
    <s v="#Wip"/>
    <x v="1"/>
    <s v="adel:edelfrau"/>
    <x v="3"/>
    <x v="1"/>
    <x v="0"/>
    <x v="1"/>
    <x v="3"/>
    <n v="2"/>
    <n v="0.15079365079365101"/>
    <n v="0.53846153846153799"/>
    <n v="1"/>
    <x v="1"/>
    <x v="1"/>
    <s v=""/>
    <s v=""/>
    <s v=""/>
    <s v=""/>
    <s v=""/>
  </r>
  <r>
    <s v="Die_eingemauerte_Frau.csv"/>
    <s v="#Ein-Wip"/>
    <x v="1"/>
    <s v="unbekannt"/>
    <x v="3"/>
    <x v="3"/>
    <x v="1"/>
    <x v="2"/>
    <x v="3"/>
    <n v="0.57142857142857095"/>
    <n v="2.3809523809523801E-2"/>
    <n v="0.41176470588235298"/>
    <n v="0.102434267109328"/>
    <x v="3"/>
    <x v="1"/>
    <s v=""/>
    <s v=""/>
    <s v=""/>
    <s v=""/>
    <s v=""/>
  </r>
  <r>
    <s v="Die_eingemauerte_Frau.csv"/>
    <s v="#Ire-mage"/>
    <x v="2"/>
    <s v="unbekannt"/>
    <x v="3"/>
    <x v="3"/>
    <x v="1"/>
    <x v="2"/>
    <x v="3"/>
    <n v="0.85714285714285698"/>
    <n v="0"/>
    <n v="0.38888888888888901"/>
    <n v="0.26679899506945498"/>
    <x v="3"/>
    <x v="1"/>
    <s v=""/>
    <s v=""/>
    <s v=""/>
    <s v=""/>
    <s v=""/>
  </r>
  <r>
    <s v="Die_eingemauerte_Frau.csv"/>
    <s v="#Ire-vriunden"/>
    <x v="2"/>
    <s v="unbekannt"/>
    <x v="3"/>
    <x v="3"/>
    <x v="1"/>
    <x v="2"/>
    <x v="3"/>
    <n v="1.71428571428571"/>
    <n v="0.40476190476190499"/>
    <n v="0.58333333333333304"/>
    <n v="0.58245763204958501"/>
    <x v="3"/>
    <x v="1"/>
    <s v=""/>
    <s v=""/>
    <s v=""/>
    <s v=""/>
    <s v=""/>
  </r>
  <r>
    <s v="Die_eingemauerte_Frau.csv"/>
    <s v="#Ein-friunt"/>
    <x v="3"/>
    <s v="unbekannt"/>
    <x v="3"/>
    <x v="3"/>
    <x v="1"/>
    <x v="2"/>
    <x v="3"/>
    <n v="0.85714285714285698"/>
    <n v="0.317460317460317"/>
    <n v="0.58333333333333304"/>
    <n v="0.13339949753472699"/>
    <x v="3"/>
    <x v="1"/>
    <s v=""/>
    <s v=""/>
    <s v=""/>
    <s v=""/>
    <s v=""/>
  </r>
  <r>
    <s v="Die_eingemauerte_Frau.csv"/>
    <s v="#Pfaffe"/>
    <x v="0"/>
    <s v="klerus:pfarrer"/>
    <x v="3"/>
    <x v="6"/>
    <x v="1"/>
    <x v="4"/>
    <x v="3"/>
    <n v="0.85714285714285698"/>
    <n v="0"/>
    <n v="0.38888888888888901"/>
    <n v="0.44459415307636202"/>
    <x v="6"/>
    <x v="1"/>
    <s v=""/>
    <s v=""/>
    <s v=""/>
    <s v=""/>
    <s v=""/>
  </r>
  <r>
    <s v="Die_eingemauerte_Frau.csv"/>
    <s v="#Sumliche"/>
    <x v="2"/>
    <s v="unbekannt"/>
    <x v="3"/>
    <x v="3"/>
    <x v="1"/>
    <x v="2"/>
    <x v="3"/>
    <n v="0.57142857142857095"/>
    <n v="0"/>
    <n v="0.4375"/>
    <n v="0.137291351748379"/>
    <x v="3"/>
    <x v="1"/>
    <s v=""/>
    <s v=""/>
    <s v=""/>
    <s v=""/>
    <s v=""/>
  </r>
  <r>
    <s v="Die_halbe_Birn.csv"/>
    <s v="#Kuenig"/>
    <x v="0"/>
    <s v="adel:koenig"/>
    <x v="2"/>
    <x v="8"/>
    <x v="1"/>
    <x v="1"/>
    <x v="2"/>
    <n v="0.72727272727272696"/>
    <n v="0.118181818181818"/>
    <n v="0.36666666666666697"/>
    <n v="0.11230244846644601"/>
    <x v="7"/>
    <x v="1"/>
    <s v=""/>
    <s v=""/>
    <s v=""/>
    <s v=""/>
    <s v=""/>
  </r>
  <r>
    <s v="Die_halbe_Birn.csv"/>
    <s v="#Koenigin"/>
    <x v="1"/>
    <s v="adel:koenigin"/>
    <x v="2"/>
    <x v="9"/>
    <x v="1"/>
    <x v="1"/>
    <x v="2"/>
    <n v="0.36363636363636398"/>
    <n v="2.27272727272727E-2"/>
    <n v="0.35483870967741898"/>
    <n v="4.05085057459025E-2"/>
    <x v="8"/>
    <x v="1"/>
    <s v=""/>
    <s v=""/>
    <s v=""/>
    <s v=""/>
    <s v=""/>
  </r>
  <r>
    <s v="Die_halbe_Birn.csv"/>
    <s v="#Tohter-des-kuniks"/>
    <x v="1"/>
    <s v="adel:koenigstochter"/>
    <x v="0"/>
    <x v="25"/>
    <x v="0"/>
    <x v="1"/>
    <x v="2"/>
    <n v="1.8181818181818199"/>
    <n v="0.49545454545454498"/>
    <n v="0.44"/>
    <n v="0.99658329577265603"/>
    <x v="4"/>
    <x v="1"/>
    <n v="1"/>
    <s v=""/>
    <s v=""/>
    <s v=""/>
    <s v=""/>
  </r>
  <r>
    <s v="Die_halbe_Birn.csv"/>
    <s v="#Vuersten"/>
    <x v="0"/>
    <s v="adel:fuerst"/>
    <x v="3"/>
    <x v="3"/>
    <x v="1"/>
    <x v="1"/>
    <x v="2"/>
    <n v="0.36363636363636398"/>
    <n v="2.27272727272727E-2"/>
    <n v="0.35483870967741898"/>
    <n v="4.05085057459025E-2"/>
    <x v="3"/>
    <x v="1"/>
    <s v=""/>
    <s v=""/>
    <s v=""/>
    <s v=""/>
    <s v=""/>
  </r>
  <r>
    <s v="Die_halbe_Birn.csv"/>
    <s v="#Ritter-Arnolt"/>
    <x v="0"/>
    <s v="adel:ritter"/>
    <x v="3"/>
    <x v="25"/>
    <x v="0"/>
    <x v="1"/>
    <x v="2"/>
    <n v="1.4545454545454499"/>
    <n v="0.35"/>
    <n v="0.407407407407407"/>
    <n v="1"/>
    <x v="4"/>
    <x v="1"/>
    <n v="1"/>
    <s v=""/>
    <s v=""/>
    <s v=""/>
    <s v=""/>
  </r>
  <r>
    <s v="Die_halbe_Birn.csv"/>
    <s v="#Heinrich-der-kneht"/>
    <x v="0"/>
    <s v="adel:knecht"/>
    <x v="3"/>
    <x v="6"/>
    <x v="1"/>
    <x v="1"/>
    <x v="2"/>
    <n v="0.36363636363636398"/>
    <n v="0"/>
    <n v="0.2"/>
    <n v="0.29187211658206402"/>
    <x v="6"/>
    <x v="1"/>
    <s v=""/>
    <s v=""/>
    <s v=""/>
    <s v=""/>
    <s v=""/>
  </r>
  <r>
    <s v="Die_halbe_Birn.csv"/>
    <s v="#Liute"/>
    <x v="2"/>
    <s v="unbekannt"/>
    <x v="3"/>
    <x v="3"/>
    <x v="1"/>
    <x v="2"/>
    <x v="2"/>
    <n v="0.18181818181818199"/>
    <n v="0"/>
    <n v="0.23404255319148901"/>
    <n v="7.3061640401371905E-2"/>
    <x v="3"/>
    <x v="1"/>
    <s v=""/>
    <s v=""/>
    <s v=""/>
    <s v=""/>
    <s v=""/>
  </r>
  <r>
    <s v="Die_halbe_Birn.csv"/>
    <s v="#junk-vrouwen-der-tohter"/>
    <x v="2"/>
    <s v="adel:hofstaat"/>
    <x v="3"/>
    <x v="3"/>
    <x v="1"/>
    <x v="1"/>
    <x v="2"/>
    <n v="0.36363636363636398"/>
    <n v="0"/>
    <n v="0.25581395348837199"/>
    <n v="0.18240447098781401"/>
    <x v="3"/>
    <x v="1"/>
    <s v=""/>
    <s v=""/>
    <s v=""/>
    <s v=""/>
    <s v=""/>
  </r>
  <r>
    <s v="Die_halbe_Birn.csv"/>
    <s v="#Eine-vrouwe"/>
    <x v="1"/>
    <s v="adel:hofstaat"/>
    <x v="3"/>
    <x v="6"/>
    <x v="1"/>
    <x v="1"/>
    <x v="2"/>
    <n v="0.36363636363636398"/>
    <n v="9.0909090909090898E-2"/>
    <n v="0.39285714285714302"/>
    <n v="7.2936825393563803E-2"/>
    <x v="6"/>
    <x v="1"/>
    <s v=""/>
    <s v=""/>
    <s v=""/>
    <s v=""/>
    <s v=""/>
  </r>
  <r>
    <s v="Die_halbe_Birn.csv"/>
    <s v="#Eine-kamerruze"/>
    <x v="1"/>
    <s v="adel:kammerzofe"/>
    <x v="3"/>
    <x v="3"/>
    <x v="1"/>
    <x v="1"/>
    <x v="2"/>
    <n v="0.18181818181818199"/>
    <n v="0"/>
    <n v="0.314285714285714"/>
    <n v="3.6406005192877899E-2"/>
    <x v="3"/>
    <x v="1"/>
    <s v=""/>
    <s v=""/>
    <s v=""/>
    <s v=""/>
    <s v=""/>
  </r>
  <r>
    <s v="Die_halbe_Birn.csv"/>
    <s v="#Zwei-vroeuwelin"/>
    <x v="2"/>
    <s v="adel:hofstaat"/>
    <x v="3"/>
    <x v="3"/>
    <x v="1"/>
    <x v="1"/>
    <x v="2"/>
    <n v="0.36363636363636398"/>
    <n v="0"/>
    <n v="0.32352941176470601"/>
    <n v="0.10934283058644199"/>
    <x v="3"/>
    <x v="1"/>
    <s v=""/>
    <s v=""/>
    <s v=""/>
    <s v=""/>
    <s v=""/>
  </r>
  <r>
    <s v="Die_halbe_Birn.csv"/>
    <s v="#Kamer-wip-Irmegart"/>
    <x v="1"/>
    <s v="adel:kammerzofe"/>
    <x v="2"/>
    <x v="6"/>
    <x v="1"/>
    <x v="1"/>
    <x v="2"/>
    <n v="0.36363636363636398"/>
    <n v="0"/>
    <n v="0.14864864864864899"/>
    <n v="0.401090132160697"/>
    <x v="6"/>
    <x v="1"/>
    <s v=""/>
    <s v=""/>
    <s v=""/>
    <s v=""/>
    <s v=""/>
  </r>
  <r>
    <s v="Die_halbe_Decke.csv"/>
    <s v="#Burgaer"/>
    <x v="0"/>
    <s v="buergerlich:unbekannt"/>
    <x v="2"/>
    <x v="14"/>
    <x v="0"/>
    <x v="3"/>
    <x v="1"/>
    <n v="2"/>
    <n v="0.4"/>
    <n v="0.33333333333333298"/>
    <n v="1"/>
    <x v="5"/>
    <x v="1"/>
    <s v=""/>
    <n v="2"/>
    <s v=""/>
    <s v=""/>
    <s v=""/>
  </r>
  <r>
    <s v="Die_halbe_Decke.csv"/>
    <s v="#Wip-des-alten"/>
    <x v="1"/>
    <s v="buergerlich:ehefrau"/>
    <x v="5"/>
    <x v="1"/>
    <x v="1"/>
    <x v="3"/>
    <x v="1"/>
    <n v="0.4"/>
    <n v="0"/>
    <n v="0.26315789473684198"/>
    <n v="5.3215731250487702E-2"/>
    <x v="1"/>
    <x v="1"/>
    <s v=""/>
    <s v=""/>
    <s v=""/>
    <s v=""/>
    <s v=""/>
  </r>
  <r>
    <s v="Die_halbe_Decke.csv"/>
    <s v="#Sun-des-buergers"/>
    <x v="0"/>
    <s v="buergerlich:unbekannt"/>
    <x v="0"/>
    <x v="4"/>
    <x v="0"/>
    <x v="3"/>
    <x v="1"/>
    <n v="1.2"/>
    <n v="0"/>
    <n v="0.217391304347826"/>
    <n v="0.79493345639628898"/>
    <x v="4"/>
    <x v="1"/>
    <n v="1"/>
    <s v=""/>
    <s v=""/>
    <s v=""/>
    <s v=""/>
  </r>
  <r>
    <s v="Die_halbe_Decke.csv"/>
    <s v="#Kindelin"/>
    <x v="0"/>
    <s v="buergerlich:NA"/>
    <x v="1"/>
    <x v="6"/>
    <x v="0"/>
    <x v="3"/>
    <x v="1"/>
    <n v="1.6"/>
    <n v="0.2"/>
    <n v="0.29411764705882398"/>
    <n v="0.85354916609651099"/>
    <x v="6"/>
    <x v="1"/>
    <s v=""/>
    <s v=""/>
    <s v=""/>
    <s v=""/>
    <s v=""/>
  </r>
  <r>
    <s v="Die_halbe_Decke.csv"/>
    <s v="#Vrouwe-des-jungen"/>
    <x v="1"/>
    <s v="buergerlich:ehefrau"/>
    <x v="0"/>
    <x v="1"/>
    <x v="1"/>
    <x v="3"/>
    <x v="1"/>
    <n v="1.2"/>
    <n v="0.4"/>
    <n v="0.33333333333333298"/>
    <n v="0.33509761017081602"/>
    <x v="1"/>
    <x v="1"/>
    <s v=""/>
    <s v=""/>
    <s v=""/>
    <s v=""/>
    <s v=""/>
  </r>
  <r>
    <s v="Die_halbe_Decke.csv"/>
    <s v="#Kneh?"/>
    <x v="2"/>
    <s v="buergerlich:knecht"/>
    <x v="3"/>
    <x v="3"/>
    <x v="1"/>
    <x v="3"/>
    <x v="1"/>
    <n v="0.8"/>
    <n v="0.2"/>
    <n v="0.29411764705882398"/>
    <n v="0.19727594856511499"/>
    <x v="3"/>
    <x v="1"/>
    <s v=""/>
    <s v=""/>
    <s v=""/>
    <s v=""/>
    <s v=""/>
  </r>
  <r>
    <s v="Die_Heidin.csv"/>
    <s v="#Koenig-der-heiden"/>
    <x v="0"/>
    <s v="adel:koenig"/>
    <x v="3"/>
    <x v="0"/>
    <x v="0"/>
    <x v="1"/>
    <x v="3"/>
    <n v="0.91666666666666696"/>
    <n v="8.4194559466298599E-2"/>
    <n v="0.42857142857142899"/>
    <n v="0.63811100899106199"/>
    <x v="0"/>
    <x v="1"/>
    <s v=""/>
    <s v=""/>
    <s v=""/>
    <s v=""/>
    <s v=""/>
  </r>
  <r>
    <s v="Die_Heidin.csv"/>
    <s v="#Kuenegin-Demuot"/>
    <x v="1"/>
    <s v="adel:koenigin"/>
    <x v="0"/>
    <x v="1"/>
    <x v="0"/>
    <x v="1"/>
    <x v="3"/>
    <n v="1.0833333333333299"/>
    <n v="0.14272271106510201"/>
    <n v="0.46153846153846201"/>
    <n v="0.96755371858738204"/>
    <x v="1"/>
    <x v="1"/>
    <s v=""/>
    <s v=""/>
    <s v=""/>
    <s v=""/>
    <s v=""/>
  </r>
  <r>
    <s v="Die_Heidin.csv"/>
    <s v="#Grave-Alpharius"/>
    <x v="0"/>
    <s v="adel:graf"/>
    <x v="3"/>
    <x v="4"/>
    <x v="0"/>
    <x v="1"/>
    <x v="3"/>
    <n v="1.5833333333333299"/>
    <n v="0.51665947780078203"/>
    <n v="0.57142857142857095"/>
    <n v="1"/>
    <x v="4"/>
    <x v="1"/>
    <n v="1"/>
    <s v=""/>
    <s v=""/>
    <s v=""/>
    <s v=""/>
  </r>
  <r>
    <s v="Die_Heidin.csv"/>
    <s v="#Ritter-des-graven"/>
    <x v="2"/>
    <s v="adel:ritter"/>
    <x v="3"/>
    <x v="20"/>
    <x v="1"/>
    <x v="1"/>
    <x v="3"/>
    <n v="0.58333333333333304"/>
    <n v="6.9760754543363196E-2"/>
    <n v="0.34782608695652201"/>
    <n v="0.265179101006282"/>
    <x v="14"/>
    <x v="1"/>
    <s v=""/>
    <s v=""/>
    <s v=""/>
    <s v=""/>
    <s v=""/>
  </r>
  <r>
    <s v="Die_Heidin.csv"/>
    <s v="#Knehte-des-graven"/>
    <x v="2"/>
    <s v="adel:knecht"/>
    <x v="3"/>
    <x v="20"/>
    <x v="1"/>
    <x v="1"/>
    <x v="3"/>
    <n v="0.5"/>
    <n v="2.1128076834598601E-2"/>
    <n v="0.28571428571428598"/>
    <n v="0.25548775811783703"/>
    <x v="14"/>
    <x v="1"/>
    <s v=""/>
    <s v=""/>
    <s v=""/>
    <s v=""/>
    <s v=""/>
  </r>
  <r>
    <s v="Die_Heidin.csv"/>
    <s v="#Ratman"/>
    <x v="0"/>
    <s v="adel:berater"/>
    <x v="3"/>
    <x v="3"/>
    <x v="1"/>
    <x v="1"/>
    <x v="3"/>
    <n v="0.16666666666666699"/>
    <n v="8.6697722567287798E-3"/>
    <n v="0.266666666666667"/>
    <n v="6.0060240748399099E-3"/>
    <x v="3"/>
    <x v="1"/>
    <s v=""/>
    <s v=""/>
    <s v=""/>
    <s v=""/>
    <s v=""/>
  </r>
  <r>
    <s v="Die_Heidin.csv"/>
    <s v="#Hou(b)-est-dienst-man"/>
    <x v="0"/>
    <s v="adel:hauptmann"/>
    <x v="3"/>
    <x v="3"/>
    <x v="1"/>
    <x v="1"/>
    <x v="3"/>
    <n v="0.16666666666666699"/>
    <n v="7.8821601104209799E-2"/>
    <n v="0.40677966101694901"/>
    <n v="1.4594161326900701E-2"/>
    <x v="3"/>
    <x v="1"/>
    <s v=""/>
    <s v=""/>
    <s v=""/>
    <s v=""/>
    <s v=""/>
  </r>
  <r>
    <s v="Die_Heidin.csv"/>
    <s v="#Ein-bote-1"/>
    <x v="0"/>
    <s v="buergerlich:bote"/>
    <x v="3"/>
    <x v="15"/>
    <x v="1"/>
    <x v="3"/>
    <x v="3"/>
    <n v="8.3333333333333301E-2"/>
    <n v="0"/>
    <n v="0.36923076923076897"/>
    <n v="1.15352532422429E-2"/>
    <x v="12"/>
    <x v="1"/>
    <s v=""/>
    <s v=""/>
    <s v=""/>
    <s v=""/>
    <s v=""/>
  </r>
  <r>
    <s v="Die_Heidin.csv"/>
    <s v="#Herren-von-den-vesten"/>
    <x v="2"/>
    <s v="unbekannt"/>
    <x v="3"/>
    <x v="3"/>
    <x v="1"/>
    <x v="2"/>
    <x v="3"/>
    <n v="0.25"/>
    <n v="0"/>
    <n v="0.233009708737864"/>
    <n v="5.2623831951248597E-2"/>
    <x v="3"/>
    <x v="1"/>
    <s v=""/>
    <s v=""/>
    <s v=""/>
    <s v=""/>
    <s v=""/>
  </r>
  <r>
    <s v="Die_Heidin.csv"/>
    <s v="#Ein-bote-2"/>
    <x v="0"/>
    <s v="buergerlich:bote"/>
    <x v="3"/>
    <x v="15"/>
    <x v="1"/>
    <x v="3"/>
    <x v="3"/>
    <n v="0.25"/>
    <n v="1.1214630779848201E-3"/>
    <n v="0.36363636363636398"/>
    <n v="4.1592255739240198E-2"/>
    <x v="12"/>
    <x v="1"/>
    <s v=""/>
    <s v=""/>
    <s v=""/>
    <s v=""/>
    <s v=""/>
  </r>
  <r>
    <s v="Die_Heidin.csv"/>
    <s v="#Heren-des-heiden"/>
    <x v="2"/>
    <s v="unbekannt"/>
    <x v="3"/>
    <x v="3"/>
    <x v="1"/>
    <x v="2"/>
    <x v="3"/>
    <n v="0.25"/>
    <n v="7.1325051759834293E-2"/>
    <n v="0.4"/>
    <n v="1.8796943947652502E-2"/>
    <x v="3"/>
    <x v="1"/>
    <s v=""/>
    <s v=""/>
    <s v=""/>
    <s v=""/>
    <s v=""/>
  </r>
  <r>
    <s v="Die_Heidin.csv"/>
    <s v="#Ritter-Ringelolt"/>
    <x v="0"/>
    <s v="adel:ritter"/>
    <x v="3"/>
    <x v="18"/>
    <x v="1"/>
    <x v="1"/>
    <x v="3"/>
    <n v="0.66666666666666696"/>
    <n v="8.9447463768115895E-2"/>
    <n v="0.38095238095238099"/>
    <n v="2.38568401680475E-2"/>
    <x v="13"/>
    <x v="1"/>
    <s v=""/>
    <s v=""/>
    <s v=""/>
    <s v=""/>
    <s v=""/>
  </r>
  <r>
    <s v="Die_Heidin.csv"/>
    <s v="#Helde-dri"/>
    <x v="2"/>
    <s v="adel:ritter"/>
    <x v="3"/>
    <x v="18"/>
    <x v="1"/>
    <x v="1"/>
    <x v="3"/>
    <n v="0.33333333333333298"/>
    <n v="1.8115942028985501E-3"/>
    <n v="0.34782608695652201"/>
    <n v="4.2457017268458401E-4"/>
    <x v="13"/>
    <x v="1"/>
    <s v=""/>
    <s v=""/>
    <s v=""/>
    <s v=""/>
    <s v=""/>
  </r>
  <r>
    <s v="Die_Heidin.csv"/>
    <s v="#Ritter-Wolfart"/>
    <x v="0"/>
    <s v="adel:ritter"/>
    <x v="3"/>
    <x v="18"/>
    <x v="1"/>
    <x v="1"/>
    <x v="3"/>
    <n v="0.33333333333333298"/>
    <n v="1.8115942028985501E-3"/>
    <n v="0.34782608695652201"/>
    <n v="4.2457017268464998E-4"/>
    <x v="13"/>
    <x v="1"/>
    <s v=""/>
    <s v=""/>
    <s v=""/>
    <s v=""/>
    <s v=""/>
  </r>
  <r>
    <s v="Die_Heidin.csv"/>
    <s v="#Ritter-Tituban"/>
    <x v="0"/>
    <s v="adel:ritter"/>
    <x v="3"/>
    <x v="18"/>
    <x v="1"/>
    <x v="1"/>
    <x v="3"/>
    <n v="0.33333333333333298"/>
    <n v="1.8115942028985501E-3"/>
    <n v="0.34782608695652201"/>
    <n v="4.24570172684562E-4"/>
    <x v="13"/>
    <x v="1"/>
    <s v=""/>
    <s v=""/>
    <s v=""/>
    <s v=""/>
    <s v=""/>
  </r>
  <r>
    <s v="Die_Heidin.csv"/>
    <s v="#Ritter-Kuonrich"/>
    <x v="0"/>
    <s v="adel:ritter"/>
    <x v="3"/>
    <x v="18"/>
    <x v="1"/>
    <x v="1"/>
    <x v="3"/>
    <n v="0.41666666666666702"/>
    <n v="0.14492753623188401"/>
    <n v="0.42105263157894701"/>
    <n v="1.21003352014222E-2"/>
    <x v="13"/>
    <x v="1"/>
    <s v=""/>
    <s v=""/>
    <s v=""/>
    <s v=""/>
    <s v=""/>
  </r>
  <r>
    <s v="Die_Heidin.csv"/>
    <s v="#Genoz-des-Ringlelolt"/>
    <x v="0"/>
    <s v="adel:ritter"/>
    <x v="3"/>
    <x v="18"/>
    <x v="1"/>
    <x v="1"/>
    <x v="3"/>
    <n v="0.25"/>
    <n v="1.24532723717506E-2"/>
    <n v="0.42105263157894701"/>
    <n v="1.19482743050577E-2"/>
    <x v="13"/>
    <x v="1"/>
    <s v=""/>
    <s v=""/>
    <s v=""/>
    <s v=""/>
    <s v=""/>
  </r>
  <r>
    <s v="Die_Heidin.csv"/>
    <s v="#Vierter-ritter"/>
    <x v="0"/>
    <s v="adel:ritter"/>
    <x v="3"/>
    <x v="18"/>
    <x v="1"/>
    <x v="1"/>
    <x v="3"/>
    <n v="0.25"/>
    <n v="1.24532723717506E-2"/>
    <n v="0.42105263157894701"/>
    <n v="1.19482743050577E-2"/>
    <x v="13"/>
    <x v="1"/>
    <s v=""/>
    <s v=""/>
    <s v=""/>
    <s v=""/>
    <s v=""/>
  </r>
  <r>
    <s v="Die_Heidin.csv"/>
    <s v="#Fuenfter-ritter"/>
    <x v="0"/>
    <s v="adel:ritter"/>
    <x v="3"/>
    <x v="18"/>
    <x v="1"/>
    <x v="1"/>
    <x v="3"/>
    <n v="0.58333333333333304"/>
    <n v="1.4783183804922899E-2"/>
    <n v="0.46153846153846201"/>
    <n v="3.1510949632662502E-2"/>
    <x v="13"/>
    <x v="1"/>
    <s v=""/>
    <s v=""/>
    <s v=""/>
    <s v=""/>
    <s v=""/>
  </r>
  <r>
    <s v="Die_Heidin.csv"/>
    <s v="#Sehster-ritter"/>
    <x v="0"/>
    <s v="adel:ritter"/>
    <x v="3"/>
    <x v="18"/>
    <x v="1"/>
    <x v="1"/>
    <x v="3"/>
    <n v="0.58333333333333304"/>
    <n v="1.4783183804922899E-2"/>
    <n v="0.46153846153846201"/>
    <n v="3.1510949632662599E-2"/>
    <x v="13"/>
    <x v="1"/>
    <s v=""/>
    <s v=""/>
    <s v=""/>
    <s v=""/>
    <s v=""/>
  </r>
  <r>
    <s v="Die_Heidin.csv"/>
    <s v="#Sibender-ritter"/>
    <x v="0"/>
    <s v="adel:ritter"/>
    <x v="3"/>
    <x v="18"/>
    <x v="1"/>
    <x v="1"/>
    <x v="3"/>
    <n v="0.58333333333333304"/>
    <n v="1.4783183804922899E-2"/>
    <n v="0.46153846153846201"/>
    <n v="3.1510949632662599E-2"/>
    <x v="13"/>
    <x v="1"/>
    <s v=""/>
    <s v=""/>
    <s v=""/>
    <s v=""/>
    <s v=""/>
  </r>
  <r>
    <s v="Die_Heidin.csv"/>
    <s v="#Ahter-ritter"/>
    <x v="0"/>
    <s v="adel:ritter"/>
    <x v="3"/>
    <x v="18"/>
    <x v="1"/>
    <x v="1"/>
    <x v="3"/>
    <n v="0.58333333333333304"/>
    <n v="1.4783183804922899E-2"/>
    <n v="0.46153846153846201"/>
    <n v="3.1510949632662502E-2"/>
    <x v="13"/>
    <x v="1"/>
    <s v=""/>
    <s v=""/>
    <s v=""/>
    <s v=""/>
    <s v=""/>
  </r>
  <r>
    <s v="Die_Heidin.csv"/>
    <s v="#Niunder-ritter"/>
    <x v="0"/>
    <s v="adel:ritter"/>
    <x v="3"/>
    <x v="18"/>
    <x v="1"/>
    <x v="1"/>
    <x v="3"/>
    <n v="0.58333333333333304"/>
    <n v="1.4783183804922899E-2"/>
    <n v="0.46153846153846201"/>
    <n v="3.1510949632662599E-2"/>
    <x v="13"/>
    <x v="1"/>
    <s v=""/>
    <s v=""/>
    <s v=""/>
    <s v=""/>
    <s v=""/>
  </r>
  <r>
    <s v="Die_Heidin.csv"/>
    <s v="#Die-heidenschaft"/>
    <x v="2"/>
    <s v="unbekannt"/>
    <x v="3"/>
    <x v="3"/>
    <x v="1"/>
    <x v="2"/>
    <x v="3"/>
    <n v="0.16666666666666699"/>
    <n v="6.1860190936277896E-3"/>
    <n v="0.41379310344827602"/>
    <n v="2.2696230411622199E-2"/>
    <x v="3"/>
    <x v="1"/>
    <s v=""/>
    <s v=""/>
    <s v=""/>
    <s v=""/>
    <s v=""/>
  </r>
  <r>
    <s v="Die_Heidin.csv"/>
    <s v="#Ein-bote-3"/>
    <x v="0"/>
    <s v="buergerlich:bote"/>
    <x v="3"/>
    <x v="15"/>
    <x v="1"/>
    <x v="3"/>
    <x v="3"/>
    <n v="0.16666666666666699"/>
    <n v="0"/>
    <n v="0.296296296296296"/>
    <n v="4.5392460823244503E-2"/>
    <x v="12"/>
    <x v="1"/>
    <s v=""/>
    <s v=""/>
    <s v=""/>
    <s v=""/>
    <s v=""/>
  </r>
  <r>
    <s v="Die_Katze_als_Nonne.csv"/>
    <s v="#Katz"/>
    <x v="5"/>
    <s v="NA"/>
    <x v="4"/>
    <x v="3"/>
    <x v="0"/>
    <x v="0"/>
    <x v="1"/>
    <n v="0"/>
    <n v="0"/>
    <n v="0"/>
    <n v="0"/>
    <x v="3"/>
    <x v="0"/>
    <s v=""/>
    <s v=""/>
    <s v=""/>
    <s v=""/>
    <s v=""/>
  </r>
  <r>
    <s v="Die_Katze_als_Nonne.csv"/>
    <s v="#Ein-muÃŸ"/>
    <x v="5"/>
    <s v="NA"/>
    <x v="4"/>
    <x v="18"/>
    <x v="1"/>
    <x v="0"/>
    <x v="1"/>
    <n v="0"/>
    <n v="0"/>
    <n v="0"/>
    <n v="0"/>
    <x v="13"/>
    <x v="0"/>
    <s v=""/>
    <s v=""/>
    <s v=""/>
    <s v=""/>
    <s v=""/>
  </r>
  <r>
    <s v="Die_Katze_als_Nonne.csv"/>
    <s v="#Nunnen"/>
    <x v="2"/>
    <s v="klerus:nonne"/>
    <x v="3"/>
    <x v="11"/>
    <x v="1"/>
    <x v="4"/>
    <x v="1"/>
    <n v="0"/>
    <n v="0"/>
    <n v="0"/>
    <n v="0"/>
    <x v="10"/>
    <x v="0"/>
    <s v=""/>
    <s v=""/>
    <s v=""/>
    <s v=""/>
    <n v="5"/>
  </r>
  <r>
    <s v="Die_Koenigin_von_Frankreich_und_der_ungetreue_Marschall.csv"/>
    <s v="#Kuenik-von-Frankreich"/>
    <x v="0"/>
    <s v="adel:koenig"/>
    <x v="0"/>
    <x v="7"/>
    <x v="0"/>
    <x v="1"/>
    <x v="3"/>
    <n v="2"/>
    <n v="0.52752525252525295"/>
    <n v="0.375"/>
    <n v="1"/>
    <x v="5"/>
    <x v="1"/>
    <s v=""/>
    <n v="2"/>
    <s v=""/>
    <s v=""/>
    <s v=""/>
  </r>
  <r>
    <s v="Die_Koenigin_von_Frankreich_und_der_ungetreue_Marschall.csv"/>
    <s v="#Koenigin-von-Frankreich"/>
    <x v="1"/>
    <s v="adel:koenigin"/>
    <x v="0"/>
    <x v="5"/>
    <x v="0"/>
    <x v="1"/>
    <x v="3"/>
    <n v="1.5"/>
    <n v="5.5303030303030298E-2"/>
    <n v="0.22222222222222199"/>
    <n v="0.99170278756153496"/>
    <x v="5"/>
    <x v="1"/>
    <s v=""/>
    <n v="2"/>
    <s v=""/>
    <s v=""/>
    <s v=""/>
  </r>
  <r>
    <s v="Die_Koenigin_von_Frankreich_und_der_ungetreue_Marschall.csv"/>
    <s v="#Marschal"/>
    <x v="0"/>
    <s v="adel:marschall"/>
    <x v="3"/>
    <x v="4"/>
    <x v="0"/>
    <x v="1"/>
    <x v="3"/>
    <n v="1.3333333333333299"/>
    <n v="0.117676767676768"/>
    <n v="0.27906976744186002"/>
    <n v="0.70018176391376896"/>
    <x v="4"/>
    <x v="1"/>
    <n v="1"/>
    <s v=""/>
    <s v=""/>
    <s v=""/>
    <s v=""/>
  </r>
  <r>
    <s v="Die_Koenigin_von_Frankreich_und_der_ungetreue_Marschall.csv"/>
    <s v="#Twerig"/>
    <x v="6"/>
    <s v="unbekannt"/>
    <x v="3"/>
    <x v="14"/>
    <x v="1"/>
    <x v="2"/>
    <x v="3"/>
    <n v="0.5"/>
    <n v="2.5757575757575799E-2"/>
    <n v="0.21052631578947401"/>
    <n v="0.22666581876425701"/>
    <x v="5"/>
    <x v="1"/>
    <s v=""/>
    <n v="2"/>
    <s v=""/>
    <s v=""/>
    <s v=""/>
  </r>
  <r>
    <s v="Die_Koenigin_von_Frankreich_und_der_ungetreue_Marschall.csv"/>
    <s v="#Herzoge-Liupolt"/>
    <x v="0"/>
    <s v="adel:herzog"/>
    <x v="3"/>
    <x v="6"/>
    <x v="1"/>
    <x v="1"/>
    <x v="3"/>
    <n v="1.1666666666666701"/>
    <n v="3.8383838383838402E-2"/>
    <n v="0.27906976744186002"/>
    <n v="0.48045950198083498"/>
    <x v="6"/>
    <x v="1"/>
    <s v=""/>
    <s v=""/>
    <s v=""/>
    <s v=""/>
    <s v=""/>
  </r>
  <r>
    <s v="Die_Koenigin_von_Frankreich_und_der_ungetreue_Marschall.csv"/>
    <s v="#Ritter"/>
    <x v="0"/>
    <s v="adel:ritter"/>
    <x v="3"/>
    <x v="3"/>
    <x v="1"/>
    <x v="1"/>
    <x v="3"/>
    <n v="0.83333333333333304"/>
    <n v="0.114646464646465"/>
    <n v="0.33333333333333298"/>
    <n v="0.28987206203439903"/>
    <x v="3"/>
    <x v="1"/>
    <s v=""/>
    <s v=""/>
    <s v=""/>
    <s v=""/>
    <s v=""/>
  </r>
  <r>
    <s v="Die_Koenigin_von_Frankreich_und_der_ungetreue_Marschall.csv"/>
    <s v="#Koler"/>
    <x v="0"/>
    <s v="buergerlich:koler"/>
    <x v="3"/>
    <x v="6"/>
    <x v="1"/>
    <x v="3"/>
    <x v="3"/>
    <n v="0.83333333333333304"/>
    <n v="3.03030303030303E-2"/>
    <n v="0.22222222222222199"/>
    <n v="0.51888118596430899"/>
    <x v="6"/>
    <x v="1"/>
    <s v=""/>
    <s v=""/>
    <s v=""/>
    <s v=""/>
    <s v=""/>
  </r>
  <r>
    <s v="Die_Koenigin_von_Frankreich_und_der_ungetreue_Marschall.csv"/>
    <s v="#Kint"/>
    <x v="0"/>
    <s v="adel:koenigssohn"/>
    <x v="1"/>
    <x v="3"/>
    <x v="1"/>
    <x v="1"/>
    <x v="3"/>
    <n v="0.5"/>
    <n v="0"/>
    <n v="0.1875"/>
    <n v="0.31141074098357902"/>
    <x v="3"/>
    <x v="1"/>
    <s v=""/>
    <s v=""/>
    <s v=""/>
    <s v=""/>
    <s v=""/>
  </r>
  <r>
    <s v="Die_Koenigin_von_Frankreich_und_der_ungetreue_Marschall.csv"/>
    <s v="#Hunt"/>
    <x v="5"/>
    <s v="NA"/>
    <x v="4"/>
    <x v="6"/>
    <x v="1"/>
    <x v="0"/>
    <x v="3"/>
    <n v="0.83333333333333304"/>
    <n v="5.8080808080808101E-2"/>
    <n v="0.230769230769231"/>
    <n v="0.33027665177238302"/>
    <x v="6"/>
    <x v="1"/>
    <s v=""/>
    <s v=""/>
    <s v=""/>
    <s v=""/>
    <s v=""/>
  </r>
  <r>
    <s v="Die_Koenigin_von_Frankreich_und_der_ungetreue_Marschall.csv"/>
    <s v="#Alter-ritter"/>
    <x v="0"/>
    <s v="adel:ritter"/>
    <x v="2"/>
    <x v="3"/>
    <x v="1"/>
    <x v="1"/>
    <x v="3"/>
    <n v="0.33333333333333298"/>
    <n v="7.6010101010101E-2"/>
    <n v="0.30769230769230799"/>
    <n v="4.6012104942066603E-2"/>
    <x v="3"/>
    <x v="1"/>
    <s v=""/>
    <s v=""/>
    <s v=""/>
    <s v=""/>
    <s v=""/>
  </r>
  <r>
    <s v="Die_Koenigin_von_Frankreich_und_der_ungetreue_Marschall.csv"/>
    <s v="#Henker"/>
    <x v="0"/>
    <s v="buergerlich:henker"/>
    <x v="3"/>
    <x v="3"/>
    <x v="1"/>
    <x v="3"/>
    <x v="3"/>
    <n v="0.33333333333333298"/>
    <n v="7.6010101010101E-2"/>
    <n v="0.30769230769230799"/>
    <n v="4.6012104942066499E-2"/>
    <x v="3"/>
    <x v="1"/>
    <s v=""/>
    <s v=""/>
    <s v=""/>
    <s v=""/>
    <s v=""/>
  </r>
  <r>
    <s v="Die_Koenigin_von_Frankreich_und_der_ungetreue_Marschall.csv"/>
    <s v="#Kramerin"/>
    <x v="1"/>
    <s v="buergerlich:kraemer"/>
    <x v="3"/>
    <x v="15"/>
    <x v="1"/>
    <x v="3"/>
    <x v="3"/>
    <n v="0.66666666666666696"/>
    <n v="0.115656565656566"/>
    <n v="0.3"/>
    <n v="0.18873202389641"/>
    <x v="12"/>
    <x v="1"/>
    <s v=""/>
    <s v=""/>
    <s v=""/>
    <s v=""/>
    <s v=""/>
  </r>
  <r>
    <s v="Die_Koenigin_von_Frankreich_und_der_ungetreue_Marschall.csv"/>
    <s v="#Herren"/>
    <x v="2"/>
    <s v="unbekannt"/>
    <x v="3"/>
    <x v="3"/>
    <x v="1"/>
    <x v="2"/>
    <x v="3"/>
    <n v="0.16666666666666699"/>
    <n v="0"/>
    <n v="0.27906976744186002"/>
    <n v="2.7063050503581501E-2"/>
    <x v="3"/>
    <x v="1"/>
    <s v=""/>
    <s v=""/>
    <s v=""/>
    <s v=""/>
    <s v=""/>
  </r>
  <r>
    <s v="Die_Meierin_mit_der_Geiß.csv"/>
    <s v="#Meir"/>
    <x v="0"/>
    <s v="bauer:meyer"/>
    <x v="3"/>
    <x v="7"/>
    <x v="0"/>
    <x v="5"/>
    <x v="3"/>
    <n v="1.1428571428571399"/>
    <n v="4.7619047619047603E-2"/>
    <n v="0.41176470588235298"/>
    <n v="0.47837768827359201"/>
    <x v="5"/>
    <x v="1"/>
    <s v=""/>
    <n v="2"/>
    <s v=""/>
    <s v=""/>
    <s v=""/>
  </r>
  <r>
    <s v="Die_Meierin_mit_der_Geiß.csv"/>
    <s v="#Wip"/>
    <x v="1"/>
    <s v="bauer:meyer"/>
    <x v="0"/>
    <x v="13"/>
    <x v="0"/>
    <x v="5"/>
    <x v="3"/>
    <n v="2"/>
    <n v="0.22222222222222199"/>
    <n v="0.53846153846153799"/>
    <n v="1"/>
    <x v="4"/>
    <x v="1"/>
    <n v="1"/>
    <s v=""/>
    <s v=""/>
    <s v=""/>
    <s v=""/>
  </r>
  <r>
    <s v="Die_Meierin_mit_der_Geiß.csv"/>
    <s v="#Swester-des-mannes"/>
    <x v="1"/>
    <s v="unbekannt"/>
    <x v="3"/>
    <x v="3"/>
    <x v="1"/>
    <x v="2"/>
    <x v="3"/>
    <n v="0.85714285714285698"/>
    <n v="0.158730158730159"/>
    <n v="0.5"/>
    <n v="0.18107133974885001"/>
    <x v="3"/>
    <x v="1"/>
    <s v=""/>
    <s v=""/>
    <s v=""/>
    <s v=""/>
    <s v=""/>
  </r>
  <r>
    <s v="Die_Meierin_mit_der_Geiß.csv"/>
    <s v="#Ritter"/>
    <x v="0"/>
    <s v="adel:ritter"/>
    <x v="3"/>
    <x v="4"/>
    <x v="0"/>
    <x v="1"/>
    <x v="3"/>
    <n v="2"/>
    <n v="0.25396825396825401"/>
    <n v="0.53846153846153799"/>
    <n v="0.95738655250610305"/>
    <x v="4"/>
    <x v="1"/>
    <n v="1"/>
    <s v=""/>
    <s v=""/>
    <s v=""/>
    <s v=""/>
  </r>
  <r>
    <s v="Die_Meierin_mit_der_Geiß.csv"/>
    <s v="#Werberin"/>
    <x v="1"/>
    <s v="bauer:weber"/>
    <x v="3"/>
    <x v="3"/>
    <x v="1"/>
    <x v="5"/>
    <x v="3"/>
    <n v="0.57142857142857095"/>
    <n v="0"/>
    <n v="0.30434782608695699"/>
    <n v="0.29101881005955599"/>
    <x v="3"/>
    <x v="1"/>
    <s v=""/>
    <s v=""/>
    <s v=""/>
    <s v=""/>
    <s v=""/>
  </r>
  <r>
    <s v="Die_Meierin_mit_der_Geiß.csv"/>
    <s v="#Bote"/>
    <x v="1"/>
    <s v="unbekannt"/>
    <x v="2"/>
    <x v="15"/>
    <x v="1"/>
    <x v="2"/>
    <x v="3"/>
    <n v="0.57142857142857095"/>
    <n v="0"/>
    <n v="0.24137931034482801"/>
    <n v="0.43652821508933498"/>
    <x v="12"/>
    <x v="1"/>
    <s v=""/>
    <s v=""/>
    <s v=""/>
    <s v=""/>
    <s v=""/>
  </r>
  <r>
    <s v="Die_Meierin_mit_der_Geiß.csv"/>
    <s v="#Schuoler-des-ritters"/>
    <x v="0"/>
    <s v="adel:schueler"/>
    <x v="3"/>
    <x v="6"/>
    <x v="1"/>
    <x v="1"/>
    <x v="3"/>
    <n v="1.1428571428571399"/>
    <n v="4.7619047619047603E-2"/>
    <n v="0.41176470588235298"/>
    <n v="0.33927261075889498"/>
    <x v="6"/>
    <x v="1"/>
    <s v=""/>
    <s v=""/>
    <s v=""/>
    <s v=""/>
    <s v=""/>
  </r>
  <r>
    <s v="Die_Meierin_mit_der_Geiß.csv"/>
    <s v="#Kneht-des-ritter"/>
    <x v="0"/>
    <s v="adel:knecht"/>
    <x v="3"/>
    <x v="3"/>
    <x v="1"/>
    <x v="1"/>
    <x v="3"/>
    <n v="0.85714285714285698"/>
    <n v="0.119047619047619"/>
    <n v="0.5"/>
    <n v="0.17073046096848399"/>
    <x v="3"/>
    <x v="1"/>
    <s v=""/>
    <s v=""/>
    <s v=""/>
    <s v=""/>
    <s v=""/>
  </r>
  <r>
    <s v="Die_Nachtigall.csv"/>
    <s v="#Vater-der-vrouwe"/>
    <x v="0"/>
    <s v="adel:ritter"/>
    <x v="2"/>
    <x v="8"/>
    <x v="1"/>
    <x v="1"/>
    <x v="2"/>
    <n v="2"/>
    <n v="0.4"/>
    <n v="0.55555555555555602"/>
    <n v="0.77702982441856205"/>
    <x v="7"/>
    <x v="2"/>
    <s v=""/>
    <s v=""/>
    <s v=""/>
    <s v=""/>
    <s v=""/>
  </r>
  <r>
    <s v="Die_Nachtigall.csv"/>
    <s v="#Tohter"/>
    <x v="1"/>
    <s v="adel:edelfrau"/>
    <x v="0"/>
    <x v="12"/>
    <x v="0"/>
    <x v="1"/>
    <x v="2"/>
    <n v="2"/>
    <n v="0.1"/>
    <n v="0.45454545454545497"/>
    <n v="1"/>
    <x v="11"/>
    <x v="2"/>
    <s v=""/>
    <s v=""/>
    <s v=""/>
    <n v="4"/>
    <s v=""/>
  </r>
  <r>
    <s v="Die_Nachtigall.csv"/>
    <s v="#Vater-des-jungen"/>
    <x v="0"/>
    <s v="adel:ritter"/>
    <x v="2"/>
    <x v="8"/>
    <x v="1"/>
    <x v="1"/>
    <x v="2"/>
    <n v="1.2"/>
    <n v="0.4"/>
    <n v="0.55555555555555602"/>
    <n v="0.16654704276367199"/>
    <x v="7"/>
    <x v="2"/>
    <s v=""/>
    <s v=""/>
    <s v=""/>
    <s v=""/>
    <s v=""/>
  </r>
  <r>
    <s v="Die_Nachtigall.csv"/>
    <s v="#Sun"/>
    <x v="0"/>
    <s v="adel:unbekannt"/>
    <x v="0"/>
    <x v="10"/>
    <x v="0"/>
    <x v="1"/>
    <x v="2"/>
    <n v="1.6"/>
    <n v="0"/>
    <n v="0.35714285714285698"/>
    <n v="0.85433040660473902"/>
    <x v="9"/>
    <x v="2"/>
    <s v=""/>
    <s v=""/>
    <n v="3"/>
    <s v=""/>
    <s v=""/>
  </r>
  <r>
    <s v="Die_Nachtigall.csv"/>
    <s v="#Bote"/>
    <x v="0"/>
    <s v="unbekannt"/>
    <x v="3"/>
    <x v="15"/>
    <x v="1"/>
    <x v="2"/>
    <x v="2"/>
    <n v="0.8"/>
    <n v="0.1"/>
    <n v="0.45454545454545497"/>
    <n v="8.4906864357060297E-2"/>
    <x v="12"/>
    <x v="2"/>
    <s v=""/>
    <s v=""/>
    <s v=""/>
    <s v=""/>
    <s v=""/>
  </r>
  <r>
    <s v="Die_Nachtigall.csv"/>
    <s v="#Muoter-der-vrouwe"/>
    <x v="1"/>
    <s v="adel:edelfrau"/>
    <x v="2"/>
    <x v="9"/>
    <x v="1"/>
    <x v="1"/>
    <x v="2"/>
    <n v="1.2"/>
    <n v="0"/>
    <n v="0.35714285714285698"/>
    <n v="0.44257476100925203"/>
    <x v="8"/>
    <x v="2"/>
    <s v=""/>
    <s v=""/>
    <s v=""/>
    <s v=""/>
    <s v=""/>
  </r>
  <r>
    <s v="Die_Teufelsacht.csv"/>
    <s v="#Vrouwe"/>
    <x v="1"/>
    <s v="unbekannt"/>
    <x v="0"/>
    <x v="5"/>
    <x v="0"/>
    <x v="2"/>
    <x v="3"/>
    <n v="1.6666666666666701"/>
    <n v="0.33333333333333298"/>
    <n v="0.66666666666666696"/>
    <n v="1"/>
    <x v="5"/>
    <x v="1"/>
    <s v=""/>
    <n v="2"/>
    <s v=""/>
    <s v=""/>
    <s v=""/>
  </r>
  <r>
    <s v="Die_Teufelsacht.csv"/>
    <s v="#Man"/>
    <x v="0"/>
    <s v="unbekannt"/>
    <x v="0"/>
    <x v="21"/>
    <x v="0"/>
    <x v="2"/>
    <x v="3"/>
    <n v="1.3333333333333299"/>
    <n v="0"/>
    <n v="0.54545454545454497"/>
    <n v="0.96261356875522597"/>
    <x v="4"/>
    <x v="1"/>
    <n v="1"/>
    <s v=""/>
    <s v=""/>
    <s v=""/>
    <s v=""/>
  </r>
  <r>
    <s v="Die_Teufelsacht.csv"/>
    <s v="#Muoter-der-vrouwe"/>
    <x v="1"/>
    <s v="unbekannt"/>
    <x v="3"/>
    <x v="6"/>
    <x v="1"/>
    <x v="2"/>
    <x v="3"/>
    <n v="1.3333333333333299"/>
    <n v="0"/>
    <n v="0.54545454545454497"/>
    <n v="0.64191747675994204"/>
    <x v="6"/>
    <x v="1"/>
    <s v=""/>
    <s v=""/>
    <s v=""/>
    <s v=""/>
    <s v=""/>
  </r>
  <r>
    <s v="Die_Teufelsacht.csv"/>
    <s v="#Swester-des-mans"/>
    <x v="1"/>
    <s v="unbekannt"/>
    <x v="3"/>
    <x v="3"/>
    <x v="1"/>
    <x v="2"/>
    <x v="3"/>
    <n v="0.33333333333333298"/>
    <n v="0"/>
    <n v="0.42857142857142899"/>
    <n v="3.3992095868854003E-2"/>
    <x v="3"/>
    <x v="1"/>
    <s v=""/>
    <s v=""/>
    <s v=""/>
    <s v=""/>
    <s v=""/>
  </r>
  <r>
    <s v="Die_Teufelsacht.csv"/>
    <s v="#Knehte-und-man"/>
    <x v="2"/>
    <s v="unbekannt"/>
    <x v="3"/>
    <x v="3"/>
    <x v="1"/>
    <x v="2"/>
    <x v="3"/>
    <n v="1.3333333333333299"/>
    <n v="0.16666666666666699"/>
    <n v="0.75"/>
    <n v="9.1652411912467494E-2"/>
    <x v="3"/>
    <x v="1"/>
    <s v=""/>
    <s v=""/>
    <s v=""/>
    <s v=""/>
    <s v=""/>
  </r>
  <r>
    <s v="Die_Teufelsacht.csv"/>
    <s v="#Vrouwen"/>
    <x v="2"/>
    <s v="unbekannt"/>
    <x v="3"/>
    <x v="3"/>
    <x v="1"/>
    <x v="2"/>
    <x v="3"/>
    <n v="1.6666666666666701"/>
    <n v="0.5"/>
    <n v="0.85714285714285698"/>
    <n v="9.1754945971641397E-2"/>
    <x v="3"/>
    <x v="1"/>
    <s v=""/>
    <s v=""/>
    <s v=""/>
    <s v=""/>
    <s v=""/>
  </r>
  <r>
    <s v="Die_Teufelsacht.csv"/>
    <s v="#Bote"/>
    <x v="0"/>
    <s v="unbekannt"/>
    <x v="3"/>
    <x v="15"/>
    <x v="1"/>
    <x v="2"/>
    <x v="3"/>
    <n v="0.33333333333333298"/>
    <n v="0"/>
    <n v="0.5"/>
    <n v="3.1189429199095799E-3"/>
    <x v="12"/>
    <x v="1"/>
    <s v=""/>
    <s v=""/>
    <s v=""/>
    <s v=""/>
    <s v=""/>
  </r>
  <r>
    <s v="Drei_listige_Frauen.csv"/>
    <s v="#Frau-Maechilt"/>
    <x v="1"/>
    <s v="unbekannt"/>
    <x v="3"/>
    <x v="13"/>
    <x v="0"/>
    <x v="2"/>
    <x v="3"/>
    <n v="1.55555555555556"/>
    <n v="6.9444444444444406E-2"/>
    <n v="0.39130434782608697"/>
    <n v="0.68723480271770299"/>
    <x v="4"/>
    <x v="1"/>
    <n v="1"/>
    <s v=""/>
    <s v=""/>
    <s v=""/>
    <s v=""/>
  </r>
  <r>
    <s v="Drei_listige_Frauen.csv"/>
    <s v="#Frau-Juet"/>
    <x v="1"/>
    <s v="unbekannt"/>
    <x v="3"/>
    <x v="13"/>
    <x v="0"/>
    <x v="2"/>
    <x v="3"/>
    <n v="1.55555555555556"/>
    <n v="0.33055555555555499"/>
    <n v="0.47368421052631599"/>
    <n v="0.811734277068903"/>
    <x v="4"/>
    <x v="1"/>
    <n v="1"/>
    <s v=""/>
    <s v=""/>
    <s v=""/>
    <s v=""/>
  </r>
  <r>
    <s v="Drei_listige_Frauen.csv"/>
    <s v="#Frau-Hiltgart"/>
    <x v="1"/>
    <s v="unbekannt"/>
    <x v="3"/>
    <x v="13"/>
    <x v="0"/>
    <x v="2"/>
    <x v="3"/>
    <n v="1.55555555555556"/>
    <n v="0.20092592592592601"/>
    <n v="0.42857142857142899"/>
    <n v="1"/>
    <x v="4"/>
    <x v="1"/>
    <n v="1"/>
    <s v=""/>
    <s v=""/>
    <s v=""/>
    <s v=""/>
  </r>
  <r>
    <s v="Drei_listige_Frauen.csv"/>
    <s v="#Mair-Perchtold"/>
    <x v="0"/>
    <s v="unbekannt"/>
    <x v="3"/>
    <x v="7"/>
    <x v="0"/>
    <x v="2"/>
    <x v="3"/>
    <n v="2"/>
    <n v="9.0740740740740705E-2"/>
    <n v="0.39130434782608697"/>
    <n v="0.96558739483465805"/>
    <x v="5"/>
    <x v="1"/>
    <s v=""/>
    <n v="2"/>
    <s v=""/>
    <s v=""/>
    <s v=""/>
  </r>
  <r>
    <s v="Drei_listige_Frauen.csv"/>
    <s v="#Knecht-Heinz-von-Mair-Perchtold"/>
    <x v="0"/>
    <s v="unbekannt:knecht"/>
    <x v="3"/>
    <x v="6"/>
    <x v="1"/>
    <x v="2"/>
    <x v="3"/>
    <n v="0.88888888888888895"/>
    <n v="4.1666666666666699E-2"/>
    <n v="0.36"/>
    <n v="0.44119177254382003"/>
    <x v="6"/>
    <x v="1"/>
    <s v=""/>
    <s v=""/>
    <s v=""/>
    <s v=""/>
    <s v=""/>
  </r>
  <r>
    <s v="Drei_listige_Frauen.csv"/>
    <s v="#Pfarrer"/>
    <x v="0"/>
    <s v="klerus:pfarrer"/>
    <x v="3"/>
    <x v="3"/>
    <x v="1"/>
    <x v="4"/>
    <x v="3"/>
    <n v="0.44444444444444398"/>
    <n v="0"/>
    <n v="0.25714285714285701"/>
    <n v="0.113415250393356"/>
    <x v="3"/>
    <x v="1"/>
    <s v=""/>
    <s v=""/>
    <s v=""/>
    <s v=""/>
    <s v=""/>
  </r>
  <r>
    <s v="Drei_listige_Frauen.csv"/>
    <s v="#Nachpuerin"/>
    <x v="1"/>
    <s v="unbekannt"/>
    <x v="3"/>
    <x v="3"/>
    <x v="1"/>
    <x v="2"/>
    <x v="3"/>
    <n v="0.88888888888888895"/>
    <n v="0.483333333333333"/>
    <n v="0.52941176470588203"/>
    <n v="9.9953210196523798E-2"/>
    <x v="3"/>
    <x v="1"/>
    <s v=""/>
    <s v=""/>
    <s v=""/>
    <s v=""/>
    <s v=""/>
  </r>
  <r>
    <s v="Drei_listige_Frauen.csv"/>
    <s v="#Mair-Cuonrat"/>
    <x v="0"/>
    <s v="unbekannt"/>
    <x v="3"/>
    <x v="7"/>
    <x v="0"/>
    <x v="2"/>
    <x v="3"/>
    <n v="1.3333333333333299"/>
    <n v="1.94444444444444E-2"/>
    <n v="0.29032258064516098"/>
    <n v="0.65431990766178705"/>
    <x v="5"/>
    <x v="1"/>
    <s v=""/>
    <n v="2"/>
    <s v=""/>
    <s v=""/>
    <s v=""/>
  </r>
  <r>
    <s v="Drei_listige_Frauen.csv"/>
    <s v="#Mair-Seifrid"/>
    <x v="0"/>
    <s v="unbekannt"/>
    <x v="3"/>
    <x v="7"/>
    <x v="0"/>
    <x v="2"/>
    <x v="3"/>
    <n v="1.1111111111111101"/>
    <n v="0.181018518518518"/>
    <n v="0.39130434782608697"/>
    <n v="0.38444313996726798"/>
    <x v="5"/>
    <x v="1"/>
    <s v=""/>
    <n v="2"/>
    <s v=""/>
    <s v=""/>
    <s v=""/>
  </r>
  <r>
    <s v="Drei_listige_Frauen.csv"/>
    <s v="#Volk"/>
    <x v="2"/>
    <s v="unbekannt"/>
    <x v="3"/>
    <x v="3"/>
    <x v="1"/>
    <x v="2"/>
    <x v="3"/>
    <n v="0.66666666666666696"/>
    <n v="4.8611111111111098E-2"/>
    <n v="0.31034482758620702"/>
    <n v="0.16027544071918401"/>
    <x v="3"/>
    <x v="1"/>
    <s v=""/>
    <s v=""/>
    <s v=""/>
    <s v=""/>
    <s v=""/>
  </r>
  <r>
    <s v="Edelmann_und_Pferdehaendler.csv"/>
    <s v="#Man"/>
    <x v="0"/>
    <s v="unbekannt"/>
    <x v="3"/>
    <x v="4"/>
    <x v="0"/>
    <x v="2"/>
    <x v="1"/>
    <n v="2"/>
    <n v="0"/>
    <n v="0.5"/>
    <n v="1"/>
    <x v="4"/>
    <x v="1"/>
    <n v="1"/>
    <s v=""/>
    <s v=""/>
    <s v=""/>
    <s v=""/>
  </r>
  <r>
    <s v="Edelmann_und_Pferdehaendler.csv"/>
    <s v="#Rosteuscher"/>
    <x v="0"/>
    <s v="buergerlich:pferdehaendler"/>
    <x v="3"/>
    <x v="14"/>
    <x v="0"/>
    <x v="3"/>
    <x v="1"/>
    <n v="2"/>
    <n v="0"/>
    <n v="0.5"/>
    <n v="0.97376888933608796"/>
    <x v="5"/>
    <x v="1"/>
    <s v=""/>
    <n v="2"/>
    <s v=""/>
    <s v=""/>
    <s v=""/>
  </r>
  <r>
    <s v="Edelmann_und_Pferdehaendler.csv"/>
    <s v="#Sine-magen"/>
    <x v="2"/>
    <s v="unbekannt"/>
    <x v="3"/>
    <x v="6"/>
    <x v="1"/>
    <x v="2"/>
    <x v="1"/>
    <n v="2"/>
    <n v="0"/>
    <n v="0.375"/>
    <n v="0.76755963250737502"/>
    <x v="6"/>
    <x v="1"/>
    <s v=""/>
    <s v=""/>
    <s v=""/>
    <s v=""/>
    <s v=""/>
  </r>
  <r>
    <s v="Edelmann_und_Pferdehaendler.csv"/>
    <s v="#Einer-der-magen"/>
    <x v="0"/>
    <s v="unbekannt"/>
    <x v="3"/>
    <x v="3"/>
    <x v="1"/>
    <x v="2"/>
    <x v="1"/>
    <n v="2"/>
    <n v="1"/>
    <n v="0.75"/>
    <n v="0.203279190560956"/>
    <x v="3"/>
    <x v="1"/>
    <s v=""/>
    <s v=""/>
    <s v=""/>
    <s v=""/>
    <s v=""/>
  </r>
  <r>
    <s v="Ehe_im_Leben_und_Tode.csv"/>
    <s v="#Man"/>
    <x v="0"/>
    <s v="unbekannt"/>
    <x v="3"/>
    <x v="7"/>
    <x v="0"/>
    <x v="2"/>
    <x v="3"/>
    <n v="2"/>
    <n v="0.3"/>
    <n v="0.3125"/>
    <n v="1"/>
    <x v="5"/>
    <x v="1"/>
    <s v=""/>
    <n v="2"/>
    <s v=""/>
    <s v=""/>
    <s v=""/>
  </r>
  <r>
    <s v="Ehe_im_Leben_und_Tode.csv"/>
    <s v="#Wip"/>
    <x v="1"/>
    <s v="unbekannt"/>
    <x v="3"/>
    <x v="13"/>
    <x v="0"/>
    <x v="2"/>
    <x v="3"/>
    <n v="2"/>
    <n v="0"/>
    <n v="0.29411764705882398"/>
    <n v="0.98923123871989205"/>
    <x v="4"/>
    <x v="1"/>
    <n v="1"/>
    <s v=""/>
    <s v=""/>
    <s v=""/>
    <s v=""/>
  </r>
  <r>
    <s v="Ehe_im_Leben_und_Tode.csv"/>
    <s v="#Gevatern"/>
    <x v="1"/>
    <s v="unbekannt"/>
    <x v="3"/>
    <x v="6"/>
    <x v="1"/>
    <x v="2"/>
    <x v="3"/>
    <n v="0.8"/>
    <n v="0.1"/>
    <n v="0.27777777777777801"/>
    <n v="0.12875531469443099"/>
    <x v="6"/>
    <x v="1"/>
    <s v=""/>
    <s v=""/>
    <s v=""/>
    <s v=""/>
    <s v=""/>
  </r>
  <r>
    <s v="Ehe_im_Leben_und_Tode.csv"/>
    <s v="#Vriunt-und-onch"/>
    <x v="2"/>
    <s v="unbekannt"/>
    <x v="3"/>
    <x v="3"/>
    <x v="1"/>
    <x v="2"/>
    <x v="3"/>
    <n v="1.6"/>
    <n v="0.25"/>
    <n v="0.35714285714285698"/>
    <n v="0.345080753859143"/>
    <x v="3"/>
    <x v="1"/>
    <s v=""/>
    <s v=""/>
    <s v=""/>
    <s v=""/>
    <s v=""/>
  </r>
  <r>
    <s v="Ehe_im_Leben_und_Tode.csv"/>
    <s v="#Ihre-magen"/>
    <x v="2"/>
    <s v="unbekannt:magd"/>
    <x v="3"/>
    <x v="3"/>
    <x v="1"/>
    <x v="2"/>
    <x v="3"/>
    <n v="1.6"/>
    <n v="0"/>
    <n v="0.238095238095238"/>
    <n v="0.56093514929539601"/>
    <x v="3"/>
    <x v="1"/>
    <s v=""/>
    <s v=""/>
    <s v=""/>
    <s v=""/>
    <s v=""/>
  </r>
  <r>
    <s v="Ehe_im_Leben_und_Tode.csv"/>
    <s v="#Seine-magen"/>
    <x v="2"/>
    <s v="unbekannt:magd"/>
    <x v="3"/>
    <x v="3"/>
    <x v="1"/>
    <x v="2"/>
    <x v="3"/>
    <n v="1.6"/>
    <n v="0"/>
    <n v="0.27777777777777801"/>
    <n v="0.44654867864479197"/>
    <x v="3"/>
    <x v="1"/>
    <s v=""/>
    <s v=""/>
    <s v=""/>
    <s v=""/>
    <s v=""/>
  </r>
  <r>
    <s v="Ehefrau_und_Buhlerin.csv"/>
    <s v="#Man"/>
    <x v="0"/>
    <s v="unbekannt"/>
    <x v="3"/>
    <x v="17"/>
    <x v="0"/>
    <x v="2"/>
    <x v="3"/>
    <n v="2"/>
    <n v="0.58796296296296302"/>
    <n v="0.47368421052631599"/>
    <n v="1"/>
    <x v="5"/>
    <x v="1"/>
    <s v=""/>
    <n v="2"/>
    <s v=""/>
    <s v=""/>
    <s v=""/>
  </r>
  <r>
    <s v="Ehefrau_und_Buhlerin.csv"/>
    <s v="#Wip"/>
    <x v="1"/>
    <s v="unbekannt"/>
    <x v="3"/>
    <x v="5"/>
    <x v="0"/>
    <x v="2"/>
    <x v="3"/>
    <n v="0.66666666666666696"/>
    <n v="4.6296296296296301E-2"/>
    <n v="0.33333333333333298"/>
    <n v="0.577589939030275"/>
    <x v="5"/>
    <x v="1"/>
    <s v=""/>
    <n v="2"/>
    <s v=""/>
    <s v=""/>
    <s v=""/>
  </r>
  <r>
    <s v="Ehefrau_und_Buhlerin.csv"/>
    <s v="#Buhlerin-1"/>
    <x v="1"/>
    <s v="unbekannt"/>
    <x v="3"/>
    <x v="4"/>
    <x v="0"/>
    <x v="2"/>
    <x v="3"/>
    <n v="1.1111111111111101"/>
    <n v="0.29166666666666702"/>
    <n v="0.39130434782608697"/>
    <n v="0.53929299768885397"/>
    <x v="4"/>
    <x v="1"/>
    <n v="1"/>
    <s v=""/>
    <s v=""/>
    <s v=""/>
    <s v=""/>
  </r>
  <r>
    <s v="Ehefrau_und_Buhlerin.csv"/>
    <s v="#Buhlerin-2"/>
    <x v="1"/>
    <s v="unbekannt"/>
    <x v="3"/>
    <x v="4"/>
    <x v="0"/>
    <x v="2"/>
    <x v="3"/>
    <n v="1.1111111111111101"/>
    <n v="0.148148148148148"/>
    <n v="0.39130434782608697"/>
    <n v="0.66598735349279603"/>
    <x v="4"/>
    <x v="1"/>
    <n v="1"/>
    <s v=""/>
    <s v=""/>
    <s v=""/>
    <s v=""/>
  </r>
  <r>
    <s v="Ehefrau_und_Buhlerin.csv"/>
    <s v="#Ander-man"/>
    <x v="0"/>
    <s v="unbekannt"/>
    <x v="3"/>
    <x v="3"/>
    <x v="1"/>
    <x v="2"/>
    <x v="3"/>
    <n v="0.66666666666666696"/>
    <n v="0.50925925925925897"/>
    <n v="0.47368421052631599"/>
    <n v="8.3770092636581001E-2"/>
    <x v="3"/>
    <x v="1"/>
    <s v=""/>
    <s v=""/>
    <s v=""/>
    <s v=""/>
    <s v=""/>
  </r>
  <r>
    <s v="Ehefrau_und_Buhlerin.csv"/>
    <s v="#Einer"/>
    <x v="0"/>
    <s v="unbekannt"/>
    <x v="3"/>
    <x v="3"/>
    <x v="1"/>
    <x v="2"/>
    <x v="3"/>
    <n v="0.22222222222222199"/>
    <n v="0"/>
    <n v="0.33333333333333298"/>
    <n v="3.7986142030284102E-2"/>
    <x v="3"/>
    <x v="1"/>
    <s v=""/>
    <s v=""/>
    <s v=""/>
    <s v=""/>
    <s v=""/>
  </r>
  <r>
    <s v="Ehefrau_und_Buhlerin.csv"/>
    <s v="#Ein-anderer-man"/>
    <x v="0"/>
    <s v="unbekannt"/>
    <x v="3"/>
    <x v="18"/>
    <x v="1"/>
    <x v="2"/>
    <x v="3"/>
    <n v="0.44444444444444398"/>
    <n v="0"/>
    <n v="0.27272727272727298"/>
    <n v="8.2218620448337401E-2"/>
    <x v="13"/>
    <x v="1"/>
    <s v=""/>
    <s v=""/>
    <s v=""/>
    <s v=""/>
    <s v=""/>
  </r>
  <r>
    <s v="Ehefrau_und_Buhlerin.csv"/>
    <s v="#Ein-man"/>
    <x v="0"/>
    <s v="unbekannt"/>
    <x v="3"/>
    <x v="18"/>
    <x v="1"/>
    <x v="2"/>
    <x v="3"/>
    <n v="0.44444444444444398"/>
    <n v="0"/>
    <n v="0.27272727272727298"/>
    <n v="8.2218620448337304E-2"/>
    <x v="13"/>
    <x v="1"/>
    <s v=""/>
    <s v=""/>
    <s v=""/>
    <s v=""/>
    <s v=""/>
  </r>
  <r>
    <s v="Ehefrau_und_Buhlerin.csv"/>
    <s v="#Burger"/>
    <x v="0"/>
    <s v="buergerlich:unbekannt"/>
    <x v="2"/>
    <x v="6"/>
    <x v="1"/>
    <x v="3"/>
    <x v="3"/>
    <n v="0.44444444444444398"/>
    <n v="0"/>
    <n v="0.230769230769231"/>
    <n v="0.26888817299399798"/>
    <x v="6"/>
    <x v="1"/>
    <s v=""/>
    <s v=""/>
    <s v=""/>
    <s v=""/>
    <s v=""/>
  </r>
  <r>
    <s v="Ehefrau_und_Buhlerin.csv"/>
    <s v="#Zwo-voruwen"/>
    <x v="2"/>
    <s v="unbekannt"/>
    <x v="3"/>
    <x v="3"/>
    <x v="1"/>
    <x v="2"/>
    <x v="3"/>
    <n v="0.44444444444444398"/>
    <n v="0"/>
    <n v="0.29032258064516098"/>
    <n v="0.12656886446086901"/>
    <x v="3"/>
    <x v="1"/>
    <s v=""/>
    <s v=""/>
    <s v=""/>
    <s v=""/>
    <s v=""/>
  </r>
  <r>
    <s v="Ehestand_Tod_und_Hochzeit.csv"/>
    <s v="#Man"/>
    <x v="0"/>
    <s v="bauer"/>
    <x v="0"/>
    <x v="14"/>
    <x v="0"/>
    <x v="5"/>
    <x v="3"/>
    <n v="1.6666666666666701"/>
    <n v="0.43333333333333302"/>
    <n v="0.6"/>
    <n v="1"/>
    <x v="5"/>
    <x v="1"/>
    <s v=""/>
    <n v="2"/>
    <s v=""/>
    <s v=""/>
    <s v=""/>
  </r>
  <r>
    <s v="Ehestand_Tod_und_Hochzeit.csv"/>
    <s v="#Wip"/>
    <x v="1"/>
    <s v="bauer"/>
    <x v="0"/>
    <x v="4"/>
    <x v="0"/>
    <x v="5"/>
    <x v="3"/>
    <n v="1.3333333333333299"/>
    <n v="0.1"/>
    <n v="0.5"/>
    <n v="0.94780937787963404"/>
    <x v="4"/>
    <x v="1"/>
    <n v="1"/>
    <s v=""/>
    <s v=""/>
    <s v=""/>
    <s v=""/>
  </r>
  <r>
    <s v="Ehestand_Tod_und_Hochzeit.csv"/>
    <s v="#Gevater"/>
    <x v="1"/>
    <s v="unbekannt"/>
    <x v="3"/>
    <x v="6"/>
    <x v="0"/>
    <x v="2"/>
    <x v="3"/>
    <n v="1"/>
    <n v="0"/>
    <n v="0.31578947368421101"/>
    <n v="0.88284932783126602"/>
    <x v="6"/>
    <x v="1"/>
    <s v=""/>
    <s v=""/>
    <s v=""/>
    <s v=""/>
    <s v=""/>
  </r>
  <r>
    <s v="Ehestand_Tod_und_Hochzeit.csv"/>
    <s v="#Pfaffe"/>
    <x v="0"/>
    <s v="klerus:pfarrer"/>
    <x v="3"/>
    <x v="3"/>
    <x v="1"/>
    <x v="4"/>
    <x v="3"/>
    <n v="1.3333333333333299"/>
    <n v="0.66666666666666696"/>
    <n v="0.66666666666666696"/>
    <n v="0.114936789177064"/>
    <x v="3"/>
    <x v="1"/>
    <s v=""/>
    <s v=""/>
    <s v=""/>
    <s v=""/>
    <s v=""/>
  </r>
  <r>
    <s v="Ehestand_Tod_und_Hochzeit.csv"/>
    <s v="#Knehte-des-pfarrers"/>
    <x v="2"/>
    <s v="unbekannt:knecht"/>
    <x v="3"/>
    <x v="3"/>
    <x v="1"/>
    <x v="2"/>
    <x v="3"/>
    <n v="0.33333333333333298"/>
    <n v="0"/>
    <n v="0.42857142857142899"/>
    <n v="3.55400726737818E-3"/>
    <x v="3"/>
    <x v="1"/>
    <s v=""/>
    <s v=""/>
    <s v=""/>
    <s v=""/>
    <s v=""/>
  </r>
  <r>
    <s v="Ehestand_Tod_und_Hochzeit.csv"/>
    <s v="#Vriunde-des-mans"/>
    <x v="2"/>
    <s v="unbekannt"/>
    <x v="3"/>
    <x v="3"/>
    <x v="1"/>
    <x v="2"/>
    <x v="3"/>
    <n v="0.66666666666666696"/>
    <n v="6.6666666666666693E-2"/>
    <n v="0.46153846153846201"/>
    <n v="6.0229007039575899E-2"/>
    <x v="3"/>
    <x v="1"/>
    <s v=""/>
    <s v=""/>
    <s v=""/>
    <s v=""/>
    <s v=""/>
  </r>
  <r>
    <s v="Ehestand_Tod_und_Hochzeit.csv"/>
    <s v="#Lant-liute"/>
    <x v="2"/>
    <s v="unbekannt"/>
    <x v="3"/>
    <x v="3"/>
    <x v="1"/>
    <x v="2"/>
    <x v="3"/>
    <n v="0.33333333333333298"/>
    <n v="0"/>
    <n v="0.4"/>
    <n v="3.09214072606738E-2"/>
    <x v="3"/>
    <x v="1"/>
    <s v=""/>
    <s v=""/>
    <s v=""/>
    <s v=""/>
    <s v=""/>
  </r>
  <r>
    <s v="Ein_boeses_Weib_scheidet_eine_Ehe.csv"/>
    <s v="#Man"/>
    <x v="0"/>
    <s v="unbekannt"/>
    <x v="3"/>
    <x v="7"/>
    <x v="0"/>
    <x v="2"/>
    <x v="3"/>
    <n v="2"/>
    <n v="0"/>
    <n v="0.57142857142857095"/>
    <n v="1"/>
    <x v="5"/>
    <x v="1"/>
    <s v=""/>
    <n v="2"/>
    <s v=""/>
    <s v=""/>
    <s v=""/>
  </r>
  <r>
    <s v="Ein_boeses_Weib_scheidet_eine_Ehe.csv"/>
    <s v="#Wib"/>
    <x v="1"/>
    <s v="unbekannt"/>
    <x v="3"/>
    <x v="5"/>
    <x v="0"/>
    <x v="2"/>
    <x v="3"/>
    <n v="1.5"/>
    <n v="0"/>
    <n v="0.5"/>
    <n v="0.91119618750437403"/>
    <x v="5"/>
    <x v="1"/>
    <s v=""/>
    <n v="2"/>
    <s v=""/>
    <s v=""/>
    <s v=""/>
  </r>
  <r>
    <s v="Ein_boeses_Weib_scheidet_eine_Ehe.csv"/>
    <s v="#Gesellen"/>
    <x v="2"/>
    <s v="unbekannt"/>
    <x v="3"/>
    <x v="3"/>
    <x v="1"/>
    <x v="2"/>
    <x v="3"/>
    <n v="1.5"/>
    <n v="0.33333333333333298"/>
    <n v="0.66666666666666696"/>
    <n v="0.26212957968259598"/>
    <x v="3"/>
    <x v="1"/>
    <s v=""/>
    <s v=""/>
    <s v=""/>
    <s v=""/>
    <s v=""/>
  </r>
  <r>
    <s v="Ein_boeses_Weib_scheidet_eine_Ehe.csv"/>
    <s v="#Einer"/>
    <x v="0"/>
    <s v="unbekannt"/>
    <x v="3"/>
    <x v="11"/>
    <x v="1"/>
    <x v="2"/>
    <x v="3"/>
    <n v="1.5"/>
    <n v="0.33333333333333298"/>
    <n v="0.66666666666666696"/>
    <n v="0.34672333816259299"/>
    <x v="10"/>
    <x v="1"/>
    <s v=""/>
    <s v=""/>
    <s v=""/>
    <s v=""/>
    <n v="5"/>
  </r>
  <r>
    <s v="Ein_boeses_Weib_scheidet_eine_Ehe.csv"/>
    <s v="#Frowen"/>
    <x v="1"/>
    <s v="unbekannt"/>
    <x v="2"/>
    <x v="4"/>
    <x v="0"/>
    <x v="2"/>
    <x v="3"/>
    <n v="1.5"/>
    <n v="0"/>
    <n v="0.36363636363636398"/>
    <n v="0.86222985510054095"/>
    <x v="4"/>
    <x v="1"/>
    <n v="1"/>
    <s v=""/>
    <s v=""/>
    <s v=""/>
    <s v=""/>
  </r>
  <r>
    <s v="Frauenbestaendigkeit.csv"/>
    <s v="#Man"/>
    <x v="0"/>
    <s v="adel:ritter"/>
    <x v="3"/>
    <x v="21"/>
    <x v="0"/>
    <x v="1"/>
    <x v="3"/>
    <n v="2"/>
    <n v="0.65"/>
    <n v="0.38461538461538503"/>
    <n v="0.91789203004382203"/>
    <x v="4"/>
    <x v="1"/>
    <n v="1"/>
    <s v=""/>
    <s v=""/>
    <s v=""/>
    <s v=""/>
  </r>
  <r>
    <s v="Frauenbestaendigkeit.csv"/>
    <s v="#Vrouwe"/>
    <x v="1"/>
    <s v="adel:edelfrau"/>
    <x v="3"/>
    <x v="5"/>
    <x v="0"/>
    <x v="1"/>
    <x v="3"/>
    <n v="2"/>
    <n v="0"/>
    <n v="0.26315789473684198"/>
    <n v="1"/>
    <x v="5"/>
    <x v="1"/>
    <s v=""/>
    <n v="2"/>
    <s v=""/>
    <s v=""/>
    <s v=""/>
  </r>
  <r>
    <s v="Frauenbestaendigkeit.csv"/>
    <s v="#Kneht-Henselin"/>
    <x v="0"/>
    <s v="adel:knecht"/>
    <x v="0"/>
    <x v="4"/>
    <x v="0"/>
    <x v="1"/>
    <x v="3"/>
    <n v="0.8"/>
    <n v="0"/>
    <n v="0.12195121951219499"/>
    <n v="0.77147114603007705"/>
    <x v="4"/>
    <x v="1"/>
    <n v="1"/>
    <s v=""/>
    <s v=""/>
    <s v=""/>
    <s v=""/>
  </r>
  <r>
    <s v="Frauenbestaendigkeit.csv"/>
    <s v="#JÃºnk-vrouwen"/>
    <x v="2"/>
    <s v="adel:edelfrau"/>
    <x v="0"/>
    <x v="6"/>
    <x v="1"/>
    <x v="1"/>
    <x v="3"/>
    <n v="1.2"/>
    <n v="0"/>
    <n v="0.25"/>
    <n v="0.31461619084110198"/>
    <x v="6"/>
    <x v="1"/>
    <s v=""/>
    <s v=""/>
    <s v=""/>
    <s v=""/>
    <s v=""/>
  </r>
  <r>
    <s v="Frauenbestaendigkeit.csv"/>
    <s v="#Kamer-wip"/>
    <x v="1"/>
    <s v="adel:magd"/>
    <x v="2"/>
    <x v="6"/>
    <x v="1"/>
    <x v="1"/>
    <x v="3"/>
    <n v="1.2"/>
    <n v="0"/>
    <n v="0.3125"/>
    <n v="0.22741781155799601"/>
    <x v="6"/>
    <x v="1"/>
    <s v=""/>
    <s v=""/>
    <s v=""/>
    <s v=""/>
    <s v=""/>
  </r>
  <r>
    <s v="Frauenbestaendigkeit.csv"/>
    <s v="#Arzt"/>
    <x v="0"/>
    <s v="buergerlich:arzt"/>
    <x v="3"/>
    <x v="3"/>
    <x v="1"/>
    <x v="3"/>
    <x v="3"/>
    <n v="0.8"/>
    <n v="0.25"/>
    <n v="0.33333333333333298"/>
    <n v="9.5920579422089605E-2"/>
    <x v="3"/>
    <x v="1"/>
    <s v=""/>
    <s v=""/>
    <s v=""/>
    <s v=""/>
    <s v=""/>
  </r>
  <r>
    <s v="Frauenlist.csv"/>
    <s v="#Schuolaer"/>
    <x v="0"/>
    <s v="buergerlich:schueler"/>
    <x v="0"/>
    <x v="4"/>
    <x v="0"/>
    <x v="3"/>
    <x v="3"/>
    <n v="2"/>
    <n v="0.33333333333333298"/>
    <n v="0.3"/>
    <n v="0.96417092020800998"/>
    <x v="4"/>
    <x v="1"/>
    <n v="1"/>
    <s v=""/>
    <s v=""/>
    <s v=""/>
    <s v=""/>
  </r>
  <r>
    <s v="Frauenlist.csv"/>
    <s v="#Vrouwe"/>
    <x v="1"/>
    <s v="unbekannt"/>
    <x v="3"/>
    <x v="13"/>
    <x v="0"/>
    <x v="2"/>
    <x v="3"/>
    <n v="2"/>
    <n v="0"/>
    <n v="0.230769230769231"/>
    <n v="1"/>
    <x v="4"/>
    <x v="1"/>
    <n v="1"/>
    <s v=""/>
    <s v=""/>
    <s v=""/>
    <s v=""/>
  </r>
  <r>
    <s v="Frauenlist.csv"/>
    <s v="#Dirne"/>
    <x v="1"/>
    <s v="unbekannt:magd"/>
    <x v="3"/>
    <x v="3"/>
    <x v="1"/>
    <x v="2"/>
    <x v="3"/>
    <n v="1.3333333333333299"/>
    <n v="0.33333333333333298"/>
    <n v="0.3"/>
    <n v="0.177660242290957"/>
    <x v="3"/>
    <x v="1"/>
    <s v=""/>
    <s v=""/>
    <s v=""/>
    <s v=""/>
    <s v=""/>
  </r>
  <r>
    <s v="Frauenlist.csv"/>
    <s v="#E-man"/>
    <x v="0"/>
    <s v="unbekannt"/>
    <x v="3"/>
    <x v="7"/>
    <x v="1"/>
    <x v="2"/>
    <x v="3"/>
    <n v="1.3333333333333299"/>
    <n v="0"/>
    <n v="0.17647058823529399"/>
    <n v="0.49099623494289202"/>
    <x v="5"/>
    <x v="1"/>
    <s v=""/>
    <n v="2"/>
    <s v=""/>
    <s v=""/>
    <s v=""/>
  </r>
  <r>
    <s v="Frauentreue.csv"/>
    <s v="#Vrouwen"/>
    <x v="1"/>
    <s v="buergerlich:unbekannt"/>
    <x v="0"/>
    <x v="1"/>
    <x v="0"/>
    <x v="3"/>
    <x v="2"/>
    <n v="1.6666666666666701"/>
    <n v="0.266666666666667"/>
    <n v="0.26086956521739102"/>
    <n v="0.98310577465358695"/>
    <x v="1"/>
    <x v="2"/>
    <s v=""/>
    <s v=""/>
    <s v=""/>
    <s v=""/>
    <s v=""/>
  </r>
  <r>
    <s v="Frauentreue.csv"/>
    <s v="#Ritter"/>
    <x v="0"/>
    <s v="adel:ritter"/>
    <x v="3"/>
    <x v="10"/>
    <x v="0"/>
    <x v="1"/>
    <x v="2"/>
    <n v="2"/>
    <n v="0.4"/>
    <n v="0.3"/>
    <n v="1"/>
    <x v="9"/>
    <x v="2"/>
    <s v=""/>
    <s v=""/>
    <n v="3"/>
    <s v=""/>
    <s v=""/>
  </r>
  <r>
    <s v="Frauentreue.csv"/>
    <s v="#Buerger"/>
    <x v="0"/>
    <s v="buergerlich:unbekannt"/>
    <x v="0"/>
    <x v="0"/>
    <x v="0"/>
    <x v="3"/>
    <x v="2"/>
    <n v="1"/>
    <n v="0"/>
    <n v="0.17142857142857101"/>
    <n v="0.58393144868476099"/>
    <x v="0"/>
    <x v="2"/>
    <s v=""/>
    <s v=""/>
    <s v=""/>
    <s v=""/>
    <s v=""/>
  </r>
  <r>
    <s v="Frauentreue.csv"/>
    <s v="#Ein-tumber"/>
    <x v="0"/>
    <s v="unbekannt"/>
    <x v="3"/>
    <x v="18"/>
    <x v="1"/>
    <x v="2"/>
    <x v="2"/>
    <n v="0.33333333333333298"/>
    <n v="0"/>
    <n v="0.2"/>
    <n v="4.4644943960943498E-2"/>
    <x v="13"/>
    <x v="2"/>
    <s v=""/>
    <s v=""/>
    <s v=""/>
    <s v=""/>
    <s v=""/>
  </r>
  <r>
    <s v="Frauentreue.csv"/>
    <s v="#Arzt"/>
    <x v="0"/>
    <s v="buergerlich:arzt"/>
    <x v="3"/>
    <x v="3"/>
    <x v="1"/>
    <x v="3"/>
    <x v="2"/>
    <n v="0.66666666666666696"/>
    <n v="0.133333333333333"/>
    <n v="0.25"/>
    <n v="8.8912767049959804E-2"/>
    <x v="3"/>
    <x v="2"/>
    <s v=""/>
    <s v=""/>
    <s v=""/>
    <s v=""/>
    <s v=""/>
  </r>
  <r>
    <s v="Frauentreue.csv"/>
    <s v="#Magd-der-vrouwe"/>
    <x v="1"/>
    <s v="buergerlich:magd"/>
    <x v="3"/>
    <x v="3"/>
    <x v="1"/>
    <x v="3"/>
    <x v="2"/>
    <n v="1"/>
    <n v="0.33333333333333298"/>
    <n v="0.24"/>
    <n v="0.18081840717915701"/>
    <x v="3"/>
    <x v="2"/>
    <s v=""/>
    <s v=""/>
    <s v=""/>
    <s v=""/>
    <s v=""/>
  </r>
  <r>
    <s v="Frauentreue.csv"/>
    <s v="#Ritters-knehte"/>
    <x v="2"/>
    <s v="adel:knecht"/>
    <x v="3"/>
    <x v="3"/>
    <x v="1"/>
    <x v="1"/>
    <x v="2"/>
    <n v="0.66666666666666696"/>
    <n v="0"/>
    <n v="0.22222222222222199"/>
    <n v="0.11085811815850501"/>
    <x v="3"/>
    <x v="2"/>
    <s v=""/>
    <s v=""/>
    <s v=""/>
    <s v=""/>
    <s v=""/>
  </r>
  <r>
    <s v="Frauenzucht.csv"/>
    <s v="#Vater"/>
    <x v="0"/>
    <s v="adel:ritter"/>
    <x v="3"/>
    <x v="8"/>
    <x v="0"/>
    <x v="1"/>
    <x v="3"/>
    <n v="1.2"/>
    <n v="0"/>
    <n v="0.12195121951219499"/>
    <n v="0.86660102782214898"/>
    <x v="7"/>
    <x v="1"/>
    <s v=""/>
    <s v=""/>
    <s v=""/>
    <s v=""/>
    <s v=""/>
  </r>
  <r>
    <s v="Frauenzucht.csv"/>
    <s v="#Muoter"/>
    <x v="1"/>
    <s v="adel:edelfrau"/>
    <x v="3"/>
    <x v="9"/>
    <x v="0"/>
    <x v="1"/>
    <x v="3"/>
    <n v="1.6"/>
    <n v="0.1"/>
    <n v="0.27777777777777801"/>
    <n v="0.86875827609624301"/>
    <x v="8"/>
    <x v="1"/>
    <s v=""/>
    <s v=""/>
    <s v=""/>
    <s v=""/>
    <s v=""/>
  </r>
  <r>
    <s v="Frauenzucht.csv"/>
    <s v="#Tohter"/>
    <x v="1"/>
    <s v="adel:edelfrau"/>
    <x v="0"/>
    <x v="1"/>
    <x v="0"/>
    <x v="1"/>
    <x v="3"/>
    <n v="1.6"/>
    <n v="0.15"/>
    <n v="0.29411764705882398"/>
    <n v="0.90345687342862402"/>
    <x v="1"/>
    <x v="1"/>
    <s v=""/>
    <s v=""/>
    <s v=""/>
    <s v=""/>
    <s v=""/>
  </r>
  <r>
    <s v="Frauenzucht.csv"/>
    <s v="#Ritter"/>
    <x v="0"/>
    <s v="adel:ritter"/>
    <x v="3"/>
    <x v="0"/>
    <x v="0"/>
    <x v="1"/>
    <x v="3"/>
    <n v="2"/>
    <n v="0.4"/>
    <n v="0.33333333333333298"/>
    <n v="1"/>
    <x v="0"/>
    <x v="1"/>
    <s v=""/>
    <s v=""/>
    <s v=""/>
    <s v=""/>
    <s v=""/>
  </r>
  <r>
    <s v="Frauenzucht.csv"/>
    <s v="#Sin-vriunt"/>
    <x v="2"/>
    <s v="unbekannt"/>
    <x v="3"/>
    <x v="3"/>
    <x v="1"/>
    <x v="2"/>
    <x v="3"/>
    <n v="0.8"/>
    <n v="0.35"/>
    <n v="0.33333333333333298"/>
    <n v="7.4055764941341307E-2"/>
    <x v="3"/>
    <x v="1"/>
    <s v=""/>
    <s v=""/>
    <s v=""/>
    <s v=""/>
    <s v=""/>
  </r>
  <r>
    <s v="Frauenzucht.csv"/>
    <s v="#Zwen-knehte"/>
    <x v="2"/>
    <s v="adel:knecht"/>
    <x v="3"/>
    <x v="3"/>
    <x v="1"/>
    <x v="1"/>
    <x v="3"/>
    <n v="0.8"/>
    <n v="0.3"/>
    <n v="0.3125"/>
    <n v="7.2705783650085301E-2"/>
    <x v="3"/>
    <x v="1"/>
    <s v=""/>
    <s v=""/>
    <s v=""/>
    <s v=""/>
    <s v=""/>
  </r>
  <r>
    <s v="Heinrich_von_Kempten_und_des_Kaisers_Bart.csv"/>
    <s v="#Keiser-Otte"/>
    <x v="0"/>
    <s v="adel:kaiser"/>
    <x v="3"/>
    <x v="11"/>
    <x v="0"/>
    <x v="1"/>
    <x v="1"/>
    <n v="1.5"/>
    <n v="0.42857142857142899"/>
    <n v="0.42105263157894701"/>
    <n v="0.979312096629257"/>
    <x v="10"/>
    <x v="3"/>
    <s v=""/>
    <s v=""/>
    <s v=""/>
    <s v=""/>
    <n v="5"/>
  </r>
  <r>
    <s v="Heinrich_von_Kempten_und_des_Kaisers_Bart.csv"/>
    <s v="#Junk-herre-von-Heinrich"/>
    <x v="0"/>
    <s v="adel:unbekannt"/>
    <x v="0"/>
    <x v="3"/>
    <x v="1"/>
    <x v="1"/>
    <x v="1"/>
    <n v="0.75"/>
    <n v="0.107142857142857"/>
    <n v="0.4"/>
    <n v="0.116909047627392"/>
    <x v="3"/>
    <x v="3"/>
    <s v=""/>
    <s v=""/>
    <s v=""/>
    <s v=""/>
    <s v=""/>
  </r>
  <r>
    <s v="Heinrich_von_Kempten_und_des_Kaisers_Bart.csv"/>
    <s v="#Truhsaeze"/>
    <x v="0"/>
    <s v="buergerlich:truhtsaeze"/>
    <x v="3"/>
    <x v="11"/>
    <x v="1"/>
    <x v="3"/>
    <x v="1"/>
    <n v="0.75"/>
    <n v="0"/>
    <n v="0.34782608695652201"/>
    <n v="0.147888950359849"/>
    <x v="10"/>
    <x v="3"/>
    <s v=""/>
    <s v=""/>
    <s v=""/>
    <s v=""/>
    <n v="5"/>
  </r>
  <r>
    <s v="Heinrich_von_Kempten_und_des_Kaisers_Bart.csv"/>
    <s v="#Heinrich-von-Kempten"/>
    <x v="0"/>
    <s v="adel:ritter"/>
    <x v="3"/>
    <x v="14"/>
    <x v="0"/>
    <x v="1"/>
    <x v="1"/>
    <n v="1.75"/>
    <n v="0.42857142857142899"/>
    <n v="0.38095238095238099"/>
    <n v="1"/>
    <x v="5"/>
    <x v="3"/>
    <s v=""/>
    <n v="2"/>
    <s v=""/>
    <s v=""/>
    <s v=""/>
  </r>
  <r>
    <s v="Heinrich_von_Kempten_und_des_Kaisers_Bart.csv"/>
    <s v="#Herr-von-Heinrich"/>
    <x v="0"/>
    <s v="adel:unbekannt"/>
    <x v="3"/>
    <x v="6"/>
    <x v="0"/>
    <x v="1"/>
    <x v="1"/>
    <n v="0.5"/>
    <n v="0"/>
    <n v="0.24242424242424199"/>
    <n v="0.10375008095898"/>
    <x v="6"/>
    <x v="3"/>
    <s v=""/>
    <s v=""/>
    <s v=""/>
    <s v=""/>
    <s v=""/>
  </r>
  <r>
    <s v="Heinrich_von_Kempten_und_des_Kaisers_Bart.csv"/>
    <s v="#Bote"/>
    <x v="0"/>
    <s v="unbekannt"/>
    <x v="3"/>
    <x v="15"/>
    <x v="1"/>
    <x v="2"/>
    <x v="1"/>
    <n v="0.5"/>
    <n v="0.25"/>
    <n v="0.30769230769230799"/>
    <n v="3.7697681684529097E-2"/>
    <x v="12"/>
    <x v="3"/>
    <s v=""/>
    <s v=""/>
    <s v=""/>
    <s v=""/>
    <s v=""/>
  </r>
  <r>
    <s v="Heinrich_von_Kempten_und_des_Kaisers_Bart.csv"/>
    <s v="#Burgaere"/>
    <x v="2"/>
    <s v="buergerlich:buerger"/>
    <x v="3"/>
    <x v="18"/>
    <x v="1"/>
    <x v="3"/>
    <x v="1"/>
    <n v="0.75"/>
    <n v="0"/>
    <n v="0.25"/>
    <n v="0.31297245224541198"/>
    <x v="13"/>
    <x v="3"/>
    <s v=""/>
    <s v=""/>
    <s v=""/>
    <s v=""/>
    <s v=""/>
  </r>
  <r>
    <s v="Heinrich_von_Kempten_und_des_Kaisers_Bart.csv"/>
    <s v="#Keiser-maere"/>
    <x v="2"/>
    <s v="unbekannt"/>
    <x v="3"/>
    <x v="18"/>
    <x v="1"/>
    <x v="2"/>
    <x v="1"/>
    <n v="0.75"/>
    <n v="0.35714285714285698"/>
    <n v="0.44444444444444398"/>
    <n v="0.12313460552687901"/>
    <x v="13"/>
    <x v="3"/>
    <s v=""/>
    <s v=""/>
    <s v=""/>
    <s v=""/>
    <s v=""/>
  </r>
  <r>
    <s v="Heinrich_von_Kempten_und_des_Kaisers_Bart.csv"/>
    <s v="#Vuersten"/>
    <x v="2"/>
    <s v="adel:fuerst"/>
    <x v="3"/>
    <x v="3"/>
    <x v="1"/>
    <x v="1"/>
    <x v="1"/>
    <n v="0.25"/>
    <n v="0"/>
    <n v="0.30769230769230799"/>
    <n v="3.3447604059483202E-2"/>
    <x v="3"/>
    <x v="3"/>
    <s v=""/>
    <s v=""/>
    <s v=""/>
    <s v=""/>
    <s v=""/>
  </r>
  <r>
    <s v="Hero_und_Leander.csv"/>
    <s v="#Leander"/>
    <x v="0"/>
    <s v="adel:unbekannt"/>
    <x v="0"/>
    <x v="10"/>
    <x v="0"/>
    <x v="1"/>
    <x v="2"/>
    <n v="1.1428571428571399"/>
    <n v="0.476190476190476"/>
    <n v="0.28000000000000003"/>
    <n v="1"/>
    <x v="9"/>
    <x v="2"/>
    <s v=""/>
    <s v=""/>
    <n v="3"/>
    <s v=""/>
    <s v=""/>
  </r>
  <r>
    <s v="Hero_und_Leander.csv"/>
    <s v="#Vater-Leanders"/>
    <x v="0"/>
    <s v="adel:unbekannt"/>
    <x v="2"/>
    <x v="8"/>
    <x v="1"/>
    <x v="1"/>
    <x v="2"/>
    <n v="0.57142857142857095"/>
    <n v="0"/>
    <n v="0.2"/>
    <n v="0.19612003075071399"/>
    <x v="7"/>
    <x v="2"/>
    <s v=""/>
    <s v=""/>
    <s v=""/>
    <s v=""/>
    <s v=""/>
  </r>
  <r>
    <s v="Hero_und_Leander.csv"/>
    <s v="#Muoter-Leanders"/>
    <x v="1"/>
    <s v="adel:unbekannt"/>
    <x v="2"/>
    <x v="9"/>
    <x v="1"/>
    <x v="1"/>
    <x v="2"/>
    <n v="0.57142857142857095"/>
    <n v="0"/>
    <n v="0.2"/>
    <n v="0.19612003075071399"/>
    <x v="8"/>
    <x v="2"/>
    <s v=""/>
    <s v=""/>
    <s v=""/>
    <s v=""/>
    <s v=""/>
  </r>
  <r>
    <s v="Hero_und_Leander.csv"/>
    <s v="#Hero"/>
    <x v="1"/>
    <s v="adel:koenigstochter"/>
    <x v="0"/>
    <x v="12"/>
    <x v="0"/>
    <x v="1"/>
    <x v="2"/>
    <n v="1.4285714285714299"/>
    <n v="0.57142857142857095"/>
    <n v="0.33333333333333298"/>
    <n v="0.97859293433193695"/>
    <x v="11"/>
    <x v="2"/>
    <s v=""/>
    <s v=""/>
    <s v=""/>
    <n v="4"/>
    <s v=""/>
  </r>
  <r>
    <s v="Hero_und_Leander.csv"/>
    <s v="#Vater-Heros"/>
    <x v="0"/>
    <s v="adel:unbekannt"/>
    <x v="5"/>
    <x v="8"/>
    <x v="1"/>
    <x v="1"/>
    <x v="2"/>
    <n v="0.85714285714285698"/>
    <n v="0"/>
    <n v="0.28000000000000003"/>
    <n v="9.5960838186805605E-2"/>
    <x v="7"/>
    <x v="2"/>
    <s v=""/>
    <s v=""/>
    <s v=""/>
    <s v=""/>
    <s v=""/>
  </r>
  <r>
    <s v="Hero_und_Leander.csv"/>
    <s v="#Muoter-Heros"/>
    <x v="1"/>
    <s v="adel:unbekannt"/>
    <x v="5"/>
    <x v="9"/>
    <x v="1"/>
    <x v="1"/>
    <x v="2"/>
    <n v="0.85714285714285698"/>
    <n v="0"/>
    <n v="0.28000000000000003"/>
    <n v="9.5960838186805703E-2"/>
    <x v="8"/>
    <x v="2"/>
    <s v=""/>
    <s v=""/>
    <s v=""/>
    <s v=""/>
    <s v=""/>
  </r>
  <r>
    <s v="Hero_und_Leander.csv"/>
    <s v="#Amme-Heros"/>
    <x v="1"/>
    <s v="adel:amme"/>
    <x v="2"/>
    <x v="3"/>
    <x v="1"/>
    <x v="1"/>
    <x v="2"/>
    <n v="0.85714285714285698"/>
    <n v="0"/>
    <n v="0.28000000000000003"/>
    <n v="9.59608381868058E-2"/>
    <x v="3"/>
    <x v="2"/>
    <s v=""/>
    <s v=""/>
    <s v=""/>
    <s v=""/>
    <s v=""/>
  </r>
  <r>
    <s v="Hero_und_Leander.csv"/>
    <s v="#Vischer"/>
    <x v="0"/>
    <s v="buergerlich:fischer"/>
    <x v="3"/>
    <x v="15"/>
    <x v="1"/>
    <x v="3"/>
    <x v="2"/>
    <n v="0.57142857142857095"/>
    <n v="0.57142857142857095"/>
    <n v="0.33333333333333298"/>
    <n v="0.324417029351796"/>
    <x v="12"/>
    <x v="2"/>
    <s v=""/>
    <s v=""/>
    <s v=""/>
    <s v=""/>
    <s v=""/>
  </r>
  <r>
    <s v="Herr_Friedrich_von_Auchenfurt.csv"/>
    <s v="#Keiser"/>
    <x v="0"/>
    <s v="adel:kaiser"/>
    <x v="3"/>
    <x v="3"/>
    <x v="1"/>
    <x v="1"/>
    <x v="3"/>
    <n v="0.4"/>
    <n v="0"/>
    <n v="0.45454545454545497"/>
    <n v="5.6313443279017203E-2"/>
    <x v="3"/>
    <x v="2"/>
    <s v=""/>
    <s v=""/>
    <s v=""/>
    <s v=""/>
    <s v=""/>
  </r>
  <r>
    <s v="Herr_Friedrich_von_Auchenfurt.csv"/>
    <s v="#Ouchenvurt-ber-Vrid(e)rich"/>
    <x v="0"/>
    <s v="adel:ritter"/>
    <x v="3"/>
    <x v="10"/>
    <x v="0"/>
    <x v="1"/>
    <x v="3"/>
    <n v="2"/>
    <n v="0.9"/>
    <n v="0.71428571428571397"/>
    <n v="0.943623203090448"/>
    <x v="9"/>
    <x v="2"/>
    <s v=""/>
    <s v=""/>
    <n v="3"/>
    <s v=""/>
    <s v=""/>
  </r>
  <r>
    <s v="Herr_Friedrich_von_Auchenfurt.csv"/>
    <s v="#Graevin"/>
    <x v="1"/>
    <s v="adel:graefin"/>
    <x v="3"/>
    <x v="5"/>
    <x v="0"/>
    <x v="1"/>
    <x v="3"/>
    <n v="1.2"/>
    <n v="0"/>
    <n v="0.38461538461538503"/>
    <n v="1"/>
    <x v="5"/>
    <x v="2"/>
    <s v=""/>
    <n v="2"/>
    <s v=""/>
    <s v=""/>
    <s v=""/>
  </r>
  <r>
    <s v="Herr_Friedrich_von_Auchenfurt.csv"/>
    <s v="#Grave"/>
    <x v="0"/>
    <s v="adel:graf"/>
    <x v="3"/>
    <x v="0"/>
    <x v="1"/>
    <x v="1"/>
    <x v="3"/>
    <n v="0.8"/>
    <n v="0"/>
    <n v="0.45454545454545497"/>
    <n v="0.41438079322072602"/>
    <x v="0"/>
    <x v="2"/>
    <s v=""/>
    <s v=""/>
    <s v=""/>
    <s v=""/>
    <s v=""/>
  </r>
  <r>
    <s v="Herr_Friedrich_von_Auchenfurt.csv"/>
    <s v="#Ritter"/>
    <x v="0"/>
    <s v="adel:ritter"/>
    <x v="3"/>
    <x v="18"/>
    <x v="1"/>
    <x v="1"/>
    <x v="3"/>
    <n v="0.4"/>
    <n v="0"/>
    <n v="0.33333333333333298"/>
    <n v="0.112626886558034"/>
    <x v="13"/>
    <x v="2"/>
    <s v=""/>
    <s v=""/>
    <s v=""/>
    <s v=""/>
    <s v=""/>
  </r>
  <r>
    <s v="Herr_Friedrich_von_Auchenfurt.csv"/>
    <s v="#Junk-vrouwen-der-graefin"/>
    <x v="2"/>
    <s v="adel:hofstaat"/>
    <x v="3"/>
    <x v="15"/>
    <x v="1"/>
    <x v="1"/>
    <x v="3"/>
    <n v="0.8"/>
    <n v="0.4"/>
    <n v="0.55555555555555602"/>
    <n v="0.115991334935969"/>
    <x v="12"/>
    <x v="2"/>
    <s v=""/>
    <s v=""/>
    <s v=""/>
    <s v=""/>
    <s v=""/>
  </r>
  <r>
    <s v="Irregang_und_Girregar.csv"/>
    <s v="#Geselle-1"/>
    <x v="0"/>
    <s v="unbekannt"/>
    <x v="3"/>
    <x v="19"/>
    <x v="0"/>
    <x v="2"/>
    <x v="3"/>
    <n v="2"/>
    <n v="0.11111111111111099"/>
    <n v="0.269230769230769"/>
    <n v="1"/>
    <x v="4"/>
    <x v="1"/>
    <n v="1"/>
    <s v=""/>
    <s v=""/>
    <s v=""/>
    <s v=""/>
  </r>
  <r>
    <s v="Irregang_und_Girregar.csv"/>
    <s v="#Geselle-2"/>
    <x v="0"/>
    <s v="unbekannt"/>
    <x v="3"/>
    <x v="19"/>
    <x v="0"/>
    <x v="2"/>
    <x v="3"/>
    <n v="2"/>
    <n v="3.1746031746031703E-2"/>
    <n v="0.233333333333333"/>
    <n v="0.83169000866847098"/>
    <x v="4"/>
    <x v="1"/>
    <n v="1"/>
    <s v=""/>
    <s v=""/>
    <s v=""/>
    <s v=""/>
  </r>
  <r>
    <s v="Irregang_und_Girregar.csv"/>
    <s v="#Maget"/>
    <x v="1"/>
    <s v="unbekannt"/>
    <x v="0"/>
    <x v="26"/>
    <x v="0"/>
    <x v="2"/>
    <x v="3"/>
    <n v="1.4285714285714299"/>
    <n v="0"/>
    <n v="0.116666666666667"/>
    <n v="0.739252769085332"/>
    <x v="4"/>
    <x v="1"/>
    <n v="1"/>
    <s v=""/>
    <s v=""/>
    <s v=""/>
    <s v=""/>
  </r>
  <r>
    <s v="Irregang_und_Girregar.csv"/>
    <s v="#Wirt"/>
    <x v="0"/>
    <s v="unbekannt"/>
    <x v="2"/>
    <x v="7"/>
    <x v="0"/>
    <x v="2"/>
    <x v="3"/>
    <n v="2"/>
    <n v="0.11111111111111099"/>
    <n v="0.269230769230769"/>
    <n v="0.77204975762844896"/>
    <x v="5"/>
    <x v="1"/>
    <s v=""/>
    <n v="2"/>
    <s v=""/>
    <s v=""/>
    <s v=""/>
  </r>
  <r>
    <s v="Irregang_und_Girregar.csv"/>
    <s v="#Bote"/>
    <x v="0"/>
    <s v="unbekannt"/>
    <x v="3"/>
    <x v="15"/>
    <x v="1"/>
    <x v="2"/>
    <x v="3"/>
    <n v="0.85714285714285698"/>
    <n v="0.182539682539683"/>
    <n v="0.25"/>
    <n v="2.3894815022153799E-2"/>
    <x v="12"/>
    <x v="1"/>
    <s v=""/>
    <s v=""/>
    <s v=""/>
    <s v=""/>
    <s v=""/>
  </r>
  <r>
    <s v="Irregang_und_Girregar.csv"/>
    <s v="#Gesinde"/>
    <x v="2"/>
    <s v="unbekannt"/>
    <x v="3"/>
    <x v="3"/>
    <x v="1"/>
    <x v="2"/>
    <x v="3"/>
    <n v="1.4285714285714299"/>
    <n v="0.28571428571428598"/>
    <n v="0.194444444444444"/>
    <n v="0.19775098609363001"/>
    <x v="3"/>
    <x v="1"/>
    <s v=""/>
    <s v=""/>
    <s v=""/>
    <s v=""/>
    <s v=""/>
  </r>
  <r>
    <s v="Irregang_und_Girregar.csv"/>
    <s v="#Wirtin"/>
    <x v="1"/>
    <s v="unbekannt"/>
    <x v="0"/>
    <x v="13"/>
    <x v="0"/>
    <x v="2"/>
    <x v="3"/>
    <n v="1.71428571428571"/>
    <n v="0.34920634920634902"/>
    <n v="0.233333333333333"/>
    <n v="0.59838906358420996"/>
    <x v="4"/>
    <x v="1"/>
    <n v="1"/>
    <s v=""/>
    <s v=""/>
    <s v=""/>
    <s v=""/>
  </r>
  <r>
    <s v="Irregang_und_Girregar.csv"/>
    <s v="#Kint"/>
    <x v="3"/>
    <s v="unbekannt"/>
    <x v="1"/>
    <x v="2"/>
    <x v="1"/>
    <x v="2"/>
    <x v="3"/>
    <n v="1.1428571428571399"/>
    <n v="0.46825396825396798"/>
    <n v="0.29166666666666702"/>
    <n v="5.5634294847443901E-2"/>
    <x v="2"/>
    <x v="1"/>
    <s v=""/>
    <s v=""/>
    <s v=""/>
    <s v=""/>
    <s v=""/>
  </r>
  <r>
    <s v="Martinsfest.csv"/>
    <s v="#Man"/>
    <x v="0"/>
    <s v="bauer"/>
    <x v="3"/>
    <x v="14"/>
    <x v="0"/>
    <x v="5"/>
    <x v="1"/>
    <n v="2"/>
    <n v="0"/>
    <n v="0.29411764705882398"/>
    <n v="1"/>
    <x v="5"/>
    <x v="1"/>
    <s v=""/>
    <n v="2"/>
    <s v=""/>
    <s v=""/>
    <s v=""/>
  </r>
  <r>
    <s v="Martinsfest.csv"/>
    <s v="#Gesinde"/>
    <x v="2"/>
    <s v="bauer"/>
    <x v="3"/>
    <x v="3"/>
    <x v="1"/>
    <x v="5"/>
    <x v="1"/>
    <n v="2"/>
    <n v="0"/>
    <n v="0.41666666666666702"/>
    <n v="0.74076625529934303"/>
    <x v="3"/>
    <x v="1"/>
    <s v=""/>
    <s v=""/>
    <s v=""/>
    <s v=""/>
    <s v=""/>
  </r>
  <r>
    <s v="Martinsfest.csv"/>
    <s v="#Diebe"/>
    <x v="2"/>
    <s v="NA"/>
    <x v="3"/>
    <x v="11"/>
    <x v="1"/>
    <x v="0"/>
    <x v="1"/>
    <n v="1.2"/>
    <n v="0.15"/>
    <n v="0.41666666666666702"/>
    <n v="0.39059917548970902"/>
    <x v="10"/>
    <x v="1"/>
    <s v=""/>
    <s v=""/>
    <s v=""/>
    <s v=""/>
    <n v="5"/>
  </r>
  <r>
    <s v="Martinsfest.csv"/>
    <s v="#Dieb"/>
    <x v="0"/>
    <s v="NA"/>
    <x v="3"/>
    <x v="4"/>
    <x v="1"/>
    <x v="0"/>
    <x v="1"/>
    <n v="2"/>
    <n v="0.25"/>
    <n v="0.5"/>
    <n v="0.735962824898442"/>
    <x v="4"/>
    <x v="1"/>
    <n v="1"/>
    <s v=""/>
    <s v=""/>
    <s v=""/>
    <s v=""/>
  </r>
  <r>
    <s v="Martinsfest.csv"/>
    <s v="#KnÃ©hte"/>
    <x v="2"/>
    <s v="bauer:knecht"/>
    <x v="3"/>
    <x v="3"/>
    <x v="1"/>
    <x v="5"/>
    <x v="1"/>
    <n v="1.6"/>
    <n v="0.05"/>
    <n v="0.45454545454545497"/>
    <n v="0.50120521923078298"/>
    <x v="3"/>
    <x v="1"/>
    <s v=""/>
    <s v=""/>
    <s v=""/>
    <s v=""/>
    <s v=""/>
  </r>
  <r>
    <s v="Martinsfest.csv"/>
    <s v="#Wip"/>
    <x v="1"/>
    <s v="bauer"/>
    <x v="3"/>
    <x v="1"/>
    <x v="1"/>
    <x v="5"/>
    <x v="1"/>
    <n v="1.6"/>
    <n v="0"/>
    <n v="0.41666666666666702"/>
    <n v="0.56931726303234798"/>
    <x v="1"/>
    <x v="1"/>
    <s v=""/>
    <s v=""/>
    <s v=""/>
    <s v=""/>
    <s v=""/>
  </r>
  <r>
    <s v="Minnedurst.csv"/>
    <s v="#Wip"/>
    <x v="1"/>
    <s v="buergerlich:unbekannt"/>
    <x v="0"/>
    <x v="13"/>
    <x v="0"/>
    <x v="3"/>
    <x v="3"/>
    <n v="2"/>
    <n v="0.16666666666666699"/>
    <n v="0.44444444444444398"/>
    <n v="1"/>
    <x v="4"/>
    <x v="1"/>
    <n v="1"/>
    <s v=""/>
    <s v=""/>
    <s v=""/>
    <s v=""/>
  </r>
  <r>
    <s v="Minnedurst.csv"/>
    <s v="#Man"/>
    <x v="0"/>
    <s v="buergerlich:unbekannt"/>
    <x v="3"/>
    <x v="7"/>
    <x v="1"/>
    <x v="3"/>
    <x v="3"/>
    <n v="2"/>
    <n v="0.16666666666666699"/>
    <n v="0.44444444444444398"/>
    <n v="0.78652875862854299"/>
    <x v="5"/>
    <x v="1"/>
    <s v=""/>
    <n v="2"/>
    <s v=""/>
    <s v=""/>
    <s v=""/>
  </r>
  <r>
    <s v="Minnedurst.csv"/>
    <s v="#Knabe"/>
    <x v="0"/>
    <s v="unbekannt"/>
    <x v="0"/>
    <x v="19"/>
    <x v="0"/>
    <x v="2"/>
    <x v="3"/>
    <n v="1.5"/>
    <n v="0"/>
    <n v="0.266666666666667"/>
    <n v="0.93947963678087598"/>
    <x v="4"/>
    <x v="1"/>
    <n v="1"/>
    <s v=""/>
    <s v=""/>
    <s v=""/>
    <s v=""/>
  </r>
  <r>
    <s v="Minnedurst.csv"/>
    <s v="#Meier"/>
    <x v="0"/>
    <s v="buergerlich:meyer"/>
    <x v="3"/>
    <x v="8"/>
    <x v="1"/>
    <x v="3"/>
    <x v="3"/>
    <n v="1.5"/>
    <n v="0.5"/>
    <n v="0.44444444444444398"/>
    <n v="0.22521804258280201"/>
    <x v="7"/>
    <x v="1"/>
    <s v=""/>
    <s v=""/>
    <s v=""/>
    <s v=""/>
    <s v=""/>
  </r>
  <r>
    <s v="Minnedurst.csv"/>
    <s v="#Wirt"/>
    <x v="0"/>
    <s v="buergerlich:wirt"/>
    <x v="3"/>
    <x v="3"/>
    <x v="1"/>
    <x v="3"/>
    <x v="3"/>
    <n v="1"/>
    <n v="0.16666666666666699"/>
    <n v="0.4"/>
    <n v="7.3799939632206296E-2"/>
    <x v="3"/>
    <x v="1"/>
    <s v=""/>
    <s v=""/>
    <s v=""/>
    <s v=""/>
    <s v=""/>
  </r>
  <r>
    <s v="Rittertreue.csv"/>
    <s v="#Ritter"/>
    <x v="0"/>
    <s v="adel:ritter"/>
    <x v="5"/>
    <x v="6"/>
    <x v="0"/>
    <x v="1"/>
    <x v="0"/>
    <n v="0.33333333333333298"/>
    <n v="0"/>
    <n v="0.26086956521739102"/>
    <n v="0.58180079134140095"/>
    <x v="6"/>
    <x v="3"/>
    <s v=""/>
    <s v=""/>
    <s v=""/>
    <s v=""/>
    <s v=""/>
  </r>
  <r>
    <s v="Rittertreue.csv"/>
    <s v="#Grave-Willekin"/>
    <x v="0"/>
    <s v="adel:ritter"/>
    <x v="0"/>
    <x v="3"/>
    <x v="0"/>
    <x v="1"/>
    <x v="0"/>
    <n v="1.6666666666666701"/>
    <n v="0.174242424242424"/>
    <n v="0.33333333333333298"/>
    <n v="1"/>
    <x v="3"/>
    <x v="3"/>
    <s v=""/>
    <s v=""/>
    <s v=""/>
    <s v=""/>
    <s v=""/>
  </r>
  <r>
    <s v="Rittertreue.csv"/>
    <s v="#Vater-Willekins"/>
    <x v="0"/>
    <s v="adel:unbekannt"/>
    <x v="2"/>
    <x v="8"/>
    <x v="1"/>
    <x v="1"/>
    <x v="0"/>
    <n v="0.66666666666666696"/>
    <n v="7.5757575757575801E-2"/>
    <n v="0.375"/>
    <n v="0.25966705918486499"/>
    <x v="7"/>
    <x v="3"/>
    <s v=""/>
    <s v=""/>
    <s v=""/>
    <s v=""/>
    <s v=""/>
  </r>
  <r>
    <s v="Rittertreue.csv"/>
    <s v="#Junc-vrouwe"/>
    <x v="1"/>
    <s v="adel:edelfrau"/>
    <x v="0"/>
    <x v="6"/>
    <x v="1"/>
    <x v="1"/>
    <x v="0"/>
    <n v="1.3333333333333299"/>
    <n v="0.54545454545454497"/>
    <n v="0.5"/>
    <n v="0.61955072261073696"/>
    <x v="6"/>
    <x v="3"/>
    <s v=""/>
    <s v=""/>
    <s v=""/>
    <s v=""/>
    <s v=""/>
  </r>
  <r>
    <s v="Rittertreue.csv"/>
    <s v="#Rat-geben-der-vrouwe"/>
    <x v="2"/>
    <s v="adel:ratgeber"/>
    <x v="3"/>
    <x v="23"/>
    <x v="1"/>
    <x v="1"/>
    <x v="0"/>
    <n v="0.16666666666666699"/>
    <n v="0"/>
    <n v="0.34285714285714303"/>
    <n v="1.9762766371668E-2"/>
    <x v="16"/>
    <x v="3"/>
    <s v=""/>
    <s v=""/>
    <s v=""/>
    <s v=""/>
    <s v=""/>
  </r>
  <r>
    <s v="Rittertreue.csv"/>
    <s v="#Kneht(e-)-der-vrouwe"/>
    <x v="2"/>
    <s v="adel:knecht"/>
    <x v="3"/>
    <x v="3"/>
    <x v="1"/>
    <x v="1"/>
    <x v="0"/>
    <n v="0.66666666666666696"/>
    <n v="0.11363636363636399"/>
    <n v="0.38709677419354799"/>
    <n v="0.12399173468724201"/>
    <x v="3"/>
    <x v="3"/>
    <s v=""/>
    <s v=""/>
    <s v=""/>
    <s v=""/>
    <s v=""/>
  </r>
  <r>
    <s v="Rittertreue.csv"/>
    <s v="#Garzuon"/>
    <x v="0"/>
    <s v="buergerlich:garzuon"/>
    <x v="3"/>
    <x v="15"/>
    <x v="1"/>
    <x v="3"/>
    <x v="0"/>
    <n v="0.66666666666666696"/>
    <n v="2.5252525252525301E-2"/>
    <n v="0.38709677419354799"/>
    <n v="0.23995819381793601"/>
    <x v="12"/>
    <x v="3"/>
    <s v=""/>
    <s v=""/>
    <s v=""/>
    <s v=""/>
    <s v=""/>
  </r>
  <r>
    <s v="Rittertreue.csv"/>
    <s v="#Willekins-kneht"/>
    <x v="0"/>
    <s v="adel:knecht"/>
    <x v="3"/>
    <x v="15"/>
    <x v="1"/>
    <x v="1"/>
    <x v="0"/>
    <n v="0.83333333333333304"/>
    <n v="2.27272727272727E-2"/>
    <n v="0.30769230769230799"/>
    <n v="0.40048964481880001"/>
    <x v="12"/>
    <x v="3"/>
    <s v=""/>
    <s v=""/>
    <s v=""/>
    <s v=""/>
    <s v=""/>
  </r>
  <r>
    <s v="Rittertreue.csv"/>
    <s v="#Muoter-Willekins"/>
    <x v="1"/>
    <s v="adel:edelfrau"/>
    <x v="2"/>
    <x v="9"/>
    <x v="1"/>
    <x v="1"/>
    <x v="0"/>
    <n v="0.16666666666666699"/>
    <n v="0"/>
    <n v="0.25531914893617003"/>
    <n v="3.1898544623415598E-2"/>
    <x v="8"/>
    <x v="3"/>
    <s v=""/>
    <s v=""/>
    <s v=""/>
    <s v=""/>
    <s v=""/>
  </r>
  <r>
    <s v="Rittertreue.csv"/>
    <s v="#Richer-manne-dri"/>
    <x v="2"/>
    <s v="buergerlich:buerger"/>
    <x v="3"/>
    <x v="3"/>
    <x v="1"/>
    <x v="3"/>
    <x v="0"/>
    <n v="0.33333333333333298"/>
    <n v="1.5151515151515201E-2"/>
    <n v="0.34285714285714303"/>
    <n v="3.8564869156755999E-2"/>
    <x v="3"/>
    <x v="3"/>
    <s v=""/>
    <s v=""/>
    <s v=""/>
    <s v=""/>
    <s v=""/>
  </r>
  <r>
    <s v="Rittertreue.csv"/>
    <s v="#Wirt"/>
    <x v="0"/>
    <s v="buergerlich:wirt"/>
    <x v="3"/>
    <x v="6"/>
    <x v="1"/>
    <x v="3"/>
    <x v="0"/>
    <n v="1"/>
    <n v="0.26767676767676801"/>
    <n v="0.46153846153846201"/>
    <n v="0.40800593561455401"/>
    <x v="6"/>
    <x v="3"/>
    <s v=""/>
    <s v=""/>
    <s v=""/>
    <s v=""/>
    <s v=""/>
  </r>
  <r>
    <s v="Rittertreue.csv"/>
    <s v="#Ritter-Willekins"/>
    <x v="2"/>
    <s v="adel:ritter"/>
    <x v="3"/>
    <x v="20"/>
    <x v="1"/>
    <x v="1"/>
    <x v="0"/>
    <n v="0.5"/>
    <n v="4.5454545454545497E-2"/>
    <n v="0.32432432432432401"/>
    <n v="0.10260171714093801"/>
    <x v="14"/>
    <x v="3"/>
    <s v=""/>
    <s v=""/>
    <s v=""/>
    <s v=""/>
    <s v=""/>
  </r>
  <r>
    <s v="Rittertreue.csv"/>
    <s v="#Ein-ritter"/>
    <x v="0"/>
    <s v="adel:ritter"/>
    <x v="3"/>
    <x v="18"/>
    <x v="1"/>
    <x v="1"/>
    <x v="0"/>
    <n v="0.33333333333333298"/>
    <n v="0.12121212121212099"/>
    <n v="0.38709677419354799"/>
    <n v="8.3559855618499199E-2"/>
    <x v="13"/>
    <x v="3"/>
    <s v=""/>
    <s v=""/>
    <s v=""/>
    <s v=""/>
    <s v=""/>
  </r>
  <r>
    <s v="Scheidung_und_Suehne.csv"/>
    <s v="#Man"/>
    <x v="0"/>
    <s v="unbekannt"/>
    <x v="3"/>
    <x v="0"/>
    <x v="0"/>
    <x v="2"/>
    <x v="3"/>
    <n v="0"/>
    <n v="0"/>
    <n v="0"/>
    <n v="0"/>
    <x v="0"/>
    <x v="1"/>
    <s v=""/>
    <s v=""/>
    <s v=""/>
    <s v=""/>
    <s v=""/>
  </r>
  <r>
    <s v="Scheidung_und_Suehne.csv"/>
    <s v="#Wibe"/>
    <x v="1"/>
    <s v="unbekannt"/>
    <x v="3"/>
    <x v="1"/>
    <x v="0"/>
    <x v="2"/>
    <x v="3"/>
    <n v="0"/>
    <n v="0"/>
    <n v="0"/>
    <n v="0"/>
    <x v="1"/>
    <x v="1"/>
    <s v=""/>
    <s v=""/>
    <s v=""/>
    <s v=""/>
    <s v=""/>
  </r>
  <r>
    <s v="Thomas_von_Kandelberg.csv"/>
    <s v="#Schuolaere"/>
    <x v="2"/>
    <s v="buergerlich:schueler"/>
    <x v="0"/>
    <x v="6"/>
    <x v="0"/>
    <x v="3"/>
    <x v="1"/>
    <n v="1"/>
    <n v="0.5"/>
    <n v="0.133333333333333"/>
    <n v="1"/>
    <x v="6"/>
    <x v="0"/>
    <s v=""/>
    <s v=""/>
    <s v=""/>
    <s v=""/>
    <s v=""/>
  </r>
  <r>
    <s v="Thomas_von_Kandelberg.csv"/>
    <s v="#Ein-jungelink"/>
    <x v="0"/>
    <s v="buergerlich:schueler"/>
    <x v="0"/>
    <x v="6"/>
    <x v="1"/>
    <x v="3"/>
    <x v="1"/>
    <n v="0.5"/>
    <n v="0"/>
    <n v="0.102564102564103"/>
    <n v="0.33993198216549397"/>
    <x v="6"/>
    <x v="0"/>
    <s v=""/>
    <s v=""/>
    <s v=""/>
    <s v=""/>
    <s v=""/>
  </r>
  <r>
    <s v="Thomas_von_Kandelberg.csv"/>
    <s v="#Sante-Tomas-von-Kandelberk"/>
    <x v="0"/>
    <s v="buergerlich:schueler"/>
    <x v="0"/>
    <x v="3"/>
    <x v="0"/>
    <x v="3"/>
    <x v="1"/>
    <n v="1.5"/>
    <n v="0.66666666666666696"/>
    <n v="0.18181818181818199"/>
    <n v="0.97568737339759604"/>
    <x v="3"/>
    <x v="0"/>
    <s v=""/>
    <s v=""/>
    <s v=""/>
    <s v=""/>
    <s v=""/>
  </r>
  <r>
    <s v="Thomas_von_Kandelberg.csv"/>
    <s v="#Bischof"/>
    <x v="0"/>
    <s v="klerus:bischof"/>
    <x v="5"/>
    <x v="3"/>
    <x v="1"/>
    <x v="4"/>
    <x v="1"/>
    <n v="1"/>
    <n v="0.25"/>
    <n v="0.173913043478261"/>
    <n v="0.13737386314941699"/>
    <x v="3"/>
    <x v="0"/>
    <s v=""/>
    <s v=""/>
    <s v=""/>
    <s v=""/>
    <s v=""/>
  </r>
  <r>
    <s v="Thomas_von_Kandelberg.csv"/>
    <s v="#Babest"/>
    <x v="0"/>
    <s v="klerus:papst"/>
    <x v="3"/>
    <x v="3"/>
    <x v="1"/>
    <x v="4"/>
    <x v="1"/>
    <n v="1"/>
    <n v="0"/>
    <n v="0.15384615384615399"/>
    <n v="0.23667748507462999"/>
    <x v="3"/>
    <x v="0"/>
    <s v=""/>
    <s v=""/>
    <s v=""/>
    <s v=""/>
    <s v=""/>
  </r>
  <r>
    <s v="Turandot.csv"/>
    <s v="#Kuenig"/>
    <x v="0"/>
    <s v="adel:koenig"/>
    <x v="3"/>
    <x v="8"/>
    <x v="1"/>
    <x v="1"/>
    <x v="1"/>
    <n v="0.8"/>
    <n v="0"/>
    <n v="0.26315789473684198"/>
    <n v="0.38297489003732998"/>
    <x v="7"/>
    <x v="1"/>
    <s v=""/>
    <s v=""/>
    <s v=""/>
    <s v=""/>
    <s v=""/>
  </r>
  <r>
    <s v="Turandot.csv"/>
    <s v="#Tohter"/>
    <x v="1"/>
    <s v="adel:koenigstochter"/>
    <x v="0"/>
    <x v="11"/>
    <x v="0"/>
    <x v="1"/>
    <x v="1"/>
    <n v="2"/>
    <n v="0.4"/>
    <n v="0.55555555555555602"/>
    <n v="0.90094010786408596"/>
    <x v="10"/>
    <x v="1"/>
    <s v=""/>
    <s v=""/>
    <s v=""/>
    <s v=""/>
    <n v="5"/>
  </r>
  <r>
    <s v="Turandot.csv"/>
    <s v="#Dorf-man"/>
    <x v="0"/>
    <s v="unbekannt"/>
    <x v="3"/>
    <x v="8"/>
    <x v="1"/>
    <x v="2"/>
    <x v="1"/>
    <n v="0.8"/>
    <n v="0"/>
    <n v="0.41666666666666702"/>
    <n v="0.19481364584081901"/>
    <x v="7"/>
    <x v="1"/>
    <s v=""/>
    <s v=""/>
    <s v=""/>
    <s v=""/>
    <s v=""/>
  </r>
  <r>
    <s v="Turandot.csv"/>
    <s v="#Konni"/>
    <x v="0"/>
    <s v="bauer:narr"/>
    <x v="0"/>
    <x v="3"/>
    <x v="0"/>
    <x v="5"/>
    <x v="1"/>
    <n v="2"/>
    <n v="0.1"/>
    <n v="0.5"/>
    <n v="1"/>
    <x v="3"/>
    <x v="1"/>
    <s v=""/>
    <s v=""/>
    <s v=""/>
    <s v=""/>
    <s v=""/>
  </r>
  <r>
    <s v="Turandot.csv"/>
    <s v="#Junk-her"/>
    <x v="0"/>
    <s v="adel:edelmann"/>
    <x v="0"/>
    <x v="20"/>
    <x v="1"/>
    <x v="1"/>
    <x v="1"/>
    <n v="1.2"/>
    <n v="0"/>
    <n v="0.38461538461538503"/>
    <n v="0.72393701245144604"/>
    <x v="14"/>
    <x v="1"/>
    <s v=""/>
    <s v=""/>
    <s v=""/>
    <s v=""/>
    <s v=""/>
  </r>
  <r>
    <s v="Turandot.csv"/>
    <s v="#Dri-stolzen-rittern"/>
    <x v="2"/>
    <s v="adel:ritter"/>
    <x v="5"/>
    <x v="3"/>
    <x v="1"/>
    <x v="1"/>
    <x v="1"/>
    <n v="1.2"/>
    <n v="0.5"/>
    <n v="0.55555555555555602"/>
    <n v="0.17627453952137201"/>
    <x v="3"/>
    <x v="1"/>
    <s v=""/>
    <s v=""/>
    <s v=""/>
    <s v=""/>
    <s v=""/>
  </r>
  <r>
    <s v="Unser_Frauen_Ritter_und_die_Jungfrau.csv"/>
    <s v="#Ritter"/>
    <x v="0"/>
    <s v="adel:ritter"/>
    <x v="3"/>
    <x v="10"/>
    <x v="0"/>
    <x v="1"/>
    <x v="0"/>
    <n v="1.5"/>
    <n v="0.32142857142857101"/>
    <n v="0.42105263157894701"/>
    <n v="1"/>
    <x v="9"/>
    <x v="0"/>
    <s v=""/>
    <s v=""/>
    <n v="3"/>
    <s v=""/>
    <s v=""/>
  </r>
  <r>
    <s v="Unser_Frauen_Ritter_und_die_Jungfrau.csv"/>
    <s v="#Wirt"/>
    <x v="0"/>
    <s v="buergerlich:wirt"/>
    <x v="3"/>
    <x v="3"/>
    <x v="1"/>
    <x v="3"/>
    <x v="0"/>
    <n v="0.25"/>
    <n v="0"/>
    <n v="0.32"/>
    <n v="7.8383965115572801E-2"/>
    <x v="3"/>
    <x v="0"/>
    <s v=""/>
    <s v=""/>
    <s v=""/>
    <s v=""/>
    <s v=""/>
  </r>
  <r>
    <s v="Unser_Frauen_Ritter_und_die_Jungfrau.csv"/>
    <s v="#Maget"/>
    <x v="1"/>
    <s v="unbekannt"/>
    <x v="0"/>
    <x v="12"/>
    <x v="0"/>
    <x v="2"/>
    <x v="0"/>
    <n v="1.25"/>
    <n v="0.107142857142857"/>
    <n v="0.38095238095238099"/>
    <n v="0.99683395754702397"/>
    <x v="11"/>
    <x v="0"/>
    <s v=""/>
    <s v=""/>
    <s v=""/>
    <n v="4"/>
    <s v=""/>
  </r>
  <r>
    <s v="Unser_Frauen_Ritter_und_die_Jungfrau.csv"/>
    <s v="#Vater-der-vrouwe"/>
    <x v="0"/>
    <s v="unbekannt"/>
    <x v="3"/>
    <x v="8"/>
    <x v="1"/>
    <x v="2"/>
    <x v="0"/>
    <n v="1"/>
    <n v="1.7857142857142901E-2"/>
    <n v="0.38095238095238099"/>
    <n v="0.185618845489193"/>
    <x v="7"/>
    <x v="0"/>
    <s v=""/>
    <s v=""/>
    <s v=""/>
    <s v=""/>
    <s v=""/>
  </r>
  <r>
    <s v="Unser_Frauen_Ritter_und_die_Jungfrau.csv"/>
    <s v="#Muoter-der-vrouwe"/>
    <x v="1"/>
    <s v="unbekannt"/>
    <x v="3"/>
    <x v="9"/>
    <x v="1"/>
    <x v="2"/>
    <x v="0"/>
    <n v="1"/>
    <n v="1.7857142857142901E-2"/>
    <n v="0.38095238095238099"/>
    <n v="0.185618845489192"/>
    <x v="8"/>
    <x v="0"/>
    <s v=""/>
    <s v=""/>
    <s v=""/>
    <s v=""/>
    <s v=""/>
  </r>
  <r>
    <s v="Unser_Frauen_Ritter_und_die_Jungfrau.csv"/>
    <s v="#Wip"/>
    <x v="1"/>
    <s v="unbekannt"/>
    <x v="3"/>
    <x v="3"/>
    <x v="1"/>
    <x v="2"/>
    <x v="0"/>
    <n v="1"/>
    <n v="1.7857142857142901E-2"/>
    <n v="0.38095238095238099"/>
    <n v="0.185618845489193"/>
    <x v="3"/>
    <x v="0"/>
    <s v=""/>
    <s v=""/>
    <s v=""/>
    <s v=""/>
    <s v=""/>
  </r>
  <r>
    <s v="Unser_Frauen_Ritter_und_die_Jungfrau.csv"/>
    <s v="#Schuoler"/>
    <x v="0"/>
    <s v="buergerlich:schueler"/>
    <x v="0"/>
    <x v="6"/>
    <x v="1"/>
    <x v="3"/>
    <x v="0"/>
    <n v="0.75"/>
    <n v="0.23214285714285701"/>
    <n v="0.38095238095238099"/>
    <n v="0.16046333982659999"/>
    <x v="6"/>
    <x v="0"/>
    <s v=""/>
    <s v=""/>
    <s v=""/>
    <s v=""/>
    <s v=""/>
  </r>
  <r>
    <s v="Unser_Frauen_Ritter_und_die_Jungfrau.csv"/>
    <s v="#Einer"/>
    <x v="0"/>
    <s v="unbekannt"/>
    <x v="3"/>
    <x v="3"/>
    <x v="1"/>
    <x v="2"/>
    <x v="0"/>
    <n v="0.25"/>
    <n v="0"/>
    <n v="0.24242424242424199"/>
    <n v="2.5155505662592999E-2"/>
    <x v="3"/>
    <x v="0"/>
    <s v=""/>
    <s v=""/>
    <s v=""/>
    <s v=""/>
    <s v=""/>
  </r>
  <r>
    <s v="Unser_Frauen_Ritter_und_die_Jungfrau.csv"/>
    <s v="#Bischof"/>
    <x v="0"/>
    <s v="klerus:bischof"/>
    <x v="3"/>
    <x v="3"/>
    <x v="1"/>
    <x v="4"/>
    <x v="0"/>
    <n v="0"/>
    <n v="0"/>
    <n v="0.11111111111111099"/>
    <n v="1.10144031914012E-17"/>
    <x v="3"/>
    <x v="0"/>
    <s v=""/>
    <s v=""/>
    <s v=""/>
    <s v=""/>
    <s v=""/>
  </r>
  <r>
    <s v="Von_der_ueblen_Adelheit_und_irem_Man.csv"/>
    <s v="#Der-guot-Markhart"/>
    <x v="0"/>
    <s v="unbekannt"/>
    <x v="3"/>
    <x v="3"/>
    <x v="0"/>
    <x v="2"/>
    <x v="3"/>
    <n v="2"/>
    <n v="0.16666666666666699"/>
    <n v="0.75"/>
    <n v="1"/>
    <x v="3"/>
    <x v="1"/>
    <s v=""/>
    <s v=""/>
    <s v=""/>
    <s v=""/>
    <s v=""/>
  </r>
  <r>
    <s v="Von_der_ueblen_Adelheit_und_irem_Man.csv"/>
    <s v="#Diu-uebel-Adelheit"/>
    <x v="1"/>
    <s v="unbekannt"/>
    <x v="3"/>
    <x v="11"/>
    <x v="0"/>
    <x v="2"/>
    <x v="3"/>
    <n v="2"/>
    <n v="0.16666666666666699"/>
    <n v="0.75"/>
    <n v="1"/>
    <x v="10"/>
    <x v="1"/>
    <s v=""/>
    <s v=""/>
    <s v=""/>
    <s v=""/>
    <n v="5"/>
  </r>
  <r>
    <s v="Von_der_ueblen_Adelheit_und_irem_Man.csv"/>
    <s v="#Ein-man"/>
    <x v="0"/>
    <s v="unbekannt"/>
    <x v="3"/>
    <x v="3"/>
    <x v="1"/>
    <x v="2"/>
    <x v="3"/>
    <n v="1.3333333333333299"/>
    <n v="0.16666666666666699"/>
    <n v="0.75"/>
    <n v="0.140054944640259"/>
    <x v="3"/>
    <x v="1"/>
    <s v=""/>
    <s v=""/>
    <s v=""/>
    <s v=""/>
    <s v=""/>
  </r>
  <r>
    <s v="Von_der_ueblen_Adelheit_und_irem_Man.csv"/>
    <s v="#Ein-her"/>
    <x v="0"/>
    <s v="unbekannt"/>
    <x v="3"/>
    <x v="6"/>
    <x v="1"/>
    <x v="2"/>
    <x v="3"/>
    <n v="1.3333333333333299"/>
    <n v="0.16666666666666699"/>
    <n v="0.75"/>
    <n v="0.140054944640259"/>
    <x v="6"/>
    <x v="1"/>
    <s v=""/>
    <s v=""/>
    <s v=""/>
    <s v=""/>
    <s v=""/>
  </r>
  <r>
    <s v="Weiberlist.csv"/>
    <s v="#Man"/>
    <x v="0"/>
    <s v="unbekannt"/>
    <x v="3"/>
    <x v="7"/>
    <x v="0"/>
    <x v="2"/>
    <x v="3"/>
    <n v="2"/>
    <n v="0.25"/>
    <n v="0.33333333333333298"/>
    <n v="1"/>
    <x v="5"/>
    <x v="1"/>
    <s v=""/>
    <n v="2"/>
    <s v=""/>
    <s v=""/>
    <s v=""/>
  </r>
  <r>
    <s v="Weiberlist.csv"/>
    <s v="#Wip"/>
    <x v="1"/>
    <s v="unbekannt"/>
    <x v="3"/>
    <x v="13"/>
    <x v="0"/>
    <x v="2"/>
    <x v="3"/>
    <n v="2"/>
    <n v="0.25"/>
    <n v="0.33333333333333298"/>
    <n v="1"/>
    <x v="4"/>
    <x v="1"/>
    <n v="1"/>
    <s v=""/>
    <s v=""/>
    <s v=""/>
    <s v=""/>
  </r>
  <r>
    <s v="Weiberlist.csv"/>
    <s v="#Buhler"/>
    <x v="0"/>
    <s v="unbekannt"/>
    <x v="3"/>
    <x v="4"/>
    <x v="1"/>
    <x v="2"/>
    <x v="3"/>
    <n v="1"/>
    <n v="0.16666666666666699"/>
    <n v="0.30769230769230799"/>
    <n v="0.11111111111111099"/>
    <x v="4"/>
    <x v="1"/>
    <n v="1"/>
    <s v=""/>
    <s v=""/>
    <s v=""/>
    <s v=""/>
  </r>
  <r>
    <s v="Weiberlist.csv"/>
    <s v="#Nah-gebueren"/>
    <x v="2"/>
    <s v="unbekannt"/>
    <x v="3"/>
    <x v="3"/>
    <x v="1"/>
    <x v="2"/>
    <x v="3"/>
    <n v="1"/>
    <n v="0"/>
    <n v="0.25"/>
    <n v="0.22222222222222199"/>
    <x v="3"/>
    <x v="1"/>
    <s v=""/>
    <s v=""/>
    <s v=""/>
    <s v=""/>
    <s v=""/>
  </r>
  <r>
    <s v="Weiberlist.csv"/>
    <s v="#Vuegerinne"/>
    <x v="1"/>
    <s v="buergerlich:kupplerin"/>
    <x v="2"/>
    <x v="6"/>
    <x v="1"/>
    <x v="3"/>
    <x v="3"/>
    <n v="1"/>
    <n v="0"/>
    <n v="0.12903225806451599"/>
    <n v="0.77777777777777801"/>
    <x v="6"/>
    <x v="1"/>
    <s v=""/>
    <s v=""/>
    <s v=""/>
    <s v=""/>
    <s v=""/>
  </r>
  <r>
    <s v="Zwei_Kaufmaenner_und_die_treue_Hausfrau.csv"/>
    <s v="#Gillam"/>
    <x v="0"/>
    <s v="buergerlich:kaufmann"/>
    <x v="3"/>
    <x v="8"/>
    <x v="1"/>
    <x v="3"/>
    <x v="3"/>
    <n v="0.57142857142857095"/>
    <n v="3.1135531135531101E-2"/>
    <n v="0.32558139534883701"/>
    <n v="0.156569428317231"/>
    <x v="7"/>
    <x v="1"/>
    <s v=""/>
    <s v=""/>
    <s v=""/>
    <s v=""/>
    <s v=""/>
  </r>
  <r>
    <s v="Zwei_Kaufmaenner_und_die_treue_Hausfrau.csv"/>
    <s v="#Gillot"/>
    <x v="0"/>
    <s v="buergerlich:kaufmann"/>
    <x v="3"/>
    <x v="8"/>
    <x v="1"/>
    <x v="3"/>
    <x v="3"/>
    <n v="0.71428571428571397"/>
    <n v="3.1135531135531101E-2"/>
    <n v="0.32558139534883701"/>
    <n v="0.18408291566361601"/>
    <x v="7"/>
    <x v="1"/>
    <s v=""/>
    <s v=""/>
    <s v=""/>
    <s v=""/>
    <s v=""/>
  </r>
  <r>
    <s v="Zwei_Kaufmaenner_und_die_treue_Hausfrau.csv"/>
    <s v="#Bertram"/>
    <x v="0"/>
    <s v="buergerlich:kaufmann"/>
    <x v="0"/>
    <x v="0"/>
    <x v="0"/>
    <x v="3"/>
    <x v="3"/>
    <n v="1.28571428571429"/>
    <n v="0.55311355311355304"/>
    <n v="0.51851851851851805"/>
    <n v="0.85061628254505495"/>
    <x v="0"/>
    <x v="1"/>
    <s v=""/>
    <s v=""/>
    <s v=""/>
    <s v=""/>
    <s v=""/>
  </r>
  <r>
    <s v="Zwei_Kaufmaenner_und_die_treue_Hausfrau.csv"/>
    <s v="#Irmengart"/>
    <x v="1"/>
    <s v="buergerlich:ehefrau"/>
    <x v="0"/>
    <x v="13"/>
    <x v="0"/>
    <x v="3"/>
    <x v="3"/>
    <n v="1.5714285714285701"/>
    <n v="0.33516483516483497"/>
    <n v="0.42424242424242398"/>
    <n v="1"/>
    <x v="4"/>
    <x v="1"/>
    <n v="1"/>
    <s v=""/>
    <s v=""/>
    <s v=""/>
    <s v=""/>
  </r>
  <r>
    <s v="Zwei_Kaufmaenner_und_die_treue_Hausfrau.csv"/>
    <s v="#Gillots-frau"/>
    <x v="1"/>
    <s v="buergerlich:ehefrau"/>
    <x v="3"/>
    <x v="9"/>
    <x v="1"/>
    <x v="3"/>
    <x v="3"/>
    <n v="0.28571428571428598"/>
    <n v="0"/>
    <n v="0.30434782608695699"/>
    <n v="4.9947428029942301E-2"/>
    <x v="8"/>
    <x v="1"/>
    <s v=""/>
    <s v=""/>
    <s v=""/>
    <s v=""/>
    <s v=""/>
  </r>
  <r>
    <s v="Zwei_Kaufmaenner_und_die_treue_Hausfrau.csv"/>
    <s v="#Hogier"/>
    <x v="0"/>
    <s v="buergerlich:wirt"/>
    <x v="3"/>
    <x v="14"/>
    <x v="0"/>
    <x v="3"/>
    <x v="3"/>
    <n v="1"/>
    <n v="7.1428571428571397E-2"/>
    <n v="0.37837837837837801"/>
    <n v="0.89999606847065805"/>
    <x v="5"/>
    <x v="1"/>
    <s v=""/>
    <n v="2"/>
    <s v=""/>
    <s v=""/>
    <s v=""/>
  </r>
  <r>
    <s v="Zwei_Kaufmaenner_und_die_treue_Hausfrau.csv"/>
    <s v="#Erster"/>
    <x v="0"/>
    <s v="unbekannt"/>
    <x v="3"/>
    <x v="0"/>
    <x v="1"/>
    <x v="2"/>
    <x v="3"/>
    <n v="0.57142857142857095"/>
    <n v="0.29120879120879101"/>
    <n v="0.41176470588235298"/>
    <n v="4.5688951793952E-2"/>
    <x v="0"/>
    <x v="1"/>
    <s v=""/>
    <s v=""/>
    <s v=""/>
    <s v=""/>
    <s v=""/>
  </r>
  <r>
    <s v="Zwei_Kaufmaenner_und_die_treue_Hausfrau.csv"/>
    <s v="#Zweiter"/>
    <x v="0"/>
    <s v="unbekannt"/>
    <x v="3"/>
    <x v="0"/>
    <x v="1"/>
    <x v="2"/>
    <x v="3"/>
    <n v="0.28571428571428598"/>
    <n v="0"/>
    <n v="0.24137931034482801"/>
    <n v="2.4091536982672299E-3"/>
    <x v="0"/>
    <x v="1"/>
    <s v=""/>
    <s v=""/>
    <s v=""/>
    <s v=""/>
    <s v=""/>
  </r>
  <r>
    <s v="Zwei_Kaufmaenner_und_die_treue_Hausfrau.csv"/>
    <s v="#Dritter"/>
    <x v="0"/>
    <s v="unbekannt"/>
    <x v="3"/>
    <x v="0"/>
    <x v="1"/>
    <x v="2"/>
    <x v="3"/>
    <n v="0.28571428571428598"/>
    <n v="7.1428571428571397E-2"/>
    <n v="0.31111111111111101"/>
    <n v="1.25096772830853E-3"/>
    <x v="0"/>
    <x v="1"/>
    <s v=""/>
    <s v=""/>
    <s v=""/>
    <s v=""/>
    <s v=""/>
  </r>
  <r>
    <s v="Zwei_Kaufmaenner_und_die_treue_Hausfrau.csv"/>
    <s v="#Bote"/>
    <x v="0"/>
    <s v="unbekannt"/>
    <x v="3"/>
    <x v="15"/>
    <x v="1"/>
    <x v="2"/>
    <x v="3"/>
    <n v="0.42857142857142899"/>
    <n v="0.305860805860806"/>
    <n v="0.46666666666666701"/>
    <n v="7.1539767502156806E-2"/>
    <x v="12"/>
    <x v="1"/>
    <s v=""/>
    <s v=""/>
    <s v=""/>
    <s v=""/>
    <s v=""/>
  </r>
  <r>
    <s v="Zwei_Kaufmaenner_und_die_treue_Hausfrau.csv"/>
    <s v="#Vriunde"/>
    <x v="2"/>
    <s v="unbekannt"/>
    <x v="3"/>
    <x v="3"/>
    <x v="1"/>
    <x v="2"/>
    <x v="3"/>
    <n v="0.57142857142857095"/>
    <n v="0"/>
    <n v="0.35897435897435898"/>
    <n v="0.228192975816009"/>
    <x v="3"/>
    <x v="1"/>
    <s v=""/>
    <s v=""/>
    <s v=""/>
    <s v=""/>
    <s v=""/>
  </r>
  <r>
    <s v="Zwei_Kaufmaenner_und_die_treue_Hausfrau.csv"/>
    <s v="#Gesinde"/>
    <x v="2"/>
    <s v="buergerlich:gesinde"/>
    <x v="3"/>
    <x v="3"/>
    <x v="1"/>
    <x v="3"/>
    <x v="3"/>
    <n v="0.57142857142857095"/>
    <n v="0"/>
    <n v="0.35897435897435898"/>
    <n v="0.223122903254032"/>
    <x v="3"/>
    <x v="1"/>
    <s v=""/>
    <s v=""/>
    <s v=""/>
    <s v=""/>
    <s v=""/>
  </r>
  <r>
    <s v="Zwei_Kaufmaenner_und_die_treue_Hausfrau.csv"/>
    <s v="#Dirn-Amelin"/>
    <x v="1"/>
    <s v="buergerlich:magd"/>
    <x v="3"/>
    <x v="6"/>
    <x v="1"/>
    <x v="3"/>
    <x v="3"/>
    <n v="0.42857142857142899"/>
    <n v="0"/>
    <n v="0.35"/>
    <n v="0.55529958825589698"/>
    <x v="6"/>
    <x v="1"/>
    <s v=""/>
    <s v=""/>
    <s v=""/>
    <s v=""/>
    <s v=""/>
  </r>
  <r>
    <s v="Zwei_Kaufmaenner_und_die_treue_Hausfrau.csv"/>
    <s v="#Muomen-von-Irmegart"/>
    <x v="1"/>
    <s v="buergerlich:mume"/>
    <x v="3"/>
    <x v="3"/>
    <x v="1"/>
    <x v="3"/>
    <x v="3"/>
    <n v="0.28571428571428598"/>
    <n v="4.7619047619047603E-2"/>
    <n v="0.31818181818181801"/>
    <n v="3.0796421189111099E-2"/>
    <x v="3"/>
    <x v="1"/>
    <s v=""/>
    <s v=""/>
    <s v=""/>
    <s v=""/>
    <s v=""/>
  </r>
  <r>
    <s v="Zwei_Kaufmaenner_und_die_treue_Hausfrau.csv"/>
    <s v="#Gillams-vrouwe"/>
    <x v="1"/>
    <s v="buergerlich:ehefrau"/>
    <x v="3"/>
    <x v="1"/>
    <x v="1"/>
    <x v="3"/>
    <x v="3"/>
    <n v="0.28571428571428598"/>
    <n v="4.7619047619047603E-2"/>
    <n v="0.31818181818181801"/>
    <n v="3.0080831990507002E-2"/>
    <x v="1"/>
    <x v="1"/>
    <s v=""/>
    <s v=""/>
    <s v=""/>
    <s v=""/>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1">
  <r>
    <s v="Adam_und_Eva.csv"/>
    <s v="#Adam"/>
    <x v="0"/>
    <s v="NA"/>
    <x v="0"/>
    <s v="ehemann"/>
    <x v="0"/>
    <x v="0"/>
    <x v="0"/>
    <n v="0"/>
    <n v="0"/>
    <n v="0"/>
    <n v="0"/>
    <x v="0"/>
    <x v="0"/>
    <s v=""/>
    <s v=""/>
    <s v=""/>
    <s v=""/>
    <s v=""/>
  </r>
  <r>
    <s v="Adam_und_Eva.csv"/>
    <s v="#Eva"/>
    <x v="1"/>
    <s v="NA"/>
    <x v="0"/>
    <s v="ehefrau"/>
    <x v="0"/>
    <x v="0"/>
    <x v="0"/>
    <n v="0"/>
    <n v="0"/>
    <n v="0"/>
    <n v="0"/>
    <x v="1"/>
    <x v="0"/>
    <s v=""/>
    <s v=""/>
    <s v=""/>
    <s v=""/>
    <s v=""/>
  </r>
  <r>
    <s v="Adam_und_Eva.csv"/>
    <s v="#Kain"/>
    <x v="0"/>
    <s v="NA"/>
    <x v="1"/>
    <s v="kind"/>
    <x v="1"/>
    <x v="0"/>
    <x v="0"/>
    <n v="0"/>
    <n v="0"/>
    <n v="0"/>
    <n v="0"/>
    <x v="2"/>
    <x v="0"/>
    <s v=""/>
    <s v=""/>
    <s v=""/>
    <s v=""/>
    <s v=""/>
  </r>
  <r>
    <s v="Alten_Weibes_List.csv"/>
    <s v="#Morolf"/>
    <x v="0"/>
    <s v="adel:koenig"/>
    <x v="2"/>
    <s v="unbekannt"/>
    <x v="1"/>
    <x v="1"/>
    <x v="1"/>
    <n v="0.44444444444444398"/>
    <n v="0.22222222222222199"/>
    <n v="0.40909090909090901"/>
    <n v="3.83871767284353E-2"/>
    <x v="3"/>
    <x v="1"/>
    <s v=""/>
    <s v=""/>
    <s v=""/>
    <s v=""/>
    <s v=""/>
  </r>
  <r>
    <s v="Alten_Weibes_List.csv"/>
    <s v="#Ein-Jude"/>
    <x v="0"/>
    <s v="unbekannt"/>
    <x v="2"/>
    <s v="unbekannt"/>
    <x v="1"/>
    <x v="2"/>
    <x v="1"/>
    <n v="0.22222222222222199"/>
    <n v="0"/>
    <n v="0.3"/>
    <n v="1.47141028894164E-3"/>
    <x v="3"/>
    <x v="1"/>
    <s v=""/>
    <s v=""/>
    <s v=""/>
    <s v=""/>
    <s v=""/>
  </r>
  <r>
    <s v="Alten_Weibes_List.csv"/>
    <s v="#Frau-Mez-die-Kouflerin"/>
    <x v="1"/>
    <s v="buergerlich:unbekannt"/>
    <x v="2"/>
    <s v="betrueger"/>
    <x v="0"/>
    <x v="3"/>
    <x v="1"/>
    <n v="1.7777777777777799"/>
    <n v="0.72222222222222199"/>
    <n v="0.5625"/>
    <n v="1"/>
    <x v="4"/>
    <x v="1"/>
    <n v="1"/>
    <s v=""/>
    <s v=""/>
    <s v=""/>
    <s v=""/>
  </r>
  <r>
    <s v="Alten_Weibes_List.csv"/>
    <s v="#Kor-herren-viere"/>
    <x v="2"/>
    <s v="klerus:chor"/>
    <x v="3"/>
    <s v="unbekannt"/>
    <x v="1"/>
    <x v="4"/>
    <x v="1"/>
    <n v="0.88888888888888895"/>
    <n v="0"/>
    <n v="0.34615384615384598"/>
    <n v="0.183761782169198"/>
    <x v="3"/>
    <x v="1"/>
    <s v=""/>
    <s v=""/>
    <s v=""/>
    <s v=""/>
    <s v=""/>
  </r>
  <r>
    <s v="Alten_Weibes_List.csv"/>
    <s v="#Heinrich"/>
    <x v="0"/>
    <s v="klerus:domprobst"/>
    <x v="0"/>
    <s v="unbekannt"/>
    <x v="0"/>
    <x v="4"/>
    <x v="1"/>
    <n v="1.1111111111111101"/>
    <n v="0"/>
    <n v="0.28125"/>
    <n v="0.72175853524477496"/>
    <x v="3"/>
    <x v="1"/>
    <s v=""/>
    <s v=""/>
    <s v=""/>
    <s v=""/>
    <s v=""/>
  </r>
  <r>
    <s v="Alten_Weibes_List.csv"/>
    <s v="#Wip"/>
    <x v="1"/>
    <s v="buergerlich:ehefrau"/>
    <x v="0"/>
    <s v="ehefrau/betrogener"/>
    <x v="0"/>
    <x v="3"/>
    <x v="1"/>
    <n v="1.1111111111111101"/>
    <n v="0"/>
    <n v="0.31034482758620702"/>
    <n v="0.81643093382051901"/>
    <x v="5"/>
    <x v="1"/>
    <s v=""/>
    <n v="2"/>
    <s v=""/>
    <s v=""/>
    <s v=""/>
  </r>
  <r>
    <s v="Alten_Weibes_List.csv"/>
    <s v="#Einer-krame"/>
    <x v="1"/>
    <s v="buergerlich:kraemer"/>
    <x v="3"/>
    <s v="unbekannt"/>
    <x v="1"/>
    <x v="3"/>
    <x v="1"/>
    <n v="0.44444444444444398"/>
    <n v="0.16666666666666699"/>
    <n v="0.40909090909090901"/>
    <n v="6.9625208024108598E-2"/>
    <x v="3"/>
    <x v="1"/>
    <s v=""/>
    <s v=""/>
    <s v=""/>
    <s v=""/>
    <s v=""/>
  </r>
  <r>
    <s v="Alten_Weibes_List.csv"/>
    <s v="#Dienst-magt"/>
    <x v="1"/>
    <s v="buergerlich:magd"/>
    <x v="0"/>
    <s v="helfer"/>
    <x v="1"/>
    <x v="3"/>
    <x v="1"/>
    <n v="0.44444444444444398"/>
    <n v="0"/>
    <n v="0.28125"/>
    <n v="0.20183927923720699"/>
    <x v="6"/>
    <x v="1"/>
    <s v=""/>
    <s v=""/>
    <s v=""/>
    <s v=""/>
    <s v=""/>
  </r>
  <r>
    <s v="Alten_Weibes_List.csv"/>
    <s v="#Schreiber"/>
    <x v="0"/>
    <s v="klerus:schreiber"/>
    <x v="3"/>
    <s v="helfer"/>
    <x v="1"/>
    <x v="4"/>
    <x v="1"/>
    <n v="0.88888888888888895"/>
    <n v="0.29166666666666702"/>
    <n v="0.47368421052631599"/>
    <n v="0.12246457943637699"/>
    <x v="6"/>
    <x v="1"/>
    <s v=""/>
    <s v=""/>
    <s v=""/>
    <s v=""/>
    <s v=""/>
  </r>
  <r>
    <s v="Alten_Weibes_List.csv"/>
    <s v="#Der-vrouwen-eman"/>
    <x v="0"/>
    <s v="buergerlich:burger"/>
    <x v="0"/>
    <s v="ehemann/betrogener"/>
    <x v="0"/>
    <x v="3"/>
    <x v="1"/>
    <n v="1.1111111111111101"/>
    <n v="2.7777777777777801E-2"/>
    <n v="0.375"/>
    <n v="0.383900632830871"/>
    <x v="5"/>
    <x v="1"/>
    <s v=""/>
    <n v="2"/>
    <s v=""/>
    <s v=""/>
    <s v=""/>
  </r>
  <r>
    <s v="Aristoteles_und_Phyllis.csv"/>
    <s v="#Fillipus"/>
    <x v="0"/>
    <s v="adel:koenig"/>
    <x v="2"/>
    <s v="vater"/>
    <x v="1"/>
    <x v="1"/>
    <x v="2"/>
    <n v="1.6"/>
    <n v="0"/>
    <n v="0.27777777777777801"/>
    <n v="0.45186423914524898"/>
    <x v="7"/>
    <x v="2"/>
    <s v=""/>
    <s v=""/>
    <s v=""/>
    <s v=""/>
    <s v=""/>
  </r>
  <r>
    <s v="Aristoteles_und_Phyllis.csv"/>
    <s v="#Frau-Koenigin"/>
    <x v="1"/>
    <s v="adel:koenigin"/>
    <x v="2"/>
    <s v="mutter"/>
    <x v="1"/>
    <x v="1"/>
    <x v="2"/>
    <n v="2"/>
    <n v="0.4"/>
    <n v="0.35714285714285698"/>
    <n v="0.40780303044572702"/>
    <x v="8"/>
    <x v="2"/>
    <s v=""/>
    <s v=""/>
    <s v=""/>
    <s v=""/>
    <s v=""/>
  </r>
  <r>
    <s v="Aristoteles_und_Phyllis.csv"/>
    <s v="#Alexander"/>
    <x v="0"/>
    <s v="adel:koenigssohn"/>
    <x v="0"/>
    <s v="liebender"/>
    <x v="0"/>
    <x v="1"/>
    <x v="2"/>
    <n v="2"/>
    <n v="0.1"/>
    <n v="0.33333333333333298"/>
    <n v="0.68260571356004196"/>
    <x v="9"/>
    <x v="2"/>
    <s v=""/>
    <s v=""/>
    <n v="3"/>
    <s v=""/>
    <s v=""/>
  </r>
  <r>
    <s v="Aristoteles_und_Phyllis.csv"/>
    <s v="#Aristoteles"/>
    <x v="0"/>
    <s v="buergerlich:gelehrter"/>
    <x v="2"/>
    <s v="gegenspieler"/>
    <x v="0"/>
    <x v="3"/>
    <x v="2"/>
    <n v="1.6"/>
    <n v="0"/>
    <n v="0.22727272727272699"/>
    <n v="0.92457227880880199"/>
    <x v="10"/>
    <x v="2"/>
    <s v=""/>
    <s v=""/>
    <s v=""/>
    <s v=""/>
    <n v="5"/>
  </r>
  <r>
    <s v="Aristoteles_und_Phyllis.csv"/>
    <s v="#Fillis"/>
    <x v="1"/>
    <s v="adel:hofstaat"/>
    <x v="0"/>
    <s v="liebende"/>
    <x v="0"/>
    <x v="1"/>
    <x v="2"/>
    <n v="2"/>
    <n v="0"/>
    <n v="0.27777777777777801"/>
    <n v="1"/>
    <x v="11"/>
    <x v="2"/>
    <s v=""/>
    <s v=""/>
    <s v=""/>
    <n v="4"/>
    <s v=""/>
  </r>
  <r>
    <s v="Aristoteles_und_Phyllis.csv"/>
    <s v="#Der-Koeniginnen-Jungfrauen"/>
    <x v="2"/>
    <s v="adel:hofstaat"/>
    <x v="0"/>
    <s v="unbekannt"/>
    <x v="1"/>
    <x v="1"/>
    <x v="2"/>
    <n v="1.2"/>
    <n v="0.4"/>
    <n v="0.38461538461538503"/>
    <n v="0.12404363187041401"/>
    <x v="3"/>
    <x v="2"/>
    <s v=""/>
    <s v=""/>
    <s v=""/>
    <s v=""/>
    <s v=""/>
  </r>
  <r>
    <s v="Berchta_mit_der_langen_Nase.csv"/>
    <s v="#Vater"/>
    <x v="0"/>
    <s v="unbekannt"/>
    <x v="3"/>
    <s v="ehemann/betrogener"/>
    <x v="0"/>
    <x v="2"/>
    <x v="3"/>
    <n v="2"/>
    <n v="0.66666666666666696"/>
    <n v="0.75"/>
    <n v="1"/>
    <x v="5"/>
    <x v="1"/>
    <s v=""/>
    <n v="2"/>
    <s v=""/>
    <s v=""/>
    <s v=""/>
  </r>
  <r>
    <s v="Berchta_mit_der_langen_Nase.csv"/>
    <s v="#Gesinde"/>
    <x v="2"/>
    <s v="unbekannt"/>
    <x v="3"/>
    <s v="unbekannt"/>
    <x v="1"/>
    <x v="2"/>
    <x v="3"/>
    <n v="1.3333333333333299"/>
    <n v="0.66666666666666696"/>
    <n v="0.75"/>
    <n v="0.53216822606869996"/>
    <x v="3"/>
    <x v="1"/>
    <s v=""/>
    <s v=""/>
    <s v=""/>
    <s v=""/>
    <s v=""/>
  </r>
  <r>
    <s v="Berchta_mit_der_langen_Nase.csv"/>
    <s v="#Kinde"/>
    <x v="3"/>
    <s v="unbekannt"/>
    <x v="1"/>
    <s v="helfer"/>
    <x v="0"/>
    <x v="2"/>
    <x v="3"/>
    <n v="1.3333333333333299"/>
    <n v="0"/>
    <n v="0.5"/>
    <n v="0.95935180783908602"/>
    <x v="6"/>
    <x v="1"/>
    <s v=""/>
    <s v=""/>
    <s v=""/>
    <s v=""/>
    <s v=""/>
  </r>
  <r>
    <s v="Berchta_mit_der_langen_Nase.csv"/>
    <s v="#Muoter"/>
    <x v="1"/>
    <s v="unbekannt"/>
    <x v="3"/>
    <s v="ehefrau/betrueger"/>
    <x v="1"/>
    <x v="2"/>
    <x v="3"/>
    <n v="0.66666666666666696"/>
    <n v="0"/>
    <n v="0.5"/>
    <n v="0.27160422336589701"/>
    <x v="4"/>
    <x v="1"/>
    <n v="1"/>
    <s v=""/>
    <s v=""/>
    <s v=""/>
    <s v=""/>
  </r>
  <r>
    <s v="Das_Auge.csv"/>
    <s v="#Herre"/>
    <x v="0"/>
    <s v="adel:ritter"/>
    <x v="0"/>
    <s v="ehemann"/>
    <x v="0"/>
    <x v="1"/>
    <x v="3"/>
    <n v="2"/>
    <n v="0.16666666666666699"/>
    <n v="0.42857142857142899"/>
    <n v="1"/>
    <x v="0"/>
    <x v="1"/>
    <s v=""/>
    <s v=""/>
    <s v=""/>
    <s v=""/>
    <s v=""/>
  </r>
  <r>
    <s v="Das_Auge.csv"/>
    <s v="#Wip"/>
    <x v="1"/>
    <s v="adel:edelfrau"/>
    <x v="0"/>
    <s v="ehefrau"/>
    <x v="0"/>
    <x v="1"/>
    <x v="3"/>
    <n v="2"/>
    <n v="0.16666666666666699"/>
    <n v="0.42857142857142899"/>
    <n v="1"/>
    <x v="1"/>
    <x v="1"/>
    <s v=""/>
    <s v=""/>
    <s v=""/>
    <s v=""/>
    <s v=""/>
  </r>
  <r>
    <s v="Das_Auge.csv"/>
    <s v="#Ritter"/>
    <x v="0"/>
    <s v="adel:ritter"/>
    <x v="0"/>
    <s v="gegenspieler"/>
    <x v="1"/>
    <x v="1"/>
    <x v="3"/>
    <n v="1.3333333333333299"/>
    <n v="0.33333333333333298"/>
    <n v="0.42857142857142899"/>
    <n v="0.12414315171437"/>
    <x v="10"/>
    <x v="1"/>
    <s v=""/>
    <s v=""/>
    <s v=""/>
    <s v=""/>
    <n v="5"/>
  </r>
  <r>
    <s v="Das_Auge.csv"/>
    <s v="#Knappe"/>
    <x v="0"/>
    <s v="adel:knappe"/>
    <x v="0"/>
    <s v="helfer"/>
    <x v="1"/>
    <x v="1"/>
    <x v="3"/>
    <n v="1.3333333333333299"/>
    <n v="0"/>
    <n v="0.230769230769231"/>
    <n v="0.496572606857482"/>
    <x v="6"/>
    <x v="1"/>
    <s v=""/>
    <s v=""/>
    <s v=""/>
    <s v=""/>
    <s v=""/>
  </r>
  <r>
    <s v="Das_Gaenselein.csv"/>
    <s v="#Junger-muenche"/>
    <x v="0"/>
    <s v="klerus:moench"/>
    <x v="0"/>
    <s v="betrogener"/>
    <x v="0"/>
    <x v="4"/>
    <x v="1"/>
    <n v="2"/>
    <n v="0.133333333333333"/>
    <n v="0.35294117647058798"/>
    <n v="1"/>
    <x v="5"/>
    <x v="1"/>
    <s v=""/>
    <n v="2"/>
    <s v=""/>
    <s v=""/>
    <s v=""/>
  </r>
  <r>
    <s v="Das_Gaenselein.csv"/>
    <s v="#Tohter-des-wirts"/>
    <x v="1"/>
    <s v="buergerlich:tochter"/>
    <x v="3"/>
    <s v="betrueger"/>
    <x v="1"/>
    <x v="3"/>
    <x v="1"/>
    <n v="1.6666666666666701"/>
    <n v="0.133333333333333"/>
    <n v="0.3"/>
    <n v="0.76059425267780501"/>
    <x v="4"/>
    <x v="1"/>
    <n v="1"/>
    <s v=""/>
    <s v=""/>
    <s v=""/>
    <s v=""/>
  </r>
  <r>
    <s v="Das_Gaenselein.csv"/>
    <s v="#Moenche-des-klosters"/>
    <x v="2"/>
    <s v="klerus:moench"/>
    <x v="3"/>
    <s v="unbekannt"/>
    <x v="1"/>
    <x v="4"/>
    <x v="1"/>
    <n v="1"/>
    <n v="0.2"/>
    <n v="0.31578947368421101"/>
    <n v="0.22858569381341701"/>
    <x v="3"/>
    <x v="1"/>
    <s v=""/>
    <s v=""/>
    <s v=""/>
    <s v=""/>
    <s v=""/>
  </r>
  <r>
    <s v="Das_Gaenselein.csv"/>
    <s v="#Apte"/>
    <x v="0"/>
    <s v="klerus:abt"/>
    <x v="2"/>
    <s v="betrueger"/>
    <x v="0"/>
    <x v="4"/>
    <x v="1"/>
    <n v="2"/>
    <n v="0.133333333333333"/>
    <n v="0.35294117647058798"/>
    <n v="0.89915266055836895"/>
    <x v="4"/>
    <x v="1"/>
    <n v="1"/>
    <s v=""/>
    <s v=""/>
    <s v=""/>
    <s v=""/>
  </r>
  <r>
    <s v="Das_Gaenselein.csv"/>
    <s v="#Wirt"/>
    <x v="0"/>
    <s v="buergerlich:wirt"/>
    <x v="3"/>
    <s v="unbekannt"/>
    <x v="1"/>
    <x v="3"/>
    <x v="1"/>
    <n v="1.3333333333333299"/>
    <n v="0"/>
    <n v="0.28571428571428598"/>
    <n v="0.36009806601030497"/>
    <x v="3"/>
    <x v="1"/>
    <s v=""/>
    <s v=""/>
    <s v=""/>
    <s v=""/>
    <s v=""/>
  </r>
  <r>
    <s v="Das_Gaenselein.csv"/>
    <s v="#Wip-des-wirts"/>
    <x v="1"/>
    <s v="buergerlich:wirt"/>
    <x v="3"/>
    <s v="unbekannt"/>
    <x v="1"/>
    <x v="3"/>
    <x v="1"/>
    <n v="1.3333333333333299"/>
    <n v="0.1"/>
    <n v="0.33333333333333298"/>
    <n v="0.29517468699158"/>
    <x v="3"/>
    <x v="1"/>
    <s v=""/>
    <s v=""/>
    <s v=""/>
    <s v=""/>
    <s v=""/>
  </r>
  <r>
    <s v="Das_Gaenselein.csv"/>
    <s v="#Ein-moench"/>
    <x v="0"/>
    <s v="klerus:moench"/>
    <x v="3"/>
    <s v="bote"/>
    <x v="1"/>
    <x v="4"/>
    <x v="1"/>
    <n v="0.66666666666666696"/>
    <n v="6.6666666666666693E-2"/>
    <n v="0.3"/>
    <n v="6.7221371524696302E-2"/>
    <x v="12"/>
    <x v="1"/>
    <s v=""/>
    <s v=""/>
    <s v=""/>
    <s v=""/>
    <s v=""/>
  </r>
  <r>
    <s v="Das_Haeselein.csv"/>
    <s v="#Ritter"/>
    <x v="0"/>
    <s v="adel:ritter"/>
    <x v="3"/>
    <s v="betrueger"/>
    <x v="0"/>
    <x v="1"/>
    <x v="2"/>
    <n v="2"/>
    <n v="0.33333333333333298"/>
    <n v="0.33333333333333298"/>
    <n v="1"/>
    <x v="4"/>
    <x v="1"/>
    <n v="1"/>
    <s v=""/>
    <s v=""/>
    <s v=""/>
    <s v=""/>
  </r>
  <r>
    <s v="Das_Haeselein.csv"/>
    <s v="#Maget"/>
    <x v="1"/>
    <s v="unbekannt"/>
    <x v="3"/>
    <s v="unbekannt"/>
    <x v="1"/>
    <x v="2"/>
    <x v="2"/>
    <n v="0.33333333333333298"/>
    <n v="0"/>
    <n v="0.26086956521739102"/>
    <n v="3.2961247936630897E-2"/>
    <x v="3"/>
    <x v="1"/>
    <s v=""/>
    <s v=""/>
    <s v=""/>
    <s v=""/>
    <s v=""/>
  </r>
  <r>
    <s v="Das_Haeselein.csv"/>
    <s v="#Junk-vroeuwelin"/>
    <x v="1"/>
    <s v="buergerlich:unbekannt"/>
    <x v="1"/>
    <s v="betrogener"/>
    <x v="0"/>
    <x v="3"/>
    <x v="2"/>
    <n v="1.6666666666666701"/>
    <n v="0.2"/>
    <n v="0.33333333333333298"/>
    <n v="0.95840764446238103"/>
    <x v="5"/>
    <x v="1"/>
    <s v=""/>
    <n v="2"/>
    <s v=""/>
    <s v=""/>
    <s v=""/>
  </r>
  <r>
    <s v="Das_Haeselein.csv"/>
    <s v="#Muoter-des-kints"/>
    <x v="1"/>
    <s v="buergerlich:unbekannt"/>
    <x v="3"/>
    <s v="mutter"/>
    <x v="1"/>
    <x v="3"/>
    <x v="2"/>
    <n v="0.66666666666666696"/>
    <n v="0"/>
    <n v="0.12765957446808501"/>
    <n v="0.45186091951082602"/>
    <x v="8"/>
    <x v="1"/>
    <s v=""/>
    <s v=""/>
    <s v=""/>
    <s v=""/>
    <s v=""/>
  </r>
  <r>
    <s v="Das_Haeselein.csv"/>
    <s v="#Zukuenftiges-wip-des-ritters"/>
    <x v="1"/>
    <s v="adel:edelfrau"/>
    <x v="0"/>
    <s v="unbekannt"/>
    <x v="1"/>
    <x v="1"/>
    <x v="2"/>
    <n v="1.3333333333333299"/>
    <n v="0"/>
    <n v="0.28571428571428598"/>
    <n v="0.33873234180956802"/>
    <x v="3"/>
    <x v="1"/>
    <s v=""/>
    <s v=""/>
    <s v=""/>
    <s v=""/>
    <s v=""/>
  </r>
  <r>
    <s v="Das_Haeselein.csv"/>
    <s v="#Kappelan"/>
    <x v="0"/>
    <s v="klerus:kaplan"/>
    <x v="3"/>
    <s v="unbekannt"/>
    <x v="1"/>
    <x v="4"/>
    <x v="2"/>
    <n v="1.3333333333333299"/>
    <n v="6.6666666666666693E-2"/>
    <n v="0.35294117647058798"/>
    <n v="0.123559287013149"/>
    <x v="3"/>
    <x v="1"/>
    <s v=""/>
    <s v=""/>
    <s v=""/>
    <s v=""/>
    <s v=""/>
  </r>
  <r>
    <s v="Das_Haeselein.csv"/>
    <s v="#Vriunde-des-ritters"/>
    <x v="2"/>
    <s v="unbekannt"/>
    <x v="3"/>
    <s v="unbekannt"/>
    <x v="1"/>
    <x v="2"/>
    <x v="2"/>
    <n v="1.3333333333333299"/>
    <n v="0.3"/>
    <n v="0.375"/>
    <n v="0.112750516863404"/>
    <x v="3"/>
    <x v="1"/>
    <s v=""/>
    <s v=""/>
    <s v=""/>
    <s v=""/>
    <s v=""/>
  </r>
  <r>
    <s v="Das_heiße_Eisen.csv"/>
    <s v="#Wip"/>
    <x v="1"/>
    <s v="unbekannt"/>
    <x v="3"/>
    <s v="ehefrau"/>
    <x v="0"/>
    <x v="2"/>
    <x v="3"/>
    <n v="0"/>
    <n v="0"/>
    <n v="0"/>
    <n v="0"/>
    <x v="1"/>
    <x v="1"/>
    <s v=""/>
    <s v=""/>
    <s v=""/>
    <s v=""/>
    <s v=""/>
  </r>
  <r>
    <s v="Das_heiße_Eisen.csv"/>
    <s v="#Man"/>
    <x v="0"/>
    <s v="unbekannt"/>
    <x v="3"/>
    <s v="ehemann"/>
    <x v="0"/>
    <x v="2"/>
    <x v="3"/>
    <n v="0"/>
    <n v="0"/>
    <n v="0"/>
    <n v="0"/>
    <x v="0"/>
    <x v="1"/>
    <s v=""/>
    <s v=""/>
    <s v=""/>
    <s v=""/>
    <s v=""/>
  </r>
  <r>
    <s v="Das_Herz.csv"/>
    <s v="#Ritter"/>
    <x v="0"/>
    <s v="adel:ritter"/>
    <x v="0"/>
    <s v="betrueger"/>
    <x v="0"/>
    <x v="1"/>
    <x v="3"/>
    <n v="1.5"/>
    <n v="0"/>
    <n v="0.21052631578947401"/>
    <n v="0.99781134463478205"/>
    <x v="4"/>
    <x v="1"/>
    <n v="1"/>
    <s v=""/>
    <s v=""/>
    <s v=""/>
    <s v=""/>
  </r>
  <r>
    <s v="Das_Herz.csv"/>
    <s v="#Vrouwe"/>
    <x v="1"/>
    <s v="adel:edelfrau"/>
    <x v="0"/>
    <s v="ehefrau/betrueger/betrogener"/>
    <x v="0"/>
    <x v="1"/>
    <x v="3"/>
    <n v="1.5"/>
    <n v="0"/>
    <n v="0.36363636363636398"/>
    <n v="1"/>
    <x v="5"/>
    <x v="1"/>
    <s v=""/>
    <n v="2"/>
    <s v=""/>
    <s v=""/>
    <s v=""/>
  </r>
  <r>
    <s v="Das_Herz.csv"/>
    <s v="#Man"/>
    <x v="0"/>
    <s v="adel:ritter"/>
    <x v="0"/>
    <s v="ehemann/betrueger/betrogener"/>
    <x v="0"/>
    <x v="1"/>
    <x v="3"/>
    <n v="2"/>
    <n v="0"/>
    <n v="0.36363636363636398"/>
    <n v="0.68963517112689299"/>
    <x v="5"/>
    <x v="1"/>
    <s v=""/>
    <n v="2"/>
    <s v=""/>
    <s v=""/>
    <s v=""/>
  </r>
  <r>
    <s v="Das_Herz.csv"/>
    <s v="#Kneht"/>
    <x v="0"/>
    <s v="adel:knecht"/>
    <x v="0"/>
    <s v="bote"/>
    <x v="1"/>
    <x v="1"/>
    <x v="3"/>
    <n v="2"/>
    <n v="0.66666666666666696"/>
    <n v="0.5"/>
    <n v="0.43259919579718198"/>
    <x v="12"/>
    <x v="1"/>
    <s v=""/>
    <s v=""/>
    <s v=""/>
    <s v=""/>
    <s v=""/>
  </r>
  <r>
    <s v="Das_Herz.csv"/>
    <s v="#Koch"/>
    <x v="0"/>
    <s v="buergerlich:koch"/>
    <x v="3"/>
    <s v="helfer"/>
    <x v="1"/>
    <x v="3"/>
    <x v="3"/>
    <n v="1"/>
    <n v="0.33333333333333298"/>
    <n v="0.44444444444444398"/>
    <n v="5.2873165805478697E-2"/>
    <x v="6"/>
    <x v="1"/>
    <s v=""/>
    <s v=""/>
    <s v=""/>
    <s v=""/>
    <s v=""/>
  </r>
  <r>
    <s v="Das_Nonnentunier.csv"/>
    <s v="#Ritter"/>
    <x v="0"/>
    <s v="adel:ritter"/>
    <x v="3"/>
    <s v="helfer"/>
    <x v="1"/>
    <x v="1"/>
    <x v="1"/>
    <n v="0.19047619047618999"/>
    <n v="0"/>
    <n v="0.15217391304347799"/>
    <n v="0.36862561854102799"/>
    <x v="6"/>
    <x v="0"/>
    <s v=""/>
    <s v=""/>
    <s v=""/>
    <s v=""/>
    <s v=""/>
  </r>
  <r>
    <s v="Das_Nonnentunier.csv"/>
    <s v="#Frauwe"/>
    <x v="1"/>
    <s v="unbekannt"/>
    <x v="3"/>
    <s v="helfer"/>
    <x v="1"/>
    <x v="2"/>
    <x v="1"/>
    <n v="0.19047619047618999"/>
    <n v="0"/>
    <n v="0.269230769230769"/>
    <n v="0.24088269569041801"/>
    <x v="6"/>
    <x v="0"/>
    <s v=""/>
    <s v=""/>
    <s v=""/>
    <s v=""/>
    <s v=""/>
  </r>
  <r>
    <s v="Das_Nonnentunier.csv"/>
    <s v="#Zagel"/>
    <x v="4"/>
    <s v="NA"/>
    <x v="4"/>
    <s v="unbekannt"/>
    <x v="0"/>
    <x v="0"/>
    <x v="1"/>
    <n v="1.71428571428571"/>
    <n v="0.57142857142857195"/>
    <n v="0.53846153846153799"/>
    <n v="1"/>
    <x v="3"/>
    <x v="0"/>
    <s v=""/>
    <s v=""/>
    <s v=""/>
    <s v=""/>
    <s v=""/>
  </r>
  <r>
    <s v="Das_Nonnentunier.csv"/>
    <s v="#Nunnen"/>
    <x v="2"/>
    <s v="klerus:nonne"/>
    <x v="3"/>
    <s v="unbekannt"/>
    <x v="0"/>
    <x v="4"/>
    <x v="1"/>
    <n v="1.1428571428571399"/>
    <n v="0.24960317460317499"/>
    <n v="0.4375"/>
    <n v="0.81779060142865101"/>
    <x v="3"/>
    <x v="0"/>
    <s v=""/>
    <s v=""/>
    <s v=""/>
    <s v=""/>
    <s v=""/>
  </r>
  <r>
    <s v="Das_Nonnentunier.csv"/>
    <s v="#Eine-nunne4"/>
    <x v="1"/>
    <s v="klerus:nonne"/>
    <x v="3"/>
    <s v="unbekannt"/>
    <x v="1"/>
    <x v="4"/>
    <x v="1"/>
    <n v="0.38095238095238099"/>
    <n v="2.5000000000000001E-2"/>
    <n v="0.41176470588235298"/>
    <n v="0.17153346696921101"/>
    <x v="3"/>
    <x v="0"/>
    <s v=""/>
    <s v=""/>
    <s v=""/>
    <s v=""/>
    <s v=""/>
  </r>
  <r>
    <s v="Das_Nonnentunier.csv"/>
    <s v="#Ein-nunne2"/>
    <x v="1"/>
    <s v="klerus:nonne"/>
    <x v="3"/>
    <s v="unbekannt"/>
    <x v="1"/>
    <x v="4"/>
    <x v="1"/>
    <n v="9.5238095238095205E-2"/>
    <n v="0"/>
    <n v="0.308823529411765"/>
    <n v="4.6771871787378599E-2"/>
    <x v="3"/>
    <x v="0"/>
    <s v=""/>
    <s v=""/>
    <s v=""/>
    <s v=""/>
    <s v=""/>
  </r>
  <r>
    <s v="Das_Nonnentunier.csv"/>
    <s v="#Ein-scharpfe-nunne"/>
    <x v="1"/>
    <s v="klerus:nonne"/>
    <x v="3"/>
    <s v="unbekannt"/>
    <x v="1"/>
    <x v="4"/>
    <x v="1"/>
    <n v="0.28571428571428598"/>
    <n v="2.6190476190476202E-2"/>
    <n v="0.42"/>
    <n v="0.11027159999845899"/>
    <x v="3"/>
    <x v="0"/>
    <s v=""/>
    <s v=""/>
    <s v=""/>
    <s v=""/>
    <s v=""/>
  </r>
  <r>
    <s v="Das_Nonnentunier.csv"/>
    <s v="#Ein-zarte-nunne"/>
    <x v="1"/>
    <s v="klerus:nonne"/>
    <x v="3"/>
    <s v="unbekannt"/>
    <x v="1"/>
    <x v="4"/>
    <x v="1"/>
    <n v="0.28571428571428598"/>
    <n v="2.6190476190476202E-2"/>
    <n v="0.42"/>
    <n v="0.11027159999845899"/>
    <x v="3"/>
    <x v="0"/>
    <s v=""/>
    <s v=""/>
    <s v=""/>
    <s v=""/>
    <s v=""/>
  </r>
  <r>
    <s v="Das_Nonnentunier.csv"/>
    <s v="#Ein-biederbe-nunne-frum"/>
    <x v="1"/>
    <s v="klerus:nonne"/>
    <x v="3"/>
    <s v="unbekannt"/>
    <x v="1"/>
    <x v="4"/>
    <x v="1"/>
    <n v="0.19047619047618999"/>
    <n v="3.0158730158730201E-2"/>
    <n v="0.36842105263157898"/>
    <n v="6.4154744215901102E-2"/>
    <x v="3"/>
    <x v="0"/>
    <s v=""/>
    <s v=""/>
    <s v=""/>
    <s v=""/>
    <s v=""/>
  </r>
  <r>
    <s v="Das_Nonnentunier.csv"/>
    <s v="#Die-den-segen-las-zu-tische"/>
    <x v="1"/>
    <s v="klerus:nonne"/>
    <x v="3"/>
    <s v="unbekannt"/>
    <x v="1"/>
    <x v="4"/>
    <x v="1"/>
    <n v="0.28571428571428598"/>
    <n v="2.3809523809523799E-3"/>
    <n v="0.28000000000000003"/>
    <n v="0.12172433669804"/>
    <x v="3"/>
    <x v="0"/>
    <s v=""/>
    <s v=""/>
    <s v=""/>
    <s v=""/>
    <s v=""/>
  </r>
  <r>
    <s v="Das_Nonnentunier.csv"/>
    <s v="#Ein-zarte-nunne-frische"/>
    <x v="1"/>
    <s v="klerus:nonne"/>
    <x v="3"/>
    <s v="unbekannt"/>
    <x v="1"/>
    <x v="4"/>
    <x v="1"/>
    <n v="0.19047619047618999"/>
    <n v="3.0158730158730201E-2"/>
    <n v="0.36842105263157898"/>
    <n v="6.4154744215901102E-2"/>
    <x v="3"/>
    <x v="0"/>
    <s v=""/>
    <s v=""/>
    <s v=""/>
    <s v=""/>
    <s v=""/>
  </r>
  <r>
    <s v="Das_Nonnentunier.csv"/>
    <s v="#Kuesterin"/>
    <x v="1"/>
    <s v="klerus:kuesterin"/>
    <x v="3"/>
    <s v="gegner"/>
    <x v="1"/>
    <x v="4"/>
    <x v="1"/>
    <n v="0.57142857142857095"/>
    <n v="6.7857142857142894E-2"/>
    <n v="0.42"/>
    <n v="0.42105361410368097"/>
    <x v="13"/>
    <x v="0"/>
    <s v=""/>
    <s v=""/>
    <s v=""/>
    <s v=""/>
    <s v=""/>
  </r>
  <r>
    <s v="Das_Nonnentunier.csv"/>
    <s v="#Eine-nunne1"/>
    <x v="1"/>
    <s v="klerus:nonne"/>
    <x v="3"/>
    <s v="unbekannt"/>
    <x v="1"/>
    <x v="4"/>
    <x v="1"/>
    <n v="0.57142857142857095"/>
    <n v="0.14285714285714299"/>
    <n v="0.47727272727272702"/>
    <n v="0.20194819966113201"/>
    <x v="3"/>
    <x v="0"/>
    <s v=""/>
    <s v=""/>
    <s v=""/>
    <s v=""/>
    <s v=""/>
  </r>
  <r>
    <s v="Das_Nonnentunier.csv"/>
    <s v="#Aptissinne"/>
    <x v="1"/>
    <s v="klerus:abt"/>
    <x v="3"/>
    <s v="unbekannt"/>
    <x v="1"/>
    <x v="4"/>
    <x v="1"/>
    <n v="0.66666666666666696"/>
    <n v="2.3015873015873E-2"/>
    <n v="0.33333333333333298"/>
    <n v="0.47947159594871502"/>
    <x v="3"/>
    <x v="0"/>
    <s v=""/>
    <s v=""/>
    <s v=""/>
    <s v=""/>
    <s v=""/>
  </r>
  <r>
    <s v="Das_Nonnentunier.csv"/>
    <s v="#Eine-nunne5"/>
    <x v="1"/>
    <s v="klerus:nonne"/>
    <x v="3"/>
    <s v="unbekannt"/>
    <x v="1"/>
    <x v="4"/>
    <x v="1"/>
    <n v="9.5238095238095205E-2"/>
    <n v="0"/>
    <n v="0.308823529411765"/>
    <n v="4.6771871787378599E-2"/>
    <x v="3"/>
    <x v="0"/>
    <s v=""/>
    <s v=""/>
    <s v=""/>
    <s v=""/>
    <s v=""/>
  </r>
  <r>
    <s v="Das_Nonnentunier.csv"/>
    <s v="#Kovent"/>
    <x v="2"/>
    <s v="klerus:nonne"/>
    <x v="3"/>
    <s v="unbekannt"/>
    <x v="1"/>
    <x v="4"/>
    <x v="1"/>
    <n v="0.28571428571428598"/>
    <n v="3.57142857142857E-3"/>
    <n v="0.328125"/>
    <n v="0.23535208348911399"/>
    <x v="3"/>
    <x v="0"/>
    <s v=""/>
    <s v=""/>
    <s v=""/>
    <s v=""/>
    <s v=""/>
  </r>
  <r>
    <s v="Das_Nonnentunier.csv"/>
    <s v="#Eine-nunne3"/>
    <x v="1"/>
    <s v="klerus:nonne"/>
    <x v="3"/>
    <s v="unbekannt"/>
    <x v="1"/>
    <x v="4"/>
    <x v="1"/>
    <n v="0.19047619047618999"/>
    <n v="2.6190476190476202E-2"/>
    <n v="0.41176470588235298"/>
    <n v="0.103964839896415"/>
    <x v="3"/>
    <x v="0"/>
    <s v=""/>
    <s v=""/>
    <s v=""/>
    <s v=""/>
    <s v=""/>
  </r>
  <r>
    <s v="Das_Nonnentunier.csv"/>
    <s v="#Dirnen"/>
    <x v="2"/>
    <s v="klerus:magd"/>
    <x v="3"/>
    <s v="gegner"/>
    <x v="1"/>
    <x v="4"/>
    <x v="1"/>
    <n v="0.28571428571428598"/>
    <n v="0"/>
    <n v="0.33333333333333298"/>
    <n v="0.16167614041103501"/>
    <x v="13"/>
    <x v="0"/>
    <s v=""/>
    <s v=""/>
    <s v=""/>
    <s v=""/>
    <s v=""/>
  </r>
  <r>
    <s v="Das_Nonnentunier.csv"/>
    <s v="#Eine-nunne"/>
    <x v="1"/>
    <s v="klerus:nonne"/>
    <x v="3"/>
    <s v="gegner"/>
    <x v="1"/>
    <x v="4"/>
    <x v="1"/>
    <n v="0.57142857142857095"/>
    <n v="3.2142857142857098E-2"/>
    <n v="0.375"/>
    <n v="0.212178515598762"/>
    <x v="13"/>
    <x v="0"/>
    <s v=""/>
    <s v=""/>
    <s v=""/>
    <s v=""/>
    <s v=""/>
  </r>
  <r>
    <s v="Das_Nonnentunier.csv"/>
    <s v="#Adelheit"/>
    <x v="1"/>
    <s v="klerus:nonne"/>
    <x v="3"/>
    <s v="gegner"/>
    <x v="1"/>
    <x v="4"/>
    <x v="1"/>
    <n v="0.57142857142857095"/>
    <n v="3.2142857142857098E-2"/>
    <n v="0.375"/>
    <n v="0.212178515598762"/>
    <x v="13"/>
    <x v="0"/>
    <s v=""/>
    <s v=""/>
    <s v=""/>
    <s v=""/>
    <s v=""/>
  </r>
  <r>
    <s v="Das_Nonnentunier.csv"/>
    <s v="#Margreth"/>
    <x v="1"/>
    <s v="klerus:nonne"/>
    <x v="3"/>
    <s v="gegner"/>
    <x v="1"/>
    <x v="4"/>
    <x v="1"/>
    <n v="0.38095238095238099"/>
    <n v="3.6904761904761899E-2"/>
    <n v="0.41176470588235298"/>
    <n v="8.6404962527457205E-2"/>
    <x v="13"/>
    <x v="0"/>
    <s v=""/>
    <s v=""/>
    <s v=""/>
    <s v=""/>
    <s v=""/>
  </r>
  <r>
    <s v="Das_Nonnentunier.csv"/>
    <s v="#Ein-alte-nunne"/>
    <x v="1"/>
    <s v="klerus:nonne"/>
    <x v="2"/>
    <s v="gegner"/>
    <x v="1"/>
    <x v="4"/>
    <x v="1"/>
    <n v="0.38095238095238099"/>
    <n v="3.6904761904761899E-2"/>
    <n v="0.41176470588235298"/>
    <n v="8.6404962527457205E-2"/>
    <x v="13"/>
    <x v="0"/>
    <s v=""/>
    <s v=""/>
    <s v=""/>
    <s v=""/>
    <s v=""/>
  </r>
  <r>
    <s v="Das_Raedlein.csv"/>
    <s v="#Burgaere"/>
    <x v="0"/>
    <s v="buergerlich:wirt"/>
    <x v="3"/>
    <s v="ehemann"/>
    <x v="1"/>
    <x v="3"/>
    <x v="2"/>
    <n v="2"/>
    <n v="3.3333333333333298E-2"/>
    <n v="0.625"/>
    <n v="0.168506529429229"/>
    <x v="0"/>
    <x v="1"/>
    <s v=""/>
    <s v=""/>
    <s v=""/>
    <s v=""/>
    <s v=""/>
  </r>
  <r>
    <s v="Das_Raedlein.csv"/>
    <s v="#Vrouwe"/>
    <x v="1"/>
    <s v="buergerlich:ehefrau"/>
    <x v="3"/>
    <s v="ehefrau"/>
    <x v="1"/>
    <x v="3"/>
    <x v="2"/>
    <n v="1.6"/>
    <n v="0"/>
    <n v="0.625"/>
    <n v="0.10730849775602801"/>
    <x v="1"/>
    <x v="1"/>
    <s v=""/>
    <s v=""/>
    <s v=""/>
    <s v=""/>
    <s v=""/>
  </r>
  <r>
    <s v="Das_Raedlein.csv"/>
    <s v="#Schribaerc"/>
    <x v="0"/>
    <s v="buergerlich:schreiber"/>
    <x v="3"/>
    <s v="liebender/betrueger"/>
    <x v="0"/>
    <x v="3"/>
    <x v="2"/>
    <n v="2"/>
    <n v="3.3333333333333298E-2"/>
    <n v="0.625"/>
    <n v="1"/>
    <x v="4"/>
    <x v="1"/>
    <n v="1"/>
    <s v=""/>
    <s v=""/>
    <s v=""/>
    <s v=""/>
  </r>
  <r>
    <s v="Das_Raedlein.csv"/>
    <s v="#Meidin"/>
    <x v="1"/>
    <s v="buergerlich:magd"/>
    <x v="3"/>
    <s v="betrogener"/>
    <x v="0"/>
    <x v="3"/>
    <x v="2"/>
    <n v="2"/>
    <n v="0.133333333333333"/>
    <n v="0.71428571428571397"/>
    <n v="0.99560269402820301"/>
    <x v="5"/>
    <x v="1"/>
    <s v=""/>
    <n v="2"/>
    <s v=""/>
    <s v=""/>
    <s v=""/>
  </r>
  <r>
    <s v="Das_Raedlein.csv"/>
    <s v="#Geste"/>
    <x v="2"/>
    <s v="unbekannt"/>
    <x v="3"/>
    <s v="unbekannt"/>
    <x v="1"/>
    <x v="2"/>
    <x v="2"/>
    <n v="1.6"/>
    <n v="0.233333333333333"/>
    <n v="0.83333333333333304"/>
    <n v="7.1600165582172803E-2"/>
    <x v="3"/>
    <x v="1"/>
    <s v=""/>
    <s v=""/>
    <s v=""/>
    <s v=""/>
    <s v=""/>
  </r>
  <r>
    <s v="Das_Raedlein.csv"/>
    <s v="#Gesinde"/>
    <x v="2"/>
    <s v="unbekannt"/>
    <x v="3"/>
    <s v="unbekannt"/>
    <x v="1"/>
    <x v="2"/>
    <x v="2"/>
    <n v="1.2"/>
    <n v="0.133333333333333"/>
    <n v="0.71428571428571397"/>
    <n v="6.8217561785456099E-2"/>
    <x v="3"/>
    <x v="1"/>
    <s v=""/>
    <s v=""/>
    <s v=""/>
    <s v=""/>
    <s v=""/>
  </r>
  <r>
    <s v="Das_Schneekind.csv"/>
    <s v="#Koufman"/>
    <x v="0"/>
    <s v="buergerlich:kaufmann"/>
    <x v="3"/>
    <s v="ehemann"/>
    <x v="0"/>
    <x v="3"/>
    <x v="3"/>
    <n v="2"/>
    <n v="8.3333333333333301E-2"/>
    <n v="0.5"/>
    <n v="1"/>
    <x v="0"/>
    <x v="1"/>
    <s v=""/>
    <s v=""/>
    <s v=""/>
    <s v=""/>
    <s v=""/>
  </r>
  <r>
    <s v="Das_Schneekind.csv"/>
    <s v="#Wip"/>
    <x v="1"/>
    <s v="buergerlich:ehefrau"/>
    <x v="3"/>
    <s v="ehefrau"/>
    <x v="0"/>
    <x v="3"/>
    <x v="3"/>
    <n v="1"/>
    <n v="0"/>
    <n v="0.33333333333333298"/>
    <n v="0.82263730161023896"/>
    <x v="1"/>
    <x v="1"/>
    <s v=""/>
    <s v=""/>
    <s v=""/>
    <s v=""/>
    <s v=""/>
  </r>
  <r>
    <s v="Das_Schneekind.csv"/>
    <s v="#Schneekind"/>
    <x v="0"/>
    <s v="buergerlich:NA"/>
    <x v="1"/>
    <s v="kind"/>
    <x v="1"/>
    <x v="3"/>
    <x v="3"/>
    <n v="2"/>
    <n v="0.58333333333333304"/>
    <n v="0.66666666666666696"/>
    <n v="0.76761399408651498"/>
    <x v="2"/>
    <x v="1"/>
    <s v=""/>
    <s v=""/>
    <s v=""/>
    <s v=""/>
    <s v=""/>
  </r>
  <r>
    <s v="Das_Schneekind.csv"/>
    <s v="#Knehte"/>
    <x v="0"/>
    <s v="buergerlich:knecht"/>
    <x v="3"/>
    <s v="unbekannt"/>
    <x v="1"/>
    <x v="3"/>
    <x v="3"/>
    <n v="1"/>
    <n v="0.16666666666666699"/>
    <n v="0.57142857142857095"/>
    <n v="0.19297428142401599"/>
    <x v="3"/>
    <x v="1"/>
    <s v=""/>
    <s v=""/>
    <s v=""/>
    <s v=""/>
    <s v=""/>
  </r>
  <r>
    <s v="Das_Schneekind.csv"/>
    <s v="#Fremder-koufman"/>
    <x v="0"/>
    <s v="buergerlich:kaufmann"/>
    <x v="3"/>
    <s v="unbekannt"/>
    <x v="1"/>
    <x v="3"/>
    <x v="3"/>
    <n v="1"/>
    <n v="0.16666666666666699"/>
    <n v="0.57142857142857095"/>
    <n v="0.19297428142401599"/>
    <x v="3"/>
    <x v="1"/>
    <s v=""/>
    <s v=""/>
    <s v=""/>
    <s v=""/>
    <s v=""/>
  </r>
  <r>
    <s v="Das_Schraetel_und_der_Wasserbaer.csv"/>
    <s v="#Schretel"/>
    <x v="4"/>
    <s v="NA"/>
    <x v="4"/>
    <s v="gegenspieler"/>
    <x v="1"/>
    <x v="0"/>
    <x v="1"/>
    <n v="0.85714285714285698"/>
    <n v="4.7619047619047603E-2"/>
    <n v="0.20588235294117599"/>
    <n v="0.65897274749892398"/>
    <x v="10"/>
    <x v="3"/>
    <s v=""/>
    <s v=""/>
    <s v=""/>
    <s v=""/>
    <n v="5"/>
  </r>
  <r>
    <s v="Das_Schraetel_und_der_Wasserbaer.csv"/>
    <s v="#Kuenige-von-Norwegen"/>
    <x v="0"/>
    <s v="adel:koenig"/>
    <x v="3"/>
    <s v="unbekannt"/>
    <x v="1"/>
    <x v="1"/>
    <x v="1"/>
    <n v="0.28571428571428598"/>
    <n v="0"/>
    <n v="0.194444444444444"/>
    <n v="3.1951668996922401E-3"/>
    <x v="3"/>
    <x v="3"/>
    <s v=""/>
    <s v=""/>
    <s v=""/>
    <s v=""/>
    <s v=""/>
  </r>
  <r>
    <s v="Das_Schraetel_und_der_Wasserbaer.csv"/>
    <s v="#Kuenige-von-Tenemarken"/>
    <x v="0"/>
    <s v="adel:koenig"/>
    <x v="3"/>
    <s v="unbekannt"/>
    <x v="1"/>
    <x v="1"/>
    <x v="1"/>
    <n v="0.85714285714285698"/>
    <n v="0.42857142857142899"/>
    <n v="0.233333333333333"/>
    <n v="7.8343427975868102E-2"/>
    <x v="3"/>
    <x v="3"/>
    <s v=""/>
    <s v=""/>
    <s v=""/>
    <s v=""/>
    <s v=""/>
  </r>
  <r>
    <s v="Das_Schraetel_und_der_Wasserbaer.csv"/>
    <s v="#Wazzer-ber"/>
    <x v="5"/>
    <s v="NA"/>
    <x v="4"/>
    <s v="helfer"/>
    <x v="1"/>
    <x v="0"/>
    <x v="1"/>
    <n v="1.1428571428571399"/>
    <n v="0.33333333333333298"/>
    <n v="0.233333333333333"/>
    <n v="1"/>
    <x v="6"/>
    <x v="3"/>
    <s v=""/>
    <s v=""/>
    <s v=""/>
    <s v=""/>
    <s v=""/>
  </r>
  <r>
    <s v="Das_Schraetel_und_der_Wasserbaer.csv"/>
    <s v="#Norman"/>
    <x v="0"/>
    <s v="unbekannt"/>
    <x v="3"/>
    <s v="begleiter"/>
    <x v="0"/>
    <x v="2"/>
    <x v="1"/>
    <n v="1.1428571428571399"/>
    <n v="0.14285714285714299"/>
    <n v="0.20588235294117599"/>
    <n v="0.91773506920194703"/>
    <x v="14"/>
    <x v="3"/>
    <s v=""/>
    <s v=""/>
    <s v=""/>
    <s v=""/>
    <s v=""/>
  </r>
  <r>
    <s v="Das_Schraetel_und_der_Wasserbaer.csv"/>
    <s v="#Wirt"/>
    <x v="0"/>
    <s v="bauer"/>
    <x v="3"/>
    <s v="helfer"/>
    <x v="1"/>
    <x v="5"/>
    <x v="1"/>
    <n v="1.4285714285714299"/>
    <n v="0.476190476190476"/>
    <n v="0.194444444444444"/>
    <n v="0.68087615945596203"/>
    <x v="6"/>
    <x v="3"/>
    <s v=""/>
    <s v=""/>
    <s v=""/>
    <s v=""/>
    <s v=""/>
  </r>
  <r>
    <s v="Das_Schraetel_und_der_Wasserbaer.csv"/>
    <s v="#Wip"/>
    <x v="1"/>
    <s v="bauer"/>
    <x v="3"/>
    <s v="ehefrau"/>
    <x v="1"/>
    <x v="5"/>
    <x v="1"/>
    <n v="0.57142857142857095"/>
    <n v="0"/>
    <n v="0.17073170731707299"/>
    <n v="2.89496115589159E-2"/>
    <x v="1"/>
    <x v="3"/>
    <s v=""/>
    <s v=""/>
    <s v=""/>
    <s v=""/>
    <s v=""/>
  </r>
  <r>
    <s v="Das_Schraetel_und_der_Wasserbaer.csv"/>
    <s v="#Kint"/>
    <x v="2"/>
    <s v="bauer"/>
    <x v="1"/>
    <s v="kind"/>
    <x v="1"/>
    <x v="5"/>
    <x v="1"/>
    <n v="0.57142857142857095"/>
    <n v="0"/>
    <n v="0.17073170731707299"/>
    <n v="2.8949611558916E-2"/>
    <x v="2"/>
    <x v="3"/>
    <s v=""/>
    <s v=""/>
    <s v=""/>
    <s v=""/>
    <s v=""/>
  </r>
  <r>
    <s v="Das_warme_Almosen.csv"/>
    <s v="#Man"/>
    <x v="0"/>
    <s v="unbekannt"/>
    <x v="3"/>
    <s v="ehemann"/>
    <x v="0"/>
    <x v="2"/>
    <x v="3"/>
    <n v="0"/>
    <n v="0"/>
    <n v="0"/>
    <n v="0"/>
    <x v="0"/>
    <x v="1"/>
    <s v=""/>
    <s v=""/>
    <s v=""/>
    <s v=""/>
    <s v=""/>
  </r>
  <r>
    <s v="Das_warme_Almosen.csv"/>
    <s v="#Wip"/>
    <x v="1"/>
    <s v="unbekannt"/>
    <x v="3"/>
    <s v="ehemann"/>
    <x v="0"/>
    <x v="2"/>
    <x v="3"/>
    <n v="0"/>
    <n v="0"/>
    <n v="0"/>
    <n v="0"/>
    <x v="0"/>
    <x v="1"/>
    <s v=""/>
    <s v=""/>
    <s v=""/>
    <s v=""/>
    <s v=""/>
  </r>
  <r>
    <s v="Das_warme_Almosen.csv"/>
    <s v="#Armer-man"/>
    <x v="0"/>
    <s v="unbekannt"/>
    <x v="3"/>
    <s v="helfer"/>
    <x v="0"/>
    <x v="2"/>
    <x v="3"/>
    <n v="0"/>
    <n v="0"/>
    <n v="0"/>
    <n v="0"/>
    <x v="6"/>
    <x v="1"/>
    <s v=""/>
    <s v=""/>
    <s v=""/>
    <s v=""/>
    <s v=""/>
  </r>
  <r>
    <s v="Der_begrabene_Ehemann.csv"/>
    <s v="#Wip"/>
    <x v="1"/>
    <s v="unbekannt"/>
    <x v="3"/>
    <s v="ehefrau/betrueger"/>
    <x v="0"/>
    <x v="2"/>
    <x v="3"/>
    <n v="0"/>
    <n v="0"/>
    <n v="0"/>
    <n v="0"/>
    <x v="4"/>
    <x v="1"/>
    <n v="1"/>
    <s v=""/>
    <s v=""/>
    <s v=""/>
    <s v=""/>
  </r>
  <r>
    <s v="Der_begrabene_Ehemann.csv"/>
    <s v="#Man"/>
    <x v="0"/>
    <s v="unbekannt"/>
    <x v="3"/>
    <s v="ehemann/betrogener"/>
    <x v="0"/>
    <x v="2"/>
    <x v="3"/>
    <n v="0"/>
    <n v="0"/>
    <n v="0"/>
    <n v="0"/>
    <x v="5"/>
    <x v="1"/>
    <s v=""/>
    <n v="2"/>
    <s v=""/>
    <s v=""/>
    <s v=""/>
  </r>
  <r>
    <s v="Der_begrabene_Ehemann.csv"/>
    <s v="#Pfaffe"/>
    <x v="0"/>
    <s v="klerus:pfarrer"/>
    <x v="3"/>
    <s v="helfer"/>
    <x v="1"/>
    <x v="4"/>
    <x v="3"/>
    <n v="0"/>
    <n v="0"/>
    <n v="0"/>
    <n v="0"/>
    <x v="6"/>
    <x v="1"/>
    <s v=""/>
    <s v=""/>
    <s v=""/>
    <s v=""/>
    <s v=""/>
  </r>
  <r>
    <s v="Der_Bildschnitzer_von_Wuerzburg.csv"/>
    <s v="#Man"/>
    <x v="0"/>
    <s v="buergerlich:maler"/>
    <x v="3"/>
    <s v="ehemann/betrueger"/>
    <x v="0"/>
    <x v="3"/>
    <x v="3"/>
    <n v="2"/>
    <n v="0"/>
    <n v="0.6"/>
    <n v="1"/>
    <x v="4"/>
    <x v="1"/>
    <n v="1"/>
    <s v=""/>
    <s v=""/>
    <s v=""/>
    <s v=""/>
  </r>
  <r>
    <s v="Der_Bildschnitzer_von_Wuerzburg.csv"/>
    <s v="#Weib"/>
    <x v="1"/>
    <s v="buergerlich:ehefrau"/>
    <x v="3"/>
    <s v="ehefrau/betrueger"/>
    <x v="0"/>
    <x v="3"/>
    <x v="3"/>
    <n v="2"/>
    <n v="0"/>
    <n v="0.6"/>
    <n v="0.96349394369014196"/>
    <x v="4"/>
    <x v="1"/>
    <n v="1"/>
    <s v=""/>
    <s v=""/>
    <s v=""/>
    <s v=""/>
  </r>
  <r>
    <s v="Der_Bildschnitzer_von_Wuerzburg.csv"/>
    <s v="#Probst"/>
    <x v="0"/>
    <s v="klerus:probst"/>
    <x v="3"/>
    <s v="betrogener"/>
    <x v="0"/>
    <x v="4"/>
    <x v="3"/>
    <n v="2"/>
    <n v="0"/>
    <n v="0.6"/>
    <n v="0.92041396180808299"/>
    <x v="5"/>
    <x v="1"/>
    <s v=""/>
    <n v="2"/>
    <s v=""/>
    <s v=""/>
    <s v=""/>
  </r>
  <r>
    <s v="Der_Bildschnitzer_von_Wuerzburg.csv"/>
    <s v="#Meit"/>
    <x v="1"/>
    <s v="buergerlich:magd"/>
    <x v="3"/>
    <s v="bote"/>
    <x v="1"/>
    <x v="3"/>
    <x v="3"/>
    <n v="2"/>
    <n v="1"/>
    <n v="1"/>
    <n v="0.17788024419939399"/>
    <x v="12"/>
    <x v="1"/>
    <s v=""/>
    <s v=""/>
    <s v=""/>
    <s v=""/>
    <s v=""/>
  </r>
  <r>
    <s v="Der_blossgestellte_Ritter.csv"/>
    <s v="#Ritter"/>
    <x v="0"/>
    <s v="adel:ritter"/>
    <x v="3"/>
    <s v="betrogener"/>
    <x v="0"/>
    <x v="1"/>
    <x v="1"/>
    <n v="2"/>
    <n v="0.3"/>
    <n v="0.625"/>
    <n v="0.98828583836448602"/>
    <x v="5"/>
    <x v="1"/>
    <s v=""/>
    <n v="2"/>
    <s v=""/>
    <s v=""/>
    <s v=""/>
  </r>
  <r>
    <s v="Der_blossgestellte_Ritter.csv"/>
    <s v="#Wirt"/>
    <x v="0"/>
    <s v="buergerlich:wirt"/>
    <x v="3"/>
    <s v="betrueger"/>
    <x v="0"/>
    <x v="3"/>
    <x v="1"/>
    <n v="2"/>
    <n v="0"/>
    <n v="0.55555555555555602"/>
    <n v="1"/>
    <x v="4"/>
    <x v="1"/>
    <n v="1"/>
    <s v=""/>
    <s v=""/>
    <s v=""/>
    <s v=""/>
  </r>
  <r>
    <s v="Der_blossgestellte_Ritter.csv"/>
    <s v="#Tohter"/>
    <x v="2"/>
    <s v="buergerlich:NA"/>
    <x v="3"/>
    <s v="kind"/>
    <x v="1"/>
    <x v="3"/>
    <x v="1"/>
    <n v="1.6"/>
    <n v="0"/>
    <n v="0.5"/>
    <n v="0.79645360513706398"/>
    <x v="2"/>
    <x v="1"/>
    <s v=""/>
    <s v=""/>
    <s v=""/>
    <s v=""/>
    <s v=""/>
  </r>
  <r>
    <s v="Der_blossgestellte_Ritter.csv"/>
    <s v="#Vrouwe"/>
    <x v="1"/>
    <s v="buergerlich:ehefrau"/>
    <x v="3"/>
    <s v="ehefrau"/>
    <x v="1"/>
    <x v="3"/>
    <x v="1"/>
    <n v="1.6"/>
    <n v="0"/>
    <n v="0.5"/>
    <n v="0.67101642522730098"/>
    <x v="1"/>
    <x v="1"/>
    <s v=""/>
    <s v=""/>
    <s v=""/>
    <s v=""/>
    <s v=""/>
  </r>
  <r>
    <s v="Der_blossgestellte_Ritter.csv"/>
    <s v="#Koch"/>
    <x v="0"/>
    <s v="buergerlich:koch"/>
    <x v="3"/>
    <s v="unbekannt"/>
    <x v="1"/>
    <x v="3"/>
    <x v="1"/>
    <n v="1.6"/>
    <n v="0.8"/>
    <n v="0.83333333333333304"/>
    <n v="0.26891264395280701"/>
    <x v="3"/>
    <x v="1"/>
    <s v=""/>
    <s v=""/>
    <s v=""/>
    <s v=""/>
    <s v=""/>
  </r>
  <r>
    <s v="Der_blossgestellte_Ritter.csv"/>
    <s v="#Kneht"/>
    <x v="2"/>
    <s v="buergerlich:knecht"/>
    <x v="3"/>
    <s v="unbekannt"/>
    <x v="1"/>
    <x v="3"/>
    <x v="1"/>
    <n v="0.8"/>
    <n v="0"/>
    <n v="0.45454545454545497"/>
    <n v="0.23253605758236401"/>
    <x v="3"/>
    <x v="1"/>
    <s v=""/>
    <s v=""/>
    <s v=""/>
    <s v=""/>
    <s v=""/>
  </r>
  <r>
    <s v="Der_entlaufene_Hasenbraten.csv"/>
    <s v="#Ritter"/>
    <x v="0"/>
    <s v="adel:ritter"/>
    <x v="3"/>
    <s v="ehemann"/>
    <x v="0"/>
    <x v="1"/>
    <x v="3"/>
    <n v="2"/>
    <n v="0"/>
    <n v="0.38461538461538503"/>
    <n v="1"/>
    <x v="0"/>
    <x v="1"/>
    <s v=""/>
    <s v=""/>
    <s v=""/>
    <s v=""/>
    <s v=""/>
  </r>
  <r>
    <s v="Der_entlaufene_Hasenbraten.csv"/>
    <s v="#Hus-vrouwe"/>
    <x v="1"/>
    <s v="adel:edelfrau"/>
    <x v="3"/>
    <s v="ehefrau"/>
    <x v="0"/>
    <x v="1"/>
    <x v="3"/>
    <n v="2"/>
    <n v="0"/>
    <n v="0.38461538461538503"/>
    <n v="0.922063291350257"/>
    <x v="1"/>
    <x v="1"/>
    <s v=""/>
    <s v=""/>
    <s v=""/>
    <s v=""/>
    <s v=""/>
  </r>
  <r>
    <s v="Der_entlaufene_Hasenbraten.csv"/>
    <s v="#Niftel"/>
    <x v="1"/>
    <s v="unbekannt"/>
    <x v="3"/>
    <s v="unbekannt"/>
    <x v="1"/>
    <x v="2"/>
    <x v="3"/>
    <n v="2"/>
    <n v="0.1"/>
    <n v="0.55555555555555602"/>
    <n v="0.426652358265807"/>
    <x v="3"/>
    <x v="1"/>
    <s v=""/>
    <s v=""/>
    <s v=""/>
    <s v=""/>
    <s v=""/>
  </r>
  <r>
    <s v="Der_entlaufene_Hasenbraten.csv"/>
    <s v="#Muome"/>
    <x v="1"/>
    <s v="unbekannt"/>
    <x v="3"/>
    <s v="unbekannt"/>
    <x v="1"/>
    <x v="2"/>
    <x v="3"/>
    <n v="2"/>
    <n v="0.1"/>
    <n v="0.55555555555555602"/>
    <n v="0.426652358265807"/>
    <x v="3"/>
    <x v="1"/>
    <s v=""/>
    <s v=""/>
    <s v=""/>
    <s v=""/>
    <s v=""/>
  </r>
  <r>
    <s v="Der_entlaufene_Hasenbraten.csv"/>
    <s v="#Base"/>
    <x v="1"/>
    <s v="unbekannt"/>
    <x v="3"/>
    <s v="unbekannt"/>
    <x v="1"/>
    <x v="2"/>
    <x v="3"/>
    <n v="2"/>
    <n v="0.1"/>
    <n v="0.55555555555555602"/>
    <n v="0.426652358265807"/>
    <x v="3"/>
    <x v="1"/>
    <s v=""/>
    <s v=""/>
    <s v=""/>
    <s v=""/>
    <s v=""/>
  </r>
  <r>
    <s v="Der_entlaufene_Hasenbraten.csv"/>
    <s v="#Pfaffe"/>
    <x v="0"/>
    <s v="klerus:pfarrer"/>
    <x v="3"/>
    <s v="helfer"/>
    <x v="1"/>
    <x v="4"/>
    <x v="3"/>
    <n v="2"/>
    <n v="0.15"/>
    <n v="0.55555555555555602"/>
    <n v="0.858133496191128"/>
    <x v="6"/>
    <x v="1"/>
    <s v=""/>
    <s v=""/>
    <s v=""/>
    <s v=""/>
    <s v=""/>
  </r>
  <r>
    <s v="Der_falsche_Blinde.csv"/>
    <s v="#Triegaere"/>
    <x v="0"/>
    <s v="unbekannt"/>
    <x v="3"/>
    <s v="betrueger"/>
    <x v="0"/>
    <x v="2"/>
    <x v="1"/>
    <n v="2"/>
    <n v="0.83333333333333304"/>
    <n v="0.66666666666666696"/>
    <n v="1"/>
    <x v="4"/>
    <x v="1"/>
    <n v="1"/>
    <s v=""/>
    <s v=""/>
    <s v=""/>
    <s v=""/>
  </r>
  <r>
    <s v="Der_falsche_Blinde.csv"/>
    <s v="#Kinder"/>
    <x v="2"/>
    <s v="unbekannt"/>
    <x v="1"/>
    <s v="helfer"/>
    <x v="1"/>
    <x v="2"/>
    <x v="1"/>
    <n v="1"/>
    <n v="0"/>
    <n v="0.4"/>
    <n v="0.88682304343071905"/>
    <x v="6"/>
    <x v="1"/>
    <s v=""/>
    <s v=""/>
    <s v=""/>
    <s v=""/>
    <s v=""/>
  </r>
  <r>
    <s v="Der_falsche_Blinde.csv"/>
    <s v="#Wiben"/>
    <x v="2"/>
    <s v="unbekannt"/>
    <x v="3"/>
    <s v="unbekannt"/>
    <x v="1"/>
    <x v="2"/>
    <x v="1"/>
    <n v="1"/>
    <n v="0.5"/>
    <n v="0.57142857142857095"/>
    <n v="0.38186442808788801"/>
    <x v="3"/>
    <x v="1"/>
    <s v=""/>
    <s v=""/>
    <s v=""/>
    <s v=""/>
    <s v=""/>
  </r>
  <r>
    <s v="Der_falsche_Blinde.csv"/>
    <s v="#Liute"/>
    <x v="2"/>
    <s v="unbekannt"/>
    <x v="3"/>
    <s v="betrogener"/>
    <x v="0"/>
    <x v="2"/>
    <x v="1"/>
    <n v="0.5"/>
    <n v="0"/>
    <n v="0.33333333333333298"/>
    <n v="0.40476973123410898"/>
    <x v="5"/>
    <x v="1"/>
    <s v=""/>
    <n v="2"/>
    <s v=""/>
    <s v=""/>
    <s v=""/>
  </r>
  <r>
    <s v="Der_falsche_Blinde.csv"/>
    <s v="#Ein-man"/>
    <x v="0"/>
    <s v="unbekannt"/>
    <x v="3"/>
    <s v="gegenspieler"/>
    <x v="1"/>
    <x v="2"/>
    <x v="1"/>
    <n v="0.5"/>
    <n v="0"/>
    <n v="0.44444444444444398"/>
    <n v="0.20238486561705399"/>
    <x v="10"/>
    <x v="1"/>
    <s v=""/>
    <s v=""/>
    <s v=""/>
    <s v=""/>
    <n v="5"/>
  </r>
  <r>
    <s v="Der_Frauen_Trost.csv"/>
    <s v="#Ritter"/>
    <x v="0"/>
    <s v="adel:ritter"/>
    <x v="3"/>
    <s v="ehemann/betrueger"/>
    <x v="0"/>
    <x v="1"/>
    <x v="3"/>
    <n v="2"/>
    <n v="0.33333333333333298"/>
    <n v="0.75"/>
    <n v="0.99634281667130098"/>
    <x v="4"/>
    <x v="1"/>
    <n v="1"/>
    <s v=""/>
    <s v=""/>
    <s v=""/>
    <s v=""/>
  </r>
  <r>
    <s v="Der_Frauen_Trost.csv"/>
    <s v="#Wip"/>
    <x v="1"/>
    <s v="adel:edelfrau"/>
    <x v="3"/>
    <s v="ehefrau/betrogener"/>
    <x v="0"/>
    <x v="1"/>
    <x v="3"/>
    <n v="2"/>
    <n v="0"/>
    <n v="0.6"/>
    <n v="1"/>
    <x v="5"/>
    <x v="1"/>
    <s v=""/>
    <n v="2"/>
    <s v=""/>
    <s v=""/>
    <s v=""/>
  </r>
  <r>
    <s v="Der_Frauen_Trost.csv"/>
    <s v="#Knehte"/>
    <x v="2"/>
    <s v="adel:knecht"/>
    <x v="3"/>
    <s v="unbekannt"/>
    <x v="1"/>
    <x v="1"/>
    <x v="3"/>
    <n v="1.3333333333333299"/>
    <n v="0"/>
    <n v="0.6"/>
    <n v="0.14745769345937701"/>
    <x v="3"/>
    <x v="1"/>
    <s v=""/>
    <s v=""/>
    <s v=""/>
    <s v=""/>
    <s v=""/>
  </r>
  <r>
    <s v="Der_Frauen_Trost.csv"/>
    <s v="#Gesinde"/>
    <x v="2"/>
    <s v="unbekannt"/>
    <x v="3"/>
    <s v="unbekannt"/>
    <x v="1"/>
    <x v="2"/>
    <x v="3"/>
    <n v="1.3333333333333299"/>
    <n v="0.33333333333333298"/>
    <n v="0.75"/>
    <n v="9.8245135857843793E-2"/>
    <x v="3"/>
    <x v="1"/>
    <s v=""/>
    <s v=""/>
    <s v=""/>
    <s v=""/>
    <s v=""/>
  </r>
  <r>
    <s v="Der_Frauen_Turnei.csv"/>
    <s v="#Rittergruppe"/>
    <x v="2"/>
    <s v="adel:ritter"/>
    <x v="3"/>
    <s v="unbekannt"/>
    <x v="0"/>
    <x v="1"/>
    <x v="1"/>
    <n v="1.1764705882352899"/>
    <n v="0.34558823529411797"/>
    <n v="0.32692307692307698"/>
    <n v="0.63172764852622498"/>
    <x v="3"/>
    <x v="0"/>
    <s v=""/>
    <s v=""/>
    <s v=""/>
    <s v=""/>
    <s v=""/>
  </r>
  <r>
    <s v="Der_Frauen_Turnei.csv"/>
    <s v="#Houb-(e)-tman"/>
    <x v="0"/>
    <s v="adel:hauptmann"/>
    <x v="3"/>
    <s v="unbekannt"/>
    <x v="1"/>
    <x v="1"/>
    <x v="1"/>
    <n v="0.11764705882352899"/>
    <n v="0"/>
    <n v="0.25373134328358199"/>
    <n v="4.7812033481528703E-2"/>
    <x v="3"/>
    <x v="0"/>
    <s v=""/>
    <s v=""/>
    <s v=""/>
    <s v=""/>
    <s v=""/>
  </r>
  <r>
    <s v="Der_Frauen_Turnei.csv"/>
    <s v="#Frauengruppe"/>
    <x v="2"/>
    <s v="adel:edelfrau"/>
    <x v="3"/>
    <s v="unbekannt"/>
    <x v="0"/>
    <x v="1"/>
    <x v="1"/>
    <n v="1.4117647058823499"/>
    <n v="0.41911764705882398"/>
    <n v="0.34"/>
    <n v="0.99563054250221905"/>
    <x v="3"/>
    <x v="0"/>
    <s v=""/>
    <s v=""/>
    <s v=""/>
    <s v=""/>
    <s v=""/>
  </r>
  <r>
    <s v="Der_Frauen_Turnei.csv"/>
    <s v="#Fremder-ritter"/>
    <x v="0"/>
    <s v="adel:ritter"/>
    <x v="3"/>
    <s v="gegner"/>
    <x v="1"/>
    <x v="1"/>
    <x v="1"/>
    <n v="0.11764705882352899"/>
    <n v="0"/>
    <n v="0.207317073170732"/>
    <n v="9.5624066963057502E-2"/>
    <x v="13"/>
    <x v="0"/>
    <s v=""/>
    <s v=""/>
    <s v=""/>
    <s v=""/>
    <s v=""/>
  </r>
  <r>
    <s v="Der_Frauen_Turnei.csv"/>
    <s v="#Eine-der-vrouwen-4"/>
    <x v="1"/>
    <s v="adel:edelfrau"/>
    <x v="3"/>
    <s v="unbekannt"/>
    <x v="1"/>
    <x v="1"/>
    <x v="1"/>
    <n v="0.35294117647058798"/>
    <n v="6.25E-2"/>
    <n v="0.30909090909090903"/>
    <n v="0.12961145898764301"/>
    <x v="3"/>
    <x v="0"/>
    <s v=""/>
    <s v=""/>
    <s v=""/>
    <s v=""/>
    <s v=""/>
  </r>
  <r>
    <s v="Der_Frauen_Turnei.csv"/>
    <s v="#Eine-der-vrouwen-3"/>
    <x v="1"/>
    <s v="adel:edelfrau"/>
    <x v="3"/>
    <s v="unbekannt"/>
    <x v="1"/>
    <x v="1"/>
    <x v="1"/>
    <n v="0.23529411764705899"/>
    <n v="0"/>
    <n v="0.28333333333333299"/>
    <n v="8.5163453547691698E-2"/>
    <x v="3"/>
    <x v="0"/>
    <s v=""/>
    <s v=""/>
    <s v=""/>
    <s v=""/>
    <s v=""/>
  </r>
  <r>
    <s v="Der_Frauen_Turnei.csv"/>
    <s v="#Eine-der-vrouwen-1"/>
    <x v="1"/>
    <s v="adel:edelfrau"/>
    <x v="3"/>
    <s v="helfer"/>
    <x v="0"/>
    <x v="1"/>
    <x v="1"/>
    <n v="0.11764705882352899"/>
    <n v="0"/>
    <n v="0.17894736842105299"/>
    <n v="0.226061599224302"/>
    <x v="6"/>
    <x v="0"/>
    <s v=""/>
    <s v=""/>
    <s v=""/>
    <s v=""/>
    <s v=""/>
  </r>
  <r>
    <s v="Der_Frauen_Turnei.csv"/>
    <s v="#Ein-vrouwe-wol-gezogen"/>
    <x v="1"/>
    <s v="adel:edelfrau"/>
    <x v="3"/>
    <s v="unbekannt"/>
    <x v="1"/>
    <x v="1"/>
    <x v="1"/>
    <n v="0"/>
    <n v="0"/>
    <n v="5.5555555555555601E-2"/>
    <n v="9.9831087659658595E-18"/>
    <x v="3"/>
    <x v="0"/>
    <s v=""/>
    <s v=""/>
    <s v=""/>
    <s v=""/>
    <s v=""/>
  </r>
  <r>
    <s v="Der_Frauen_Turnei.csv"/>
    <s v="#Eine-der-vrouwen-2"/>
    <x v="1"/>
    <s v="adel:edelfrau"/>
    <x v="3"/>
    <s v="unbekannt"/>
    <x v="1"/>
    <x v="1"/>
    <x v="1"/>
    <n v="0.11764705882352899"/>
    <n v="0"/>
    <n v="0.21249999999999999"/>
    <n v="0.15070773281620101"/>
    <x v="3"/>
    <x v="0"/>
    <s v=""/>
    <s v=""/>
    <s v=""/>
    <s v=""/>
    <s v=""/>
  </r>
  <r>
    <s v="Der_Frauen_Turnei.csv"/>
    <s v="#Junk-vrouwe"/>
    <x v="1"/>
    <s v="adel:edelfrau"/>
    <x v="0"/>
    <s v="unbekannt"/>
    <x v="0"/>
    <x v="1"/>
    <x v="1"/>
    <n v="0.70588235294117696"/>
    <n v="3.6764705882352902E-3"/>
    <n v="0.25373134328358199"/>
    <n v="1"/>
    <x v="3"/>
    <x v="0"/>
    <s v=""/>
    <s v=""/>
    <s v=""/>
    <s v=""/>
    <s v=""/>
  </r>
  <r>
    <s v="Der_Frauen_Turnei.csv"/>
    <s v="#Vater-der-junk-vrouwe"/>
    <x v="0"/>
    <s v="adel:unbekannt"/>
    <x v="2"/>
    <s v="unbekannt"/>
    <x v="1"/>
    <x v="1"/>
    <x v="1"/>
    <n v="0.35294117647058798"/>
    <n v="1.2867647058823499E-2"/>
    <n v="0.28333333333333299"/>
    <n v="0.33483352403769701"/>
    <x v="3"/>
    <x v="0"/>
    <s v=""/>
    <s v=""/>
    <s v=""/>
    <s v=""/>
    <s v=""/>
  </r>
  <r>
    <s v="Der_Frauen_Turnei.csv"/>
    <s v="#Knechte-der-ritter"/>
    <x v="2"/>
    <s v="adel:knecht"/>
    <x v="3"/>
    <s v="helfer"/>
    <x v="1"/>
    <x v="1"/>
    <x v="1"/>
    <n v="0.23529411764705899"/>
    <n v="2.9411764705882401E-2"/>
    <n v="0.30357142857142899"/>
    <n v="0.123165899889629"/>
    <x v="6"/>
    <x v="0"/>
    <s v=""/>
    <s v=""/>
    <s v=""/>
    <s v=""/>
    <s v=""/>
  </r>
  <r>
    <s v="Der_Frauen_Turnei.csv"/>
    <s v="#Einer-der-ritter-3"/>
    <x v="0"/>
    <s v="adel:ritter"/>
    <x v="3"/>
    <s v="unbekannt"/>
    <x v="1"/>
    <x v="1"/>
    <x v="1"/>
    <n v="0.35294117647058798"/>
    <n v="2.9411764705882401E-2"/>
    <n v="0.30909090909090903"/>
    <n v="0.133250939538475"/>
    <x v="3"/>
    <x v="0"/>
    <s v=""/>
    <s v=""/>
    <s v=""/>
    <s v=""/>
    <s v=""/>
  </r>
  <r>
    <s v="Der_Frauen_Turnei.csv"/>
    <s v="#Einer-der-ritter-2"/>
    <x v="0"/>
    <s v="adel:ritter"/>
    <x v="3"/>
    <s v="unbekannt"/>
    <x v="1"/>
    <x v="1"/>
    <x v="1"/>
    <n v="0.35294117647058798"/>
    <n v="2.9411764705882401E-2"/>
    <n v="0.30909090909090903"/>
    <n v="0.133250939538474"/>
    <x v="3"/>
    <x v="0"/>
    <s v=""/>
    <s v=""/>
    <s v=""/>
    <s v=""/>
    <s v=""/>
  </r>
  <r>
    <s v="Der_Frauen_Turnei.csv"/>
    <s v="#Einer-der-ritter"/>
    <x v="0"/>
    <s v="adel:ritter"/>
    <x v="3"/>
    <s v="unbekannt"/>
    <x v="1"/>
    <x v="1"/>
    <x v="1"/>
    <n v="0.35294117647058798"/>
    <n v="8.2720588235294101E-2"/>
    <n v="0.29310344827586199"/>
    <n v="0.177551862296327"/>
    <x v="3"/>
    <x v="0"/>
    <s v=""/>
    <s v=""/>
    <s v=""/>
    <s v=""/>
    <s v=""/>
  </r>
  <r>
    <s v="Der_Frauen_Turnei.csv"/>
    <s v="#Herzoge-Walraben-von-Limburk"/>
    <x v="0"/>
    <s v="adel:herzog"/>
    <x v="3"/>
    <s v="helfer"/>
    <x v="1"/>
    <x v="1"/>
    <x v="1"/>
    <n v="0.82352941176470595"/>
    <n v="0.13602941176470601"/>
    <n v="0.28333333333333299"/>
    <n v="0.714217760870416"/>
    <x v="6"/>
    <x v="0"/>
    <s v=""/>
    <s v=""/>
    <s v=""/>
    <s v=""/>
    <s v=""/>
  </r>
  <r>
    <s v="Der_Frauen_Turnei.csv"/>
    <s v="#Knecht-des-herzogs"/>
    <x v="0"/>
    <s v="adel:knecht"/>
    <x v="3"/>
    <s v="unbekannt"/>
    <x v="1"/>
    <x v="1"/>
    <x v="1"/>
    <n v="0.11764705882352899"/>
    <n v="0"/>
    <n v="0.22666666666666699"/>
    <n v="5.4055261908362101E-2"/>
    <x v="3"/>
    <x v="0"/>
    <s v=""/>
    <s v=""/>
    <s v=""/>
    <s v=""/>
    <s v=""/>
  </r>
  <r>
    <s v="Der_Frauen_Turnei.csv"/>
    <s v="#Richer-man"/>
    <x v="0"/>
    <s v="adel:ritter"/>
    <x v="3"/>
    <s v="unbekannt"/>
    <x v="1"/>
    <x v="1"/>
    <x v="1"/>
    <n v="0.35294117647058798"/>
    <n v="6.0661764705882401E-2"/>
    <n v="0.29824561403508798"/>
    <n v="0.28077826212933499"/>
    <x v="3"/>
    <x v="0"/>
    <s v=""/>
    <s v=""/>
    <s v=""/>
    <s v=""/>
    <s v=""/>
  </r>
  <r>
    <s v="Der_geaeffte_Pfaffe.csv"/>
    <s v="#Pfaffe"/>
    <x v="0"/>
    <s v="klerus:pfarrer"/>
    <x v="3"/>
    <s v="betrueger"/>
    <x v="1"/>
    <x v="4"/>
    <x v="3"/>
    <n v="2"/>
    <n v="0.33333333333333298"/>
    <n v="0.11111111111111099"/>
    <n v="0.68677628591208895"/>
    <x v="4"/>
    <x v="1"/>
    <n v="1"/>
    <s v=""/>
    <s v=""/>
    <s v=""/>
    <s v=""/>
  </r>
  <r>
    <s v="Der_geaeffte_Pfaffe.csv"/>
    <s v="#Man"/>
    <x v="0"/>
    <s v="bauer"/>
    <x v="3"/>
    <s v="ehemann/betrogener"/>
    <x v="0"/>
    <x v="5"/>
    <x v="3"/>
    <n v="2"/>
    <n v="0"/>
    <n v="7.3170731707317097E-2"/>
    <n v="1"/>
    <x v="5"/>
    <x v="1"/>
    <s v=""/>
    <n v="2"/>
    <s v=""/>
    <s v=""/>
    <s v=""/>
  </r>
  <r>
    <s v="Der_geaeffte_Pfaffe.csv"/>
    <s v="#Wip"/>
    <x v="1"/>
    <s v="bauer"/>
    <x v="3"/>
    <s v="ehefrau/betrueger"/>
    <x v="0"/>
    <x v="5"/>
    <x v="3"/>
    <n v="2"/>
    <n v="0"/>
    <n v="7.4999999999999997E-2"/>
    <n v="0.94227047528225105"/>
    <x v="4"/>
    <x v="1"/>
    <n v="1"/>
    <s v=""/>
    <s v=""/>
    <s v=""/>
    <s v=""/>
  </r>
  <r>
    <s v="Der_geaeffte_Pfaffe.csv"/>
    <s v="#Kneht"/>
    <x v="0"/>
    <s v="bauer:knecht"/>
    <x v="3"/>
    <s v="helfer"/>
    <x v="0"/>
    <x v="5"/>
    <x v="3"/>
    <n v="2"/>
    <n v="0"/>
    <n v="8.3333333333333301E-2"/>
    <n v="0.93389631838573395"/>
    <x v="6"/>
    <x v="1"/>
    <s v=""/>
    <s v=""/>
    <s v=""/>
    <s v=""/>
    <s v=""/>
  </r>
  <r>
    <s v="Der_Guertel.csv"/>
    <s v="#Das-maere-selbst"/>
    <x v="4"/>
    <s v="NA"/>
    <x v="4"/>
    <s v="NA"/>
    <x v="1"/>
    <x v="0"/>
    <x v="3"/>
    <n v="0.30769230769230799"/>
    <n v="1.2820512820512799E-2"/>
    <n v="0.30232558139534899"/>
    <n v="3.3950300679227503E-2"/>
    <x v="15"/>
    <x v="1"/>
    <s v=""/>
    <s v=""/>
    <s v=""/>
    <s v=""/>
    <s v=""/>
  </r>
  <r>
    <s v="Der_Guertel.csv"/>
    <s v="#Konrad"/>
    <x v="0"/>
    <s v="adel:ritter"/>
    <x v="3"/>
    <s v="ehemann/betrogener"/>
    <x v="0"/>
    <x v="1"/>
    <x v="3"/>
    <n v="0.92307692307692302"/>
    <n v="8.4401709401709393E-2"/>
    <n v="0.32500000000000001"/>
    <n v="0.82855883634683103"/>
    <x v="5"/>
    <x v="1"/>
    <s v=""/>
    <n v="2"/>
    <s v=""/>
    <s v=""/>
    <s v=""/>
  </r>
  <r>
    <s v="Der_Guertel.csv"/>
    <s v="#Wip/Heinrich"/>
    <x v="1"/>
    <s v="adel:edelfrau"/>
    <x v="0"/>
    <s v="ehefrau/betrueger"/>
    <x v="0"/>
    <x v="1"/>
    <x v="3"/>
    <n v="1.84615384615385"/>
    <n v="0.67841880341880301"/>
    <n v="0.54166666666666696"/>
    <n v="1"/>
    <x v="4"/>
    <x v="1"/>
    <n v="1"/>
    <s v=""/>
    <s v=""/>
    <s v=""/>
    <s v=""/>
  </r>
  <r>
    <s v="Der_Guertel.csv"/>
    <s v="#Ritter"/>
    <x v="0"/>
    <s v="adel:ritter"/>
    <x v="3"/>
    <s v="gegenspieler"/>
    <x v="1"/>
    <x v="1"/>
    <x v="3"/>
    <n v="0.61538461538461497"/>
    <n v="0.112179487179487"/>
    <n v="0.371428571428571"/>
    <n v="0.48756903861689899"/>
    <x v="10"/>
    <x v="1"/>
    <s v=""/>
    <s v=""/>
    <s v=""/>
    <s v=""/>
    <n v="5"/>
  </r>
  <r>
    <s v="Der_Guertel.csv"/>
    <s v="#Junk-vroeuwelin"/>
    <x v="1"/>
    <s v="adel:edelfrau"/>
    <x v="0"/>
    <s v="unbekannt"/>
    <x v="1"/>
    <x v="1"/>
    <x v="3"/>
    <n v="0.30769230769230799"/>
    <n v="0.17521367521367501"/>
    <n v="0.41935483870967699"/>
    <n v="5.1076691492626503E-2"/>
    <x v="3"/>
    <x v="1"/>
    <s v=""/>
    <s v=""/>
    <s v=""/>
    <s v=""/>
    <s v=""/>
  </r>
  <r>
    <s v="Der_Guertel.csv"/>
    <s v="#Magt-der-vrouwe"/>
    <x v="1"/>
    <s v="adel:magd"/>
    <x v="3"/>
    <s v="unbekannt"/>
    <x v="1"/>
    <x v="1"/>
    <x v="3"/>
    <n v="0.15384615384615399"/>
    <n v="0"/>
    <n v="0.36111111111111099"/>
    <n v="3.4335677986492799E-2"/>
    <x v="3"/>
    <x v="1"/>
    <s v=""/>
    <s v=""/>
    <s v=""/>
    <s v=""/>
    <s v=""/>
  </r>
  <r>
    <s v="Der_Guertel.csv"/>
    <s v="#Ein-knecht"/>
    <x v="0"/>
    <s v="adel:knecht"/>
    <x v="3"/>
    <s v="helfer"/>
    <x v="1"/>
    <x v="1"/>
    <x v="3"/>
    <n v="0.61538461538461497"/>
    <n v="8.9743589743589702E-2"/>
    <n v="0.34210526315789502"/>
    <n v="0.16021734837225601"/>
    <x v="6"/>
    <x v="1"/>
    <s v=""/>
    <s v=""/>
    <s v=""/>
    <s v=""/>
    <s v=""/>
  </r>
  <r>
    <s v="Der_Guertel.csv"/>
    <s v="#Knechte-der-vrouwe"/>
    <x v="2"/>
    <s v="adel:knecht"/>
    <x v="3"/>
    <s v="unbekannt"/>
    <x v="1"/>
    <x v="1"/>
    <x v="3"/>
    <n v="0.30769230769230799"/>
    <n v="0"/>
    <n v="0.282608695652174"/>
    <n v="7.8565988690701902E-2"/>
    <x v="3"/>
    <x v="1"/>
    <s v=""/>
    <s v=""/>
    <s v=""/>
    <s v=""/>
    <s v=""/>
  </r>
  <r>
    <s v="Der_Guertel.csv"/>
    <s v="#Wirt"/>
    <x v="0"/>
    <s v="buergerlich:wirt"/>
    <x v="3"/>
    <s v="helfer"/>
    <x v="1"/>
    <x v="3"/>
    <x v="3"/>
    <n v="0.46153846153846201"/>
    <n v="6.41025641025641E-3"/>
    <n v="0.29545454545454503"/>
    <n v="0.144086753166907"/>
    <x v="6"/>
    <x v="1"/>
    <s v=""/>
    <s v=""/>
    <s v=""/>
    <s v=""/>
    <s v=""/>
  </r>
  <r>
    <s v="Der_Guertel.csv"/>
    <s v="#Knechte-von-heinrich"/>
    <x v="2"/>
    <s v="adel:knecht"/>
    <x v="3"/>
    <s v="unbekannt"/>
    <x v="1"/>
    <x v="1"/>
    <x v="3"/>
    <n v="0.30769230769230799"/>
    <n v="0.141025641025641"/>
    <n v="0.38235294117647101"/>
    <n v="3.9282994345350999E-2"/>
    <x v="3"/>
    <x v="1"/>
    <s v=""/>
    <s v=""/>
    <s v=""/>
    <s v=""/>
    <s v=""/>
  </r>
  <r>
    <s v="Der_Guertel.csv"/>
    <s v="#Herzoge"/>
    <x v="0"/>
    <s v="adel:herzog"/>
    <x v="3"/>
    <s v="unbekannt"/>
    <x v="1"/>
    <x v="1"/>
    <x v="3"/>
    <n v="0.76923076923076905"/>
    <n v="9.4017094017094002E-2"/>
    <n v="0.35135135135135098"/>
    <n v="0.48929475817026402"/>
    <x v="3"/>
    <x v="1"/>
    <s v=""/>
    <s v=""/>
    <s v=""/>
    <s v=""/>
    <s v=""/>
  </r>
  <r>
    <s v="Der_Guertel.csv"/>
    <s v="#Knechte-des-herzogs"/>
    <x v="2"/>
    <s v="adel:knecht"/>
    <x v="3"/>
    <s v="unbekannt"/>
    <x v="1"/>
    <x v="1"/>
    <x v="3"/>
    <n v="0.30769230769230799"/>
    <n v="7.3717948717948706E-2"/>
    <n v="0.40625"/>
    <n v="5.1135945243505801E-2"/>
    <x v="3"/>
    <x v="1"/>
    <s v=""/>
    <s v=""/>
    <s v=""/>
    <s v=""/>
    <s v=""/>
  </r>
  <r>
    <s v="Der_Guertel.csv"/>
    <s v="#Ein-ritter"/>
    <x v="0"/>
    <s v="adel:ritter"/>
    <x v="3"/>
    <s v="unbekannt"/>
    <x v="1"/>
    <x v="1"/>
    <x v="3"/>
    <n v="0.30769230769230799"/>
    <n v="7.3717948717948706E-2"/>
    <n v="0.40625"/>
    <n v="5.1135945243505898E-2"/>
    <x v="3"/>
    <x v="1"/>
    <s v=""/>
    <s v=""/>
    <s v=""/>
    <s v=""/>
    <s v=""/>
  </r>
  <r>
    <s v="Der_Guertel.csv"/>
    <s v="#Ein-brite"/>
    <x v="0"/>
    <s v="adel:ritter"/>
    <x v="3"/>
    <s v="gegner"/>
    <x v="1"/>
    <x v="1"/>
    <x v="3"/>
    <n v="0.46153846153846201"/>
    <n v="4.2735042735042701E-2"/>
    <n v="0.30952380952380998"/>
    <n v="0.176705560011827"/>
    <x v="13"/>
    <x v="1"/>
    <s v=""/>
    <s v=""/>
    <s v=""/>
    <s v=""/>
    <s v=""/>
  </r>
  <r>
    <s v="Der_junge_Ratgeber.csv"/>
    <s v="#Kunic"/>
    <x v="0"/>
    <s v="adel:koenig"/>
    <x v="3"/>
    <s v="unbekannt"/>
    <x v="0"/>
    <x v="1"/>
    <x v="1"/>
    <n v="2"/>
    <n v="0.05"/>
    <n v="0.55555555555555602"/>
    <n v="1"/>
    <x v="3"/>
    <x v="1"/>
    <s v=""/>
    <s v=""/>
    <s v=""/>
    <s v=""/>
    <s v=""/>
  </r>
  <r>
    <s v="Der_junge_Ratgeber.csv"/>
    <s v="#Alter-ratgeben"/>
    <x v="0"/>
    <s v="adel:ratgeber"/>
    <x v="2"/>
    <s v="vater"/>
    <x v="1"/>
    <x v="1"/>
    <x v="1"/>
    <n v="1.6"/>
    <n v="0.25"/>
    <n v="0.625"/>
    <n v="0.81844232581321796"/>
    <x v="7"/>
    <x v="1"/>
    <s v=""/>
    <s v=""/>
    <s v=""/>
    <s v=""/>
    <s v=""/>
  </r>
  <r>
    <s v="Der_junge_Ratgeber.csv"/>
    <s v="#Sun-(neuer-ratgeben)"/>
    <x v="0"/>
    <s v="adel:ratgeber"/>
    <x v="0"/>
    <s v="ratgeber"/>
    <x v="0"/>
    <x v="1"/>
    <x v="1"/>
    <n v="2"/>
    <n v="0"/>
    <n v="0.45454545454545497"/>
    <n v="0.896398856114894"/>
    <x v="16"/>
    <x v="1"/>
    <s v=""/>
    <s v=""/>
    <s v=""/>
    <s v=""/>
    <s v=""/>
  </r>
  <r>
    <s v="Der_junge_Ratgeber.csv"/>
    <s v="#Bote"/>
    <x v="0"/>
    <s v="buergerlich:bote"/>
    <x v="3"/>
    <s v="bote"/>
    <x v="1"/>
    <x v="3"/>
    <x v="1"/>
    <n v="1.2"/>
    <n v="0.4"/>
    <n v="0.625"/>
    <n v="0.19434459280845101"/>
    <x v="12"/>
    <x v="1"/>
    <s v=""/>
    <s v=""/>
    <s v=""/>
    <s v=""/>
    <s v=""/>
  </r>
  <r>
    <s v="Der_junge_Ratgeber.csv"/>
    <s v="#Besten-von-dem-lande"/>
    <x v="2"/>
    <s v="unbekannt"/>
    <x v="3"/>
    <s v="unbekannt"/>
    <x v="1"/>
    <x v="2"/>
    <x v="1"/>
    <n v="1.6"/>
    <n v="0.15"/>
    <n v="0.55555555555555602"/>
    <n v="0.54945473053465199"/>
    <x v="3"/>
    <x v="1"/>
    <s v=""/>
    <s v=""/>
    <s v=""/>
    <s v=""/>
    <s v=""/>
  </r>
  <r>
    <s v="Der_junge_Ratgeber.csv"/>
    <s v="#Nidaere"/>
    <x v="2"/>
    <s v="unbekannt"/>
    <x v="3"/>
    <s v="gegenspieler"/>
    <x v="1"/>
    <x v="2"/>
    <x v="1"/>
    <n v="1.2"/>
    <n v="0"/>
    <n v="0.45454545454545497"/>
    <n v="0.37501403777258802"/>
    <x v="10"/>
    <x v="1"/>
    <s v=""/>
    <s v=""/>
    <s v=""/>
    <s v=""/>
    <n v="5"/>
  </r>
  <r>
    <s v="Der_kluge_Knecht.csv"/>
    <s v="#Man"/>
    <x v="0"/>
    <s v="unbekannt"/>
    <x v="3"/>
    <s v="ehemann/betrogener"/>
    <x v="0"/>
    <x v="2"/>
    <x v="3"/>
    <n v="2"/>
    <n v="0"/>
    <n v="8.5714285714285701E-2"/>
    <n v="1"/>
    <x v="5"/>
    <x v="1"/>
    <s v=""/>
    <n v="2"/>
    <s v=""/>
    <s v=""/>
    <s v=""/>
  </r>
  <r>
    <s v="Der_kluge_Knecht.csv"/>
    <s v="#Wip"/>
    <x v="1"/>
    <s v="unbekannt"/>
    <x v="3"/>
    <s v="ehefrau/betrueger"/>
    <x v="0"/>
    <x v="2"/>
    <x v="3"/>
    <n v="2"/>
    <n v="0"/>
    <n v="8.5714285714285701E-2"/>
    <n v="0.93521875234554497"/>
    <x v="4"/>
    <x v="1"/>
    <n v="1"/>
    <s v=""/>
    <s v=""/>
    <s v=""/>
    <s v=""/>
  </r>
  <r>
    <s v="Der_kluge_Knecht.csv"/>
    <s v="#Kneht"/>
    <x v="0"/>
    <s v="unbekannt:knecht"/>
    <x v="3"/>
    <s v="helfer"/>
    <x v="0"/>
    <x v="2"/>
    <x v="3"/>
    <n v="2"/>
    <n v="0"/>
    <n v="0.12"/>
    <n v="0.88656582522251803"/>
    <x v="6"/>
    <x v="1"/>
    <s v=""/>
    <s v=""/>
    <s v=""/>
    <s v=""/>
    <s v=""/>
  </r>
  <r>
    <s v="Der_kluge_Knecht.csv"/>
    <s v="#Pfarraere"/>
    <x v="0"/>
    <s v="klerus:pfarrer"/>
    <x v="3"/>
    <s v="betrueger"/>
    <x v="1"/>
    <x v="4"/>
    <x v="3"/>
    <n v="2"/>
    <n v="1"/>
    <n v="0.157894736842105"/>
    <n v="0.49375060358839501"/>
    <x v="4"/>
    <x v="1"/>
    <n v="1"/>
    <s v=""/>
    <s v=""/>
    <s v=""/>
    <s v=""/>
  </r>
  <r>
    <s v="Der_nackte_Bote.csv"/>
    <s v="#Kneht"/>
    <x v="0"/>
    <s v="adel:knecht"/>
    <x v="3"/>
    <s v="betrogener"/>
    <x v="0"/>
    <x v="1"/>
    <x v="1"/>
    <n v="2"/>
    <n v="9.5238095238095205E-2"/>
    <n v="0.58333333333333304"/>
    <n v="1"/>
    <x v="5"/>
    <x v="1"/>
    <s v=""/>
    <n v="2"/>
    <s v=""/>
    <s v=""/>
    <s v=""/>
  </r>
  <r>
    <s v="Der_nackte_Bote.csv"/>
    <s v="#Vrouwe"/>
    <x v="1"/>
    <s v="buergerlich:ehefrau"/>
    <x v="3"/>
    <s v="ehefrau"/>
    <x v="1"/>
    <x v="3"/>
    <x v="1"/>
    <n v="1.1428571428571399"/>
    <n v="0"/>
    <n v="0.5"/>
    <n v="0.31866831887568697"/>
    <x v="1"/>
    <x v="1"/>
    <s v=""/>
    <s v=""/>
    <s v=""/>
    <s v=""/>
    <s v=""/>
  </r>
  <r>
    <s v="Der_nackte_Bote.csv"/>
    <s v="#Tohter"/>
    <x v="2"/>
    <s v="buergerlich:NA"/>
    <x v="3"/>
    <s v="kind"/>
    <x v="1"/>
    <x v="3"/>
    <x v="1"/>
    <n v="1.1428571428571399"/>
    <n v="0"/>
    <n v="0.5"/>
    <n v="0.31866831887568697"/>
    <x v="2"/>
    <x v="1"/>
    <s v=""/>
    <s v=""/>
    <s v=""/>
    <s v=""/>
    <s v=""/>
  </r>
  <r>
    <s v="Der_nackte_Bote.csv"/>
    <s v="#Herre"/>
    <x v="0"/>
    <s v="adel:ritter"/>
    <x v="3"/>
    <s v="helfer"/>
    <x v="1"/>
    <x v="1"/>
    <x v="1"/>
    <n v="1.1428571428571399"/>
    <n v="4.7619047619047603E-2"/>
    <n v="0.46666666666666701"/>
    <n v="0.76040883095630196"/>
    <x v="6"/>
    <x v="1"/>
    <s v=""/>
    <s v=""/>
    <s v=""/>
    <s v=""/>
    <s v=""/>
  </r>
  <r>
    <s v="Der_nackte_Bote.csv"/>
    <s v="#Kint"/>
    <x v="3"/>
    <s v="buergerlich:NA"/>
    <x v="1"/>
    <s v="kind"/>
    <x v="1"/>
    <x v="3"/>
    <x v="1"/>
    <n v="1.1428571428571399"/>
    <n v="0.17460317460317501"/>
    <n v="0.58333333333333304"/>
    <n v="0.36192709358522301"/>
    <x v="2"/>
    <x v="1"/>
    <s v=""/>
    <s v=""/>
    <s v=""/>
    <s v=""/>
    <s v=""/>
  </r>
  <r>
    <s v="Der_nackte_Bote.csv"/>
    <s v="#Wirt"/>
    <x v="0"/>
    <s v="buergerlich:wirt"/>
    <x v="3"/>
    <s v="betrogener"/>
    <x v="0"/>
    <x v="3"/>
    <x v="1"/>
    <n v="2"/>
    <n v="7.1428571428571397E-2"/>
    <n v="0.58333333333333304"/>
    <n v="0.87639159649611098"/>
    <x v="5"/>
    <x v="1"/>
    <s v=""/>
    <n v="2"/>
    <s v=""/>
    <s v=""/>
    <s v=""/>
  </r>
  <r>
    <s v="Der_nackte_Bote.csv"/>
    <s v="#Gesinde"/>
    <x v="2"/>
    <s v="unbekannt"/>
    <x v="3"/>
    <s v="unbekannt"/>
    <x v="1"/>
    <x v="2"/>
    <x v="1"/>
    <n v="1.4285714285714299"/>
    <n v="0.49206349206349198"/>
    <n v="0.77777777777777801"/>
    <n v="0.182723492296711"/>
    <x v="3"/>
    <x v="1"/>
    <s v=""/>
    <s v=""/>
    <s v=""/>
    <s v=""/>
    <s v=""/>
  </r>
  <r>
    <s v="Der_nackte_Bote.csv"/>
    <s v="#Knehten"/>
    <x v="2"/>
    <s v="buergerlich:knecht"/>
    <x v="3"/>
    <s v="unbekannt"/>
    <x v="1"/>
    <x v="3"/>
    <x v="1"/>
    <n v="0.85714285714285698"/>
    <n v="6.3492063492063502E-2"/>
    <n v="0.5"/>
    <n v="0.22323353898209999"/>
    <x v="3"/>
    <x v="1"/>
    <s v=""/>
    <s v=""/>
    <s v=""/>
    <s v=""/>
    <s v=""/>
  </r>
  <r>
    <s v="Der_nackte_Koenig.csv"/>
    <s v="#Kunik"/>
    <x v="0"/>
    <s v="adel:koenig"/>
    <x v="3"/>
    <s v="betrogener"/>
    <x v="0"/>
    <x v="1"/>
    <x v="1"/>
    <n v="2"/>
    <n v="8.7962962962963007E-2"/>
    <n v="0.47368421052631599"/>
    <n v="1"/>
    <x v="5"/>
    <x v="1"/>
    <s v=""/>
    <n v="2"/>
    <s v=""/>
    <s v=""/>
    <s v=""/>
  </r>
  <r>
    <s v="Der_nackte_Koenig.csv"/>
    <s v="#Engel"/>
    <x v="0"/>
    <s v="NA"/>
    <x v="4"/>
    <s v="betrueger"/>
    <x v="0"/>
    <x v="0"/>
    <x v="1"/>
    <n v="1.7777777777777799"/>
    <n v="0.24537037037036999"/>
    <n v="0.5"/>
    <n v="0.81199406616390601"/>
    <x v="4"/>
    <x v="1"/>
    <n v="1"/>
    <s v=""/>
    <s v=""/>
    <s v=""/>
    <s v=""/>
  </r>
  <r>
    <s v="Der_nackte_Koenig.csv"/>
    <s v="#Bader"/>
    <x v="0"/>
    <s v="adel:bader"/>
    <x v="3"/>
    <s v="unbekannt"/>
    <x v="1"/>
    <x v="1"/>
    <x v="1"/>
    <n v="1.1111111111111101"/>
    <n v="6.9444444444444406E-2"/>
    <n v="0.42857142857142899"/>
    <n v="0.33309027936334501"/>
    <x v="3"/>
    <x v="1"/>
    <s v=""/>
    <s v=""/>
    <s v=""/>
    <s v=""/>
    <s v=""/>
  </r>
  <r>
    <s v="Der_nackte_Koenig.csv"/>
    <s v="#Bader-gesinde"/>
    <x v="2"/>
    <s v="adel:bader"/>
    <x v="3"/>
    <s v="unbekannt"/>
    <x v="1"/>
    <x v="1"/>
    <x v="1"/>
    <n v="0.66666666666666696"/>
    <n v="1.85185185185185E-2"/>
    <n v="0.42857142857142899"/>
    <n v="0.13622536954321901"/>
    <x v="3"/>
    <x v="1"/>
    <s v=""/>
    <s v=""/>
    <s v=""/>
    <s v=""/>
    <s v=""/>
  </r>
  <r>
    <s v="Der_nackte_Koenig.csv"/>
    <s v="#Schenke"/>
    <x v="0"/>
    <s v="buergerlich:wirt"/>
    <x v="3"/>
    <s v="helfer"/>
    <x v="1"/>
    <x v="3"/>
    <x v="1"/>
    <n v="1.3333333333333299"/>
    <n v="0.171296296296296"/>
    <n v="0.52941176470588203"/>
    <n v="0.57925812999990201"/>
    <x v="6"/>
    <x v="1"/>
    <s v=""/>
    <s v=""/>
    <s v=""/>
    <s v=""/>
    <s v=""/>
  </r>
  <r>
    <s v="Der_nackte_Koenig.csv"/>
    <s v="#Portenaere"/>
    <x v="0"/>
    <s v="buergerlich:torwart"/>
    <x v="3"/>
    <s v="bote"/>
    <x v="1"/>
    <x v="3"/>
    <x v="1"/>
    <n v="0.66666666666666696"/>
    <n v="0"/>
    <n v="0.34615384615384598"/>
    <n v="0.21736092644973701"/>
    <x v="12"/>
    <x v="1"/>
    <s v=""/>
    <s v=""/>
    <s v=""/>
    <s v=""/>
    <s v=""/>
  </r>
  <r>
    <s v="Der_nackte_Koenig.csv"/>
    <s v="#Hove-gesinde"/>
    <x v="2"/>
    <s v="adel:unbekannt"/>
    <x v="3"/>
    <s v="unbekannt"/>
    <x v="1"/>
    <x v="1"/>
    <x v="1"/>
    <n v="1.3333333333333299"/>
    <n v="0.180555555555556"/>
    <n v="0.52941176470588203"/>
    <n v="0.41989076013968601"/>
    <x v="3"/>
    <x v="1"/>
    <s v=""/>
    <s v=""/>
    <s v=""/>
    <s v=""/>
    <s v=""/>
  </r>
  <r>
    <s v="Der_nackte_Koenig.csv"/>
    <s v="#Kuenegin"/>
    <x v="1"/>
    <s v="adel:koenigin"/>
    <x v="3"/>
    <s v="ehefrau"/>
    <x v="1"/>
    <x v="1"/>
    <x v="1"/>
    <n v="1.1111111111111101"/>
    <n v="2.7777777777777801E-2"/>
    <n v="0.40909090909090901"/>
    <n v="0.37630478201439099"/>
    <x v="1"/>
    <x v="1"/>
    <s v=""/>
    <s v=""/>
    <s v=""/>
    <s v=""/>
    <s v=""/>
  </r>
  <r>
    <s v="Der_nackte_Koenig.csv"/>
    <s v="#Ritter"/>
    <x v="0"/>
    <s v="adel:ritter"/>
    <x v="3"/>
    <s v="unbekannt"/>
    <x v="1"/>
    <x v="1"/>
    <x v="1"/>
    <n v="0.66666666666666696"/>
    <n v="0.21296296296296299"/>
    <n v="0.5625"/>
    <n v="9.3655221265290703E-2"/>
    <x v="3"/>
    <x v="1"/>
    <s v=""/>
    <s v=""/>
    <s v=""/>
    <s v=""/>
    <s v=""/>
  </r>
  <r>
    <s v="Der_nackte_Koenig.csv"/>
    <s v="#Hove-riter"/>
    <x v="0"/>
    <s v="adel:ritter"/>
    <x v="2"/>
    <s v="unbekannt"/>
    <x v="1"/>
    <x v="1"/>
    <x v="1"/>
    <n v="0.44444444444444398"/>
    <n v="5.5555555555555601E-2"/>
    <n v="0.42857142857142899"/>
    <n v="5.56111076559632E-2"/>
    <x v="3"/>
    <x v="1"/>
    <s v=""/>
    <s v=""/>
    <s v=""/>
    <s v=""/>
    <s v=""/>
  </r>
  <r>
    <s v="Der_Nußberg.csv"/>
    <s v="#Ritter-von-nuzberk"/>
    <x v="0"/>
    <s v="adel:ritter"/>
    <x v="3"/>
    <s v="ehemann/betrogener"/>
    <x v="0"/>
    <x v="1"/>
    <x v="3"/>
    <n v="2"/>
    <n v="0"/>
    <n v="0.6"/>
    <n v="1"/>
    <x v="5"/>
    <x v="1"/>
    <s v=""/>
    <n v="2"/>
    <s v=""/>
    <s v=""/>
    <s v=""/>
  </r>
  <r>
    <s v="Der_Nußberg.csv"/>
    <s v="#Wip"/>
    <x v="1"/>
    <s v="adel:edelfrau"/>
    <x v="3"/>
    <s v="ehefrau/betrueger"/>
    <x v="0"/>
    <x v="1"/>
    <x v="3"/>
    <n v="2"/>
    <n v="0.66666666666666696"/>
    <n v="1"/>
    <n v="0.49033010167086699"/>
    <x v="4"/>
    <x v="1"/>
    <n v="1"/>
    <s v=""/>
    <s v=""/>
    <s v=""/>
    <s v=""/>
  </r>
  <r>
    <s v="Der_Nußberg.csv"/>
    <s v="#Kuenik"/>
    <x v="0"/>
    <s v="adel:koenig"/>
    <x v="3"/>
    <s v="unbekannt"/>
    <x v="1"/>
    <x v="1"/>
    <x v="3"/>
    <n v="2"/>
    <n v="0"/>
    <n v="0.75"/>
    <n v="0.80636096254159195"/>
    <x v="3"/>
    <x v="1"/>
    <s v=""/>
    <s v=""/>
    <s v=""/>
    <s v=""/>
    <s v=""/>
  </r>
  <r>
    <s v="Der_Nußberg.csv"/>
    <s v="#Kuenik-der-heiden"/>
    <x v="0"/>
    <s v="adel:koenig"/>
    <x v="3"/>
    <s v="betrueger"/>
    <x v="0"/>
    <x v="1"/>
    <x v="3"/>
    <n v="2"/>
    <n v="0"/>
    <n v="0.75"/>
    <n v="0.80636096254159195"/>
    <x v="4"/>
    <x v="1"/>
    <n v="1"/>
    <s v=""/>
    <s v=""/>
    <s v=""/>
    <s v=""/>
  </r>
  <r>
    <s v="Der_Pfaffe_im_Kaesekorb.csv"/>
    <s v="#Pur"/>
    <x v="0"/>
    <s v="bauer:meyer"/>
    <x v="3"/>
    <s v="ehemann/betrogener"/>
    <x v="0"/>
    <x v="5"/>
    <x v="3"/>
    <n v="0"/>
    <n v="0"/>
    <n v="0"/>
    <n v="0"/>
    <x v="5"/>
    <x v="1"/>
    <s v=""/>
    <n v="2"/>
    <s v=""/>
    <s v=""/>
    <s v=""/>
  </r>
  <r>
    <s v="Der_Pfaffe_im_Kaesekorb.csv"/>
    <s v="#Wib"/>
    <x v="1"/>
    <s v="bauer:ehefrau"/>
    <x v="3"/>
    <s v="ehefrau/betrueger"/>
    <x v="0"/>
    <x v="5"/>
    <x v="3"/>
    <n v="0"/>
    <n v="0"/>
    <n v="0"/>
    <n v="0"/>
    <x v="4"/>
    <x v="1"/>
    <n v="1"/>
    <s v=""/>
    <s v=""/>
    <s v=""/>
    <s v=""/>
  </r>
  <r>
    <s v="Der_Pfaffe_im_Kaesekorb.csv"/>
    <s v="#Pfaffe"/>
    <x v="0"/>
    <s v="klerus:pfarrer"/>
    <x v="3"/>
    <s v="betrueger"/>
    <x v="1"/>
    <x v="4"/>
    <x v="3"/>
    <n v="0"/>
    <n v="0"/>
    <n v="0"/>
    <n v="0"/>
    <x v="4"/>
    <x v="1"/>
    <n v="1"/>
    <s v=""/>
    <s v=""/>
    <s v=""/>
    <s v=""/>
  </r>
  <r>
    <s v="Der_Raubritter_und_sein_Kaemmerer.csv"/>
    <s v="#Ritter"/>
    <x v="0"/>
    <s v="adel:ritter"/>
    <x v="3"/>
    <s v="betrogener"/>
    <x v="0"/>
    <x v="1"/>
    <x v="1"/>
    <n v="2"/>
    <n v="0.33333333333333298"/>
    <n v="0.2"/>
    <n v="0.91001080941258605"/>
    <x v="5"/>
    <x v="1"/>
    <s v=""/>
    <n v="2"/>
    <s v=""/>
    <s v=""/>
    <s v=""/>
  </r>
  <r>
    <s v="Der_Raubritter_und_sein_Kaemmerer.csv"/>
    <s v="#Muench"/>
    <x v="0"/>
    <s v="klerus:moench"/>
    <x v="3"/>
    <s v="helfer"/>
    <x v="0"/>
    <x v="4"/>
    <x v="1"/>
    <n v="2"/>
    <n v="0"/>
    <n v="0.16666666666666699"/>
    <n v="1"/>
    <x v="6"/>
    <x v="1"/>
    <s v=""/>
    <s v=""/>
    <s v=""/>
    <s v=""/>
    <s v=""/>
  </r>
  <r>
    <s v="Der_Raubritter_und_sein_Kaemmerer.csv"/>
    <s v="#Gesinde"/>
    <x v="2"/>
    <s v="adel:unbekannt"/>
    <x v="3"/>
    <s v="unbekannt"/>
    <x v="1"/>
    <x v="1"/>
    <x v="1"/>
    <n v="1.3333333333333299"/>
    <n v="0"/>
    <n v="0.15"/>
    <n v="0.78888576762637597"/>
    <x v="3"/>
    <x v="1"/>
    <s v=""/>
    <s v=""/>
    <s v=""/>
    <s v=""/>
    <s v=""/>
  </r>
  <r>
    <s v="Der_Raubritter_und_sein_Kaemmerer.csv"/>
    <s v="#Kamerer"/>
    <x v="0"/>
    <s v="adel:kaemmerer"/>
    <x v="3"/>
    <s v="betrueger"/>
    <x v="0"/>
    <x v="1"/>
    <x v="1"/>
    <n v="1.3333333333333299"/>
    <n v="0.33333333333333298"/>
    <n v="0.2"/>
    <n v="0.45967116488522702"/>
    <x v="4"/>
    <x v="1"/>
    <n v="1"/>
    <s v=""/>
    <s v=""/>
    <s v=""/>
    <s v=""/>
  </r>
  <r>
    <s v="Der_Reiher.csv"/>
    <s v="#Man"/>
    <x v="0"/>
    <s v="adel:ritter"/>
    <x v="3"/>
    <s v="ehemann/betrogener"/>
    <x v="0"/>
    <x v="1"/>
    <x v="3"/>
    <n v="1.6"/>
    <n v="0.05"/>
    <n v="0.217391304347826"/>
    <n v="0.77462461884820499"/>
    <x v="5"/>
    <x v="1"/>
    <s v=""/>
    <n v="2"/>
    <s v=""/>
    <s v=""/>
    <s v=""/>
  </r>
  <r>
    <s v="Der_Reiher.csv"/>
    <s v="#Vrouwe"/>
    <x v="1"/>
    <s v="adel:edelfrau"/>
    <x v="3"/>
    <s v="ehefrau/betrueger"/>
    <x v="0"/>
    <x v="1"/>
    <x v="3"/>
    <n v="2"/>
    <n v="0.3"/>
    <n v="0.29411764705882398"/>
    <n v="1"/>
    <x v="4"/>
    <x v="1"/>
    <n v="1"/>
    <s v=""/>
    <s v=""/>
    <s v=""/>
    <s v=""/>
  </r>
  <r>
    <s v="Der_Reiher.csv"/>
    <s v="#Koch"/>
    <x v="0"/>
    <s v="buergerlich:koch"/>
    <x v="3"/>
    <s v="unbekannt"/>
    <x v="1"/>
    <x v="3"/>
    <x v="3"/>
    <n v="0.8"/>
    <n v="0.15"/>
    <n v="0.238095238095238"/>
    <n v="0.13253896714941199"/>
    <x v="3"/>
    <x v="1"/>
    <s v=""/>
    <s v=""/>
    <s v=""/>
    <s v=""/>
    <s v=""/>
  </r>
  <r>
    <s v="Der_Reiher.csv"/>
    <s v="#Meit"/>
    <x v="1"/>
    <s v="adel:magd"/>
    <x v="3"/>
    <s v="bote"/>
    <x v="1"/>
    <x v="1"/>
    <x v="3"/>
    <n v="0.8"/>
    <n v="0"/>
    <n v="0.18518518518518501"/>
    <n v="0.26336845883157001"/>
    <x v="12"/>
    <x v="1"/>
    <s v=""/>
    <s v=""/>
    <s v=""/>
    <s v=""/>
    <s v=""/>
  </r>
  <r>
    <s v="Der_Reiher.csv"/>
    <s v="#Gewatern"/>
    <x v="1"/>
    <s v="unbekannt"/>
    <x v="3"/>
    <s v="helfer"/>
    <x v="0"/>
    <x v="2"/>
    <x v="3"/>
    <n v="1.6"/>
    <n v="0.2"/>
    <n v="0.26315789473684198"/>
    <n v="0.76318014589525895"/>
    <x v="6"/>
    <x v="1"/>
    <s v=""/>
    <s v=""/>
    <s v=""/>
    <s v=""/>
    <s v=""/>
  </r>
  <r>
    <s v="Der_Reiher.csv"/>
    <s v="#Herre"/>
    <x v="0"/>
    <s v="adel:unbekannt"/>
    <x v="3"/>
    <s v="unbekannt"/>
    <x v="1"/>
    <x v="1"/>
    <x v="3"/>
    <n v="1.2"/>
    <n v="0.15"/>
    <n v="0.26315789473684198"/>
    <n v="0.285161079570807"/>
    <x v="3"/>
    <x v="1"/>
    <s v=""/>
    <s v=""/>
    <s v=""/>
    <s v=""/>
    <s v=""/>
  </r>
  <r>
    <s v="Der_Richter_und_der_Teufel.csv"/>
    <s v="#Rihter"/>
    <x v="0"/>
    <s v="buergerlich:richter"/>
    <x v="3"/>
    <s v="betrueger"/>
    <x v="0"/>
    <x v="3"/>
    <x v="1"/>
    <n v="1.6"/>
    <n v="0.5"/>
    <n v="0.5"/>
    <n v="1"/>
    <x v="4"/>
    <x v="1"/>
    <n v="1"/>
    <s v=""/>
    <s v=""/>
    <s v=""/>
    <s v=""/>
  </r>
  <r>
    <s v="Der_Richter_und_der_Teufel.csv"/>
    <s v="#Wip-1"/>
    <x v="1"/>
    <s v="unbekannt"/>
    <x v="3"/>
    <s v="unbekannt"/>
    <x v="1"/>
    <x v="2"/>
    <x v="1"/>
    <n v="0"/>
    <n v="0"/>
    <n v="0.16666666666666699"/>
    <n v="0"/>
    <x v="3"/>
    <x v="1"/>
    <s v=""/>
    <s v=""/>
    <s v=""/>
    <s v=""/>
    <s v=""/>
  </r>
  <r>
    <s v="Der_Richter_und_der_Teufel.csv"/>
    <s v="#Wip-2"/>
    <x v="1"/>
    <s v="unbekannt"/>
    <x v="3"/>
    <s v="unbekannt"/>
    <x v="1"/>
    <x v="2"/>
    <x v="1"/>
    <n v="0.4"/>
    <n v="0"/>
    <n v="0.38461538461538503"/>
    <n v="0.42681725548354599"/>
    <x v="3"/>
    <x v="1"/>
    <s v=""/>
    <s v=""/>
    <s v=""/>
    <s v=""/>
    <s v=""/>
  </r>
  <r>
    <s v="Der_Richter_und_der_Teufel.csv"/>
    <s v="#Wip-3"/>
    <x v="1"/>
    <s v="unbekannt"/>
    <x v="3"/>
    <s v="unbekannt"/>
    <x v="1"/>
    <x v="2"/>
    <x v="1"/>
    <n v="0.8"/>
    <n v="0"/>
    <n v="0.41666666666666702"/>
    <n v="0.74464428590503995"/>
    <x v="3"/>
    <x v="1"/>
    <s v=""/>
    <s v=""/>
    <s v=""/>
    <s v=""/>
    <s v=""/>
  </r>
  <r>
    <s v="Der_Richter_und_der_Teufel.csv"/>
    <s v="#Kinde"/>
    <x v="3"/>
    <s v="unbekannt"/>
    <x v="1"/>
    <s v="kind"/>
    <x v="1"/>
    <x v="2"/>
    <x v="1"/>
    <n v="0.8"/>
    <n v="0"/>
    <n v="0.41666666666666702"/>
    <n v="0.74464428590503995"/>
    <x v="2"/>
    <x v="1"/>
    <s v=""/>
    <s v=""/>
    <s v=""/>
    <s v=""/>
    <s v=""/>
  </r>
  <r>
    <s v="Der_Richter_und_der_Teufel.csv"/>
    <s v="#Witwe"/>
    <x v="1"/>
    <s v="unbekannt"/>
    <x v="2"/>
    <s v="helfer"/>
    <x v="1"/>
    <x v="2"/>
    <x v="1"/>
    <n v="0.4"/>
    <n v="0"/>
    <n v="0.38461538461538503"/>
    <n v="0.42681725548354599"/>
    <x v="6"/>
    <x v="1"/>
    <s v=""/>
    <s v=""/>
    <s v=""/>
    <s v=""/>
    <s v=""/>
  </r>
  <r>
    <s v="Der_Ritter_und_die_Nuesse.csv"/>
    <s v="#Ritter"/>
    <x v="0"/>
    <s v="adel:ritter"/>
    <x v="3"/>
    <s v="ehemann/betrogener"/>
    <x v="0"/>
    <x v="1"/>
    <x v="3"/>
    <n v="2"/>
    <n v="0.66666666666666696"/>
    <n v="0.14285714285714299"/>
    <n v="1"/>
    <x v="5"/>
    <x v="1"/>
    <s v=""/>
    <n v="2"/>
    <s v=""/>
    <s v=""/>
    <s v=""/>
  </r>
  <r>
    <s v="Der_Ritter_und_die_Nuesse.csv"/>
    <s v="#Vrouwe"/>
    <x v="1"/>
    <s v="adel:edelfrau"/>
    <x v="3"/>
    <s v="ehefrau/betrueger"/>
    <x v="0"/>
    <x v="1"/>
    <x v="3"/>
    <n v="1.3333333333333299"/>
    <n v="0"/>
    <n v="9.375E-2"/>
    <n v="0.99244587365848402"/>
    <x v="4"/>
    <x v="1"/>
    <n v="1"/>
    <s v=""/>
    <s v=""/>
    <s v=""/>
    <s v=""/>
  </r>
  <r>
    <s v="Der_Ritter_und_die_Nuesse.csv"/>
    <s v="#Buoler"/>
    <x v="0"/>
    <s v="adel:ritter"/>
    <x v="3"/>
    <s v="betrueger"/>
    <x v="0"/>
    <x v="1"/>
    <x v="3"/>
    <n v="1.3333333333333299"/>
    <n v="0"/>
    <n v="0.115384615384615"/>
    <n v="0.87776385500983101"/>
    <x v="4"/>
    <x v="1"/>
    <n v="1"/>
    <s v=""/>
    <s v=""/>
    <s v=""/>
    <s v=""/>
  </r>
  <r>
    <s v="Der_Ritter_und_die_Nuesse.csv"/>
    <s v="#Kint"/>
    <x v="2"/>
    <s v="unbekannt"/>
    <x v="1"/>
    <s v="helfer"/>
    <x v="1"/>
    <x v="2"/>
    <x v="3"/>
    <n v="0.66666666666666696"/>
    <n v="0"/>
    <n v="0.12"/>
    <n v="0.11013647429705301"/>
    <x v="6"/>
    <x v="1"/>
    <s v=""/>
    <s v=""/>
    <s v=""/>
    <s v=""/>
    <s v=""/>
  </r>
  <r>
    <s v="Der_Ritter_unterm_Zuber.csv"/>
    <s v="#Buoler"/>
    <x v="0"/>
    <s v="adel:ritter"/>
    <x v="3"/>
    <s v="betrueger"/>
    <x v="0"/>
    <x v="1"/>
    <x v="3"/>
    <n v="2"/>
    <n v="0.36666666666666697"/>
    <n v="0.46153846153846201"/>
    <n v="0.78120374160726602"/>
    <x v="4"/>
    <x v="1"/>
    <n v="1"/>
    <s v=""/>
    <s v=""/>
    <s v=""/>
    <s v=""/>
  </r>
  <r>
    <s v="Der_Ritter_unterm_Zuber.csv"/>
    <s v="#Vrouwe"/>
    <x v="1"/>
    <s v="adel:edelfrau"/>
    <x v="3"/>
    <s v="ehefrau/betrueger"/>
    <x v="0"/>
    <x v="1"/>
    <x v="3"/>
    <n v="2"/>
    <n v="0"/>
    <n v="0.375"/>
    <n v="0.96975939188064597"/>
    <x v="4"/>
    <x v="1"/>
    <n v="1"/>
    <s v=""/>
    <s v=""/>
    <s v=""/>
    <s v=""/>
  </r>
  <r>
    <s v="Der_Ritter_unterm_Zuber.csv"/>
    <s v="#Ritter"/>
    <x v="0"/>
    <s v="adel:ritter"/>
    <x v="3"/>
    <s v="ehemann/betrogener"/>
    <x v="0"/>
    <x v="1"/>
    <x v="3"/>
    <n v="1.3333333333333299"/>
    <n v="0"/>
    <n v="0.35294117647058798"/>
    <n v="1"/>
    <x v="5"/>
    <x v="1"/>
    <s v=""/>
    <n v="2"/>
    <s v=""/>
    <s v=""/>
    <s v=""/>
  </r>
  <r>
    <s v="Der_Ritter_unterm_Zuber.csv"/>
    <s v="#Brueder-dri-des-ritters"/>
    <x v="2"/>
    <s v="adel:unbekannt"/>
    <x v="3"/>
    <s v="helfer"/>
    <x v="1"/>
    <x v="1"/>
    <x v="3"/>
    <n v="1.3333333333333299"/>
    <n v="0"/>
    <n v="0.35294117647058798"/>
    <n v="0.74385367297630001"/>
    <x v="6"/>
    <x v="1"/>
    <s v=""/>
    <s v=""/>
    <s v=""/>
    <s v=""/>
    <s v=""/>
  </r>
  <r>
    <s v="Der_Ritter_unterm_Zuber.csv"/>
    <s v="#Einer-der-bruider"/>
    <x v="0"/>
    <s v="adel:unbekannt"/>
    <x v="3"/>
    <s v="unbekannt"/>
    <x v="1"/>
    <x v="1"/>
    <x v="3"/>
    <n v="0.66666666666666696"/>
    <n v="6.6666666666666693E-2"/>
    <n v="0.375"/>
    <n v="9.3260720348378998E-2"/>
    <x v="3"/>
    <x v="1"/>
    <s v=""/>
    <s v=""/>
    <s v=""/>
    <s v=""/>
    <s v=""/>
  </r>
  <r>
    <s v="Der_Ritter_unterm_Zuber.csv"/>
    <s v="#Brot-bekkerin"/>
    <x v="1"/>
    <s v="buergerlich:baecker"/>
    <x v="3"/>
    <s v="helfer"/>
    <x v="1"/>
    <x v="3"/>
    <x v="3"/>
    <n v="1.6666666666666701"/>
    <n v="0.6"/>
    <n v="0.5"/>
    <n v="0.19488398705766499"/>
    <x v="6"/>
    <x v="1"/>
    <s v=""/>
    <s v=""/>
    <s v=""/>
    <s v=""/>
    <s v=""/>
  </r>
  <r>
    <s v="Der_Ritter_unterm_Zuber.csv"/>
    <s v="#Megede-der-bekkerin"/>
    <x v="1"/>
    <s v="buergerlich:magd"/>
    <x v="3"/>
    <s v="bote"/>
    <x v="1"/>
    <x v="3"/>
    <x v="3"/>
    <n v="1"/>
    <n v="0"/>
    <n v="0.35294117647058798"/>
    <n v="0.14654271480087999"/>
    <x v="12"/>
    <x v="1"/>
    <s v=""/>
    <s v=""/>
    <s v=""/>
    <s v=""/>
    <s v=""/>
  </r>
  <r>
    <s v="Der_Schlaegel.csv"/>
    <s v="#Koufman"/>
    <x v="0"/>
    <s v="buergerlich:kaufmann"/>
    <x v="2"/>
    <s v="betrogener"/>
    <x v="0"/>
    <x v="3"/>
    <x v="1"/>
    <n v="1.5714285714285701"/>
    <n v="0.21978021978022"/>
    <n v="0.4"/>
    <n v="1"/>
    <x v="5"/>
    <x v="1"/>
    <s v=""/>
    <n v="2"/>
    <s v=""/>
    <s v=""/>
    <s v=""/>
  </r>
  <r>
    <s v="Der_Schlaegel.csv"/>
    <s v="#Zweite-tochter"/>
    <x v="1"/>
    <s v="buergerlich:ehefrau"/>
    <x v="0"/>
    <s v="betrueger"/>
    <x v="0"/>
    <x v="3"/>
    <x v="1"/>
    <n v="1"/>
    <n v="0"/>
    <n v="0.34146341463414598"/>
    <n v="0.68258032424639303"/>
    <x v="4"/>
    <x v="1"/>
    <n v="1"/>
    <s v=""/>
    <s v=""/>
    <s v=""/>
    <s v=""/>
  </r>
  <r>
    <s v="Der_Schlaegel.csv"/>
    <s v="#Erste-tochter"/>
    <x v="1"/>
    <s v="buergerlich:ehefrau"/>
    <x v="0"/>
    <s v="betrueger"/>
    <x v="0"/>
    <x v="3"/>
    <x v="1"/>
    <n v="1"/>
    <n v="0"/>
    <n v="0.34146341463414598"/>
    <n v="0.67361884454360299"/>
    <x v="4"/>
    <x v="1"/>
    <n v="1"/>
    <s v=""/>
    <s v=""/>
    <s v=""/>
    <s v=""/>
  </r>
  <r>
    <s v="Der_Schlaegel.csv"/>
    <s v="#Erster-sun"/>
    <x v="0"/>
    <s v="buergerlich:kaufmann"/>
    <x v="0"/>
    <s v="betrueger"/>
    <x v="0"/>
    <x v="3"/>
    <x v="1"/>
    <n v="1.4285714285714299"/>
    <n v="0.31868131868131899"/>
    <n v="0.4"/>
    <n v="0.762272203631845"/>
    <x v="4"/>
    <x v="1"/>
    <n v="1"/>
    <s v=""/>
    <s v=""/>
    <s v=""/>
    <s v=""/>
  </r>
  <r>
    <s v="Der_Schlaegel.csv"/>
    <s v="#Zweiter-sun"/>
    <x v="0"/>
    <s v="buergerlich:kaufmann"/>
    <x v="0"/>
    <s v="betrueger"/>
    <x v="0"/>
    <x v="3"/>
    <x v="1"/>
    <n v="1.28571428571429"/>
    <n v="0.12637362637362601"/>
    <n v="0.37837837837837801"/>
    <n v="0.74841887681967501"/>
    <x v="4"/>
    <x v="1"/>
    <n v="1"/>
    <s v=""/>
    <s v=""/>
    <s v=""/>
    <s v=""/>
  </r>
  <r>
    <s v="Der_Schlaegel.csv"/>
    <s v="#Dritter-sun"/>
    <x v="0"/>
    <s v="buergerlich:kaufmann"/>
    <x v="0"/>
    <s v="betrueger"/>
    <x v="0"/>
    <x v="3"/>
    <x v="1"/>
    <n v="1.28571428571429"/>
    <n v="0.20329670329670299"/>
    <n v="0.38888888888888901"/>
    <n v="0.77167261148359301"/>
    <x v="4"/>
    <x v="1"/>
    <n v="1"/>
    <s v=""/>
    <s v=""/>
    <s v=""/>
    <s v=""/>
  </r>
  <r>
    <s v="Der_Schlaegel.csv"/>
    <s v="#Wip-des-koufmans"/>
    <x v="1"/>
    <s v="buergerlich:ehefrau"/>
    <x v="5"/>
    <s v="ehefrau"/>
    <x v="1"/>
    <x v="3"/>
    <x v="1"/>
    <n v="0.85714285714285698"/>
    <n v="0.63736263736263699"/>
    <n v="0.48275862068965503"/>
    <n v="5.00985771977304E-2"/>
    <x v="1"/>
    <x v="1"/>
    <s v=""/>
    <s v=""/>
    <s v=""/>
    <s v=""/>
    <s v=""/>
  </r>
  <r>
    <s v="Der_Schlaegel.csv"/>
    <s v="#Wip-des-zweiten"/>
    <x v="1"/>
    <s v="buergerlich:ehefrau"/>
    <x v="3"/>
    <s v="ehefrau"/>
    <x v="1"/>
    <x v="3"/>
    <x v="1"/>
    <n v="0.28571428571428598"/>
    <n v="0"/>
    <n v="0.29787234042553201"/>
    <n v="2.96841671453658E-2"/>
    <x v="1"/>
    <x v="1"/>
    <s v=""/>
    <s v=""/>
    <s v=""/>
    <s v=""/>
    <s v=""/>
  </r>
  <r>
    <s v="Der_Schlaegel.csv"/>
    <s v="#Wip-des-ersten"/>
    <x v="1"/>
    <s v="buergerlich:ehefrau"/>
    <x v="3"/>
    <s v="ehefrau"/>
    <x v="1"/>
    <x v="3"/>
    <x v="1"/>
    <n v="0.28571428571428598"/>
    <n v="0"/>
    <n v="0.20895522388059701"/>
    <n v="5.71000109438616E-2"/>
    <x v="1"/>
    <x v="1"/>
    <s v=""/>
    <s v=""/>
    <s v=""/>
    <s v=""/>
    <s v=""/>
  </r>
  <r>
    <s v="Der_Schlaegel.csv"/>
    <s v="#Wip-des-dritten"/>
    <x v="1"/>
    <s v="buergerlich:ehefrau"/>
    <x v="3"/>
    <s v="ehefrau"/>
    <x v="1"/>
    <x v="3"/>
    <x v="1"/>
    <n v="0.28571428571428598"/>
    <n v="0"/>
    <n v="0.20588235294117599"/>
    <n v="5.7404596915373501E-2"/>
    <x v="1"/>
    <x v="1"/>
    <s v=""/>
    <s v=""/>
    <s v=""/>
    <s v=""/>
    <s v=""/>
  </r>
  <r>
    <s v="Der_Schlaegel.csv"/>
    <s v="#Burgaer"/>
    <x v="0"/>
    <s v="buergerlich:kaufmann"/>
    <x v="3"/>
    <s v="helfer"/>
    <x v="1"/>
    <x v="3"/>
    <x v="1"/>
    <n v="0.85714285714285698"/>
    <n v="0"/>
    <n v="0.18181818181818199"/>
    <n v="0.33127928152897801"/>
    <x v="6"/>
    <x v="1"/>
    <s v=""/>
    <s v=""/>
    <s v=""/>
    <s v=""/>
    <s v=""/>
  </r>
  <r>
    <s v="Der_Schlaegel.csv"/>
    <s v="#Torwertel"/>
    <x v="0"/>
    <s v="buergerlich:torwaechter"/>
    <x v="3"/>
    <s v="unbekannt"/>
    <x v="1"/>
    <x v="3"/>
    <x v="1"/>
    <n v="0.14285714285714299"/>
    <n v="0"/>
    <n v="0.29166666666666702"/>
    <n v="8.2328846209414903E-3"/>
    <x v="3"/>
    <x v="1"/>
    <s v=""/>
    <s v=""/>
    <s v=""/>
    <s v=""/>
    <s v=""/>
  </r>
  <r>
    <s v="Der_Schlaegel.csv"/>
    <s v="#Kneht-des-ersten"/>
    <x v="0"/>
    <s v="buergerlich:knecht"/>
    <x v="3"/>
    <s v="unbekannt"/>
    <x v="1"/>
    <x v="3"/>
    <x v="1"/>
    <n v="0.14285714285714299"/>
    <n v="0"/>
    <n v="0.29166666666666702"/>
    <n v="8.2328846209414903E-3"/>
    <x v="3"/>
    <x v="1"/>
    <s v=""/>
    <s v=""/>
    <s v=""/>
    <s v=""/>
    <s v=""/>
  </r>
  <r>
    <s v="Der_Schlaegel.csv"/>
    <s v="#Knecht-des-zweiten"/>
    <x v="0"/>
    <s v="buergerlich:knecht"/>
    <x v="3"/>
    <s v="unbekannt"/>
    <x v="1"/>
    <x v="3"/>
    <x v="1"/>
    <n v="0.28571428571428598"/>
    <n v="0"/>
    <n v="0.30434782608695699"/>
    <n v="2.69669772096944E-2"/>
    <x v="3"/>
    <x v="1"/>
    <s v=""/>
    <s v=""/>
    <s v=""/>
    <s v=""/>
    <s v=""/>
  </r>
  <r>
    <s v="Der_Schlaegel.csv"/>
    <s v="#Magd-des-dritten"/>
    <x v="1"/>
    <s v="buergerlich:magd"/>
    <x v="3"/>
    <s v="unbekannt"/>
    <x v="1"/>
    <x v="3"/>
    <x v="1"/>
    <n v="0.14285714285714299"/>
    <n v="0"/>
    <n v="0.28571428571428598"/>
    <n v="8.3344132781121207E-3"/>
    <x v="3"/>
    <x v="1"/>
    <s v=""/>
    <s v=""/>
    <s v=""/>
    <s v=""/>
    <s v=""/>
  </r>
  <r>
    <s v="Der_Schueler_zu_Paris.csv"/>
    <s v="#Burgaere"/>
    <x v="0"/>
    <s v="buergerlich:buerger"/>
    <x v="2"/>
    <s v="unbekannt"/>
    <x v="1"/>
    <x v="3"/>
    <x v="2"/>
    <n v="0.22222222222222199"/>
    <n v="0"/>
    <n v="0.26470588235294101"/>
    <n v="1.8317626889649701E-2"/>
    <x v="3"/>
    <x v="2"/>
    <s v=""/>
    <s v=""/>
    <s v=""/>
    <s v=""/>
    <s v=""/>
  </r>
  <r>
    <s v="Der_Schueler_zu_Paris.csv"/>
    <s v="#Junc-vrouwe"/>
    <x v="1"/>
    <s v="buergerlich:unbekannt"/>
    <x v="0"/>
    <s v="liebende"/>
    <x v="0"/>
    <x v="3"/>
    <x v="2"/>
    <n v="1.7777777777777799"/>
    <n v="0.22222222222222199"/>
    <n v="0.34615384615384598"/>
    <n v="1"/>
    <x v="11"/>
    <x v="2"/>
    <s v=""/>
    <s v=""/>
    <s v=""/>
    <n v="4"/>
    <s v=""/>
  </r>
  <r>
    <s v="Der_Schueler_zu_Paris.csv"/>
    <s v="#Schuoler"/>
    <x v="0"/>
    <s v="buergerlich:schueler"/>
    <x v="0"/>
    <s v="liebender"/>
    <x v="0"/>
    <x v="3"/>
    <x v="2"/>
    <n v="1.55555555555556"/>
    <n v="0.194444444444444"/>
    <n v="0.375"/>
    <n v="0.97695490369002602"/>
    <x v="9"/>
    <x v="2"/>
    <s v=""/>
    <s v=""/>
    <n v="3"/>
    <s v=""/>
    <s v=""/>
  </r>
  <r>
    <s v="Der_Schueler_zu_Paris.csv"/>
    <s v="#Vater-der-vrouwe"/>
    <x v="0"/>
    <s v="buergerlich:unbekannt"/>
    <x v="2"/>
    <s v="gegenspieler"/>
    <x v="1"/>
    <x v="3"/>
    <x v="2"/>
    <n v="1.3333333333333299"/>
    <n v="0.43518518518518501"/>
    <n v="0.45"/>
    <n v="0.352728361443373"/>
    <x v="10"/>
    <x v="2"/>
    <s v=""/>
    <s v=""/>
    <s v=""/>
    <s v=""/>
    <n v="5"/>
  </r>
  <r>
    <s v="Der_Schueler_zu_Paris.csv"/>
    <s v="#Megede-dri"/>
    <x v="2"/>
    <s v="buergerlich:magd"/>
    <x v="3"/>
    <s v="unbekannt"/>
    <x v="1"/>
    <x v="3"/>
    <x v="2"/>
    <n v="0.88888888888888895"/>
    <n v="0.17592592592592601"/>
    <n v="0.45"/>
    <n v="0.117864473744484"/>
    <x v="3"/>
    <x v="2"/>
    <s v=""/>
    <s v=""/>
    <s v=""/>
    <s v=""/>
    <s v=""/>
  </r>
  <r>
    <s v="Der_Schueler_zu_Paris.csv"/>
    <s v="#Kellaerin"/>
    <x v="1"/>
    <s v="buergerlich:magd"/>
    <x v="3"/>
    <s v="helfer"/>
    <x v="1"/>
    <x v="3"/>
    <x v="2"/>
    <n v="1.1111111111111101"/>
    <n v="0.22222222222222199"/>
    <n v="0.375"/>
    <n v="0.127845645839436"/>
    <x v="6"/>
    <x v="2"/>
    <s v=""/>
    <s v=""/>
    <s v=""/>
    <s v=""/>
    <s v=""/>
  </r>
  <r>
    <s v="Der_Schueler_zu_Paris.csv"/>
    <s v="#Barvuoz"/>
    <x v="0"/>
    <s v="klerus:priester"/>
    <x v="3"/>
    <s v="helfer"/>
    <x v="1"/>
    <x v="4"/>
    <x v="2"/>
    <n v="0.66666666666666696"/>
    <n v="0"/>
    <n v="0.28125"/>
    <n v="0.20214719872273099"/>
    <x v="6"/>
    <x v="2"/>
    <s v=""/>
    <s v=""/>
    <s v=""/>
    <s v=""/>
    <s v=""/>
  </r>
  <r>
    <s v="Der_Schueler_zu_Paris.csv"/>
    <s v="#Knecht-des-schuelers"/>
    <x v="0"/>
    <s v="buergerlich:knecht"/>
    <x v="0"/>
    <s v="unbekannt"/>
    <x v="1"/>
    <x v="3"/>
    <x v="2"/>
    <n v="0.44444444444444398"/>
    <n v="0"/>
    <n v="0.28125"/>
    <n v="9.1166002972406304E-2"/>
    <x v="3"/>
    <x v="2"/>
    <s v=""/>
    <s v=""/>
    <s v=""/>
    <s v=""/>
    <s v=""/>
  </r>
  <r>
    <s v="Der_Schueler_zu_Paris.csv"/>
    <s v="#Wirt-des-schuelers"/>
    <x v="0"/>
    <s v="buergerlich:wirt"/>
    <x v="3"/>
    <s v="unbekannt"/>
    <x v="1"/>
    <x v="3"/>
    <x v="2"/>
    <n v="0.66666666666666696"/>
    <n v="0.37962962962962998"/>
    <n v="0.45"/>
    <n v="6.0569764235582003E-2"/>
    <x v="3"/>
    <x v="2"/>
    <s v=""/>
    <s v=""/>
    <s v=""/>
    <s v=""/>
    <s v=""/>
  </r>
  <r>
    <s v="Der_Schueler_zu_Paris.csv"/>
    <s v="#Vriund-des-vaters"/>
    <x v="2"/>
    <s v="unbekannt"/>
    <x v="3"/>
    <s v="unbekannt"/>
    <x v="1"/>
    <x v="2"/>
    <x v="2"/>
    <n v="0.22222222222222199"/>
    <n v="0"/>
    <n v="0.32142857142857101"/>
    <n v="6.4611465183172E-3"/>
    <x v="3"/>
    <x v="2"/>
    <s v=""/>
    <s v=""/>
    <s v=""/>
    <s v=""/>
    <s v=""/>
  </r>
  <r>
    <s v="Der_schwangere_Moench.csv"/>
    <s v="#Muench"/>
    <x v="0"/>
    <s v="klerus:moench"/>
    <x v="0"/>
    <s v="betrogener"/>
    <x v="0"/>
    <x v="4"/>
    <x v="1"/>
    <n v="2"/>
    <n v="0.125"/>
    <n v="0.38095238095238099"/>
    <n v="1"/>
    <x v="5"/>
    <x v="1"/>
    <s v=""/>
    <n v="2"/>
    <s v=""/>
    <s v=""/>
    <s v=""/>
  </r>
  <r>
    <s v="Der_schwangere_Moench.csv"/>
    <s v="#Apt"/>
    <x v="0"/>
    <s v="klerus:abt"/>
    <x v="3"/>
    <s v="unbekannt"/>
    <x v="1"/>
    <x v="4"/>
    <x v="1"/>
    <n v="1.75"/>
    <n v="0.33928571428571402"/>
    <n v="0.44444444444444398"/>
    <n v="0.51638670399931397"/>
    <x v="3"/>
    <x v="1"/>
    <s v=""/>
    <s v=""/>
    <s v=""/>
    <s v=""/>
    <s v=""/>
  </r>
  <r>
    <s v="Der_schwangere_Moench.csv"/>
    <s v="#Kneht[e-]"/>
    <x v="0"/>
    <s v="unbekannt:knecht"/>
    <x v="3"/>
    <s v="helfer"/>
    <x v="1"/>
    <x v="2"/>
    <x v="1"/>
    <n v="1"/>
    <n v="0"/>
    <n v="0.34782608695652201"/>
    <n v="0.61883230205109196"/>
    <x v="6"/>
    <x v="1"/>
    <s v=""/>
    <s v=""/>
    <s v=""/>
    <s v=""/>
    <s v=""/>
  </r>
  <r>
    <s v="Der_schwangere_Moench.csv"/>
    <s v="#Vrouwe"/>
    <x v="1"/>
    <s v="unbekannt"/>
    <x v="3"/>
    <s v="betrueger"/>
    <x v="1"/>
    <x v="2"/>
    <x v="1"/>
    <n v="1.25"/>
    <n v="0.26785714285714302"/>
    <n v="0.47058823529411797"/>
    <n v="0.68992518323229102"/>
    <x v="4"/>
    <x v="1"/>
    <n v="1"/>
    <s v=""/>
    <s v=""/>
    <s v=""/>
    <s v=""/>
  </r>
  <r>
    <s v="Der_schwangere_Moench.csv"/>
    <s v="#Man-der-vrouwe"/>
    <x v="0"/>
    <s v="unbekannt"/>
    <x v="3"/>
    <s v="ehemann"/>
    <x v="1"/>
    <x v="2"/>
    <x v="1"/>
    <n v="0.75"/>
    <n v="0.30357142857142899"/>
    <n v="0.44444444444444398"/>
    <n v="6.88296229739426E-2"/>
    <x v="0"/>
    <x v="1"/>
    <s v=""/>
    <s v=""/>
    <s v=""/>
    <s v=""/>
    <s v=""/>
  </r>
  <r>
    <s v="Der_schwangere_Moench.csv"/>
    <s v="#Muenche"/>
    <x v="2"/>
    <s v="klerus:moench"/>
    <x v="3"/>
    <s v="unbekannt"/>
    <x v="1"/>
    <x v="4"/>
    <x v="1"/>
    <n v="1"/>
    <n v="0.107142857142857"/>
    <n v="0.4"/>
    <n v="0.327618125355643"/>
    <x v="3"/>
    <x v="1"/>
    <s v=""/>
    <s v=""/>
    <s v=""/>
    <s v=""/>
    <s v=""/>
  </r>
  <r>
    <s v="Der_schwangere_Moench.csv"/>
    <s v="#Hof-man"/>
    <x v="0"/>
    <s v="bauer"/>
    <x v="3"/>
    <s v="unbekannt"/>
    <x v="1"/>
    <x v="5"/>
    <x v="1"/>
    <n v="0.5"/>
    <n v="8.9285714285714302E-2"/>
    <n v="0.36363636363636398"/>
    <n v="6.0601872719788299E-2"/>
    <x v="3"/>
    <x v="1"/>
    <s v=""/>
    <s v=""/>
    <s v=""/>
    <s v=""/>
    <s v=""/>
  </r>
  <r>
    <s v="Der_schwangere_Moench.csv"/>
    <s v="#Witwen-sun"/>
    <x v="0"/>
    <s v="unbekannt"/>
    <x v="3"/>
    <s v="unbekannt"/>
    <x v="1"/>
    <x v="2"/>
    <x v="1"/>
    <n v="0.5"/>
    <n v="0"/>
    <n v="0.25"/>
    <n v="0.20966391889111699"/>
    <x v="3"/>
    <x v="1"/>
    <s v=""/>
    <s v=""/>
    <s v=""/>
    <s v=""/>
    <s v=""/>
  </r>
  <r>
    <s v="Der_schwangere_Moench.csv"/>
    <s v="#Alter-muench"/>
    <x v="0"/>
    <s v="klerus:moench"/>
    <x v="2"/>
    <s v="bote"/>
    <x v="1"/>
    <x v="4"/>
    <x v="1"/>
    <n v="0.75"/>
    <n v="8.9285714285714302E-2"/>
    <n v="0.38095238095238099"/>
    <n v="0.23384868200828701"/>
    <x v="12"/>
    <x v="1"/>
    <s v=""/>
    <s v=""/>
    <s v=""/>
    <s v=""/>
    <s v=""/>
  </r>
  <r>
    <s v="Der_Sperber.csv"/>
    <s v="#Nonnen"/>
    <x v="2"/>
    <s v="klerus:nonne"/>
    <x v="3"/>
    <s v="unbekannt"/>
    <x v="1"/>
    <x v="4"/>
    <x v="2"/>
    <n v="2"/>
    <n v="0.66666666666666696"/>
    <n v="0.75"/>
    <n v="0.20164722966590601"/>
    <x v="3"/>
    <x v="1"/>
    <s v=""/>
    <s v=""/>
    <s v=""/>
    <s v=""/>
    <s v=""/>
  </r>
  <r>
    <s v="Der_Sperber.csv"/>
    <s v="#Schuole-meisterin"/>
    <x v="1"/>
    <s v="klerus:nonne"/>
    <x v="3"/>
    <s v="helfer"/>
    <x v="1"/>
    <x v="4"/>
    <x v="2"/>
    <n v="2"/>
    <n v="0"/>
    <n v="0.6"/>
    <n v="0.37344680002823999"/>
    <x v="6"/>
    <x v="1"/>
    <s v=""/>
    <s v=""/>
    <s v=""/>
    <s v=""/>
    <s v=""/>
  </r>
  <r>
    <s v="Der_Sperber.csv"/>
    <s v="#Junk-vrouwe"/>
    <x v="1"/>
    <s v="klerus:nonne"/>
    <x v="0"/>
    <s v="betrogener"/>
    <x v="0"/>
    <x v="4"/>
    <x v="2"/>
    <n v="2"/>
    <n v="0"/>
    <n v="0.375"/>
    <n v="1"/>
    <x v="5"/>
    <x v="1"/>
    <s v=""/>
    <n v="2"/>
    <s v=""/>
    <s v=""/>
    <s v=""/>
  </r>
  <r>
    <s v="Der_Sperber.csv"/>
    <s v="#Ritter"/>
    <x v="0"/>
    <s v="adel:ritter"/>
    <x v="3"/>
    <s v="betrueger"/>
    <x v="1"/>
    <x v="1"/>
    <x v="2"/>
    <n v="2"/>
    <n v="0"/>
    <n v="0.6"/>
    <n v="0.946112034569356"/>
    <x v="4"/>
    <x v="1"/>
    <n v="1"/>
    <s v=""/>
    <s v=""/>
    <s v=""/>
    <s v=""/>
  </r>
  <r>
    <s v="Der_unbelehrbare_Zecher.csv"/>
    <s v="#Wines-slunt"/>
    <x v="0"/>
    <s v="unbekannt"/>
    <x v="3"/>
    <s v="unbekannt"/>
    <x v="0"/>
    <x v="2"/>
    <x v="1"/>
    <n v="0"/>
    <n v="0"/>
    <n v="0"/>
    <n v="0"/>
    <x v="3"/>
    <x v="1"/>
    <s v=""/>
    <s v=""/>
    <s v=""/>
    <s v=""/>
    <s v=""/>
  </r>
  <r>
    <s v="Der_unbelehrbare_Zecher.csv"/>
    <s v="#Freunt"/>
    <x v="0"/>
    <s v="unbekannt"/>
    <x v="3"/>
    <s v="gegenspieler"/>
    <x v="0"/>
    <x v="2"/>
    <x v="1"/>
    <n v="0"/>
    <n v="0"/>
    <n v="0"/>
    <n v="0"/>
    <x v="10"/>
    <x v="1"/>
    <s v=""/>
    <s v=""/>
    <s v=""/>
    <s v=""/>
    <n v="5"/>
  </r>
  <r>
    <s v="Der_verkehrte_Wirt.csv"/>
    <s v="#Ritter"/>
    <x v="0"/>
    <s v="adel:ritter"/>
    <x v="2"/>
    <s v="ehemann/betrogener"/>
    <x v="0"/>
    <x v="1"/>
    <x v="3"/>
    <n v="1.5"/>
    <n v="0"/>
    <n v="0.16"/>
    <n v="1"/>
    <x v="5"/>
    <x v="1"/>
    <s v=""/>
    <n v="2"/>
    <s v=""/>
    <s v=""/>
    <s v=""/>
  </r>
  <r>
    <s v="Der_verkehrte_Wirt.csv"/>
    <s v="#Wip"/>
    <x v="1"/>
    <s v="adel:edelfrau"/>
    <x v="3"/>
    <s v="ehefrau/betrueger"/>
    <x v="0"/>
    <x v="1"/>
    <x v="3"/>
    <n v="2"/>
    <n v="0.33333333333333298"/>
    <n v="0.25"/>
    <n v="0.99954369641468699"/>
    <x v="4"/>
    <x v="1"/>
    <n v="1"/>
    <s v=""/>
    <s v=""/>
    <s v=""/>
    <s v=""/>
  </r>
  <r>
    <s v="Der_verkehrte_Wirt.csv"/>
    <s v="#Buoler"/>
    <x v="0"/>
    <s v="adel:ritter"/>
    <x v="3"/>
    <s v="betrueger"/>
    <x v="1"/>
    <x v="1"/>
    <x v="3"/>
    <n v="1.5"/>
    <n v="0.33333333333333298"/>
    <n v="0.25"/>
    <n v="0.44449245889201999"/>
    <x v="4"/>
    <x v="1"/>
    <n v="1"/>
    <s v=""/>
    <s v=""/>
    <s v=""/>
    <s v=""/>
  </r>
  <r>
    <s v="Der_verkehrte_Wirt.csv"/>
    <s v="#Bote"/>
    <x v="0"/>
    <s v="unbekannt"/>
    <x v="3"/>
    <s v="bote"/>
    <x v="1"/>
    <x v="2"/>
    <x v="3"/>
    <n v="1"/>
    <n v="0.5"/>
    <n v="0.266666666666667"/>
    <n v="5.8059205976879698E-2"/>
    <x v="12"/>
    <x v="1"/>
    <s v=""/>
    <s v=""/>
    <s v=""/>
    <s v=""/>
    <s v=""/>
  </r>
  <r>
    <s v="Der_verkehrte_Wirt.csv"/>
    <s v="#Gevaterin"/>
    <x v="1"/>
    <s v="unbekannt"/>
    <x v="3"/>
    <s v="helfer"/>
    <x v="1"/>
    <x v="2"/>
    <x v="3"/>
    <n v="1"/>
    <n v="0"/>
    <n v="0.14285714285714299"/>
    <n v="0.52257051818489497"/>
    <x v="6"/>
    <x v="1"/>
    <s v=""/>
    <s v=""/>
    <s v=""/>
    <s v=""/>
    <s v=""/>
  </r>
  <r>
    <s v="Der_wahrsagende_Baum.csv"/>
    <s v="#Man"/>
    <x v="0"/>
    <s v="unbekannt"/>
    <x v="3"/>
    <s v="ehemann"/>
    <x v="0"/>
    <x v="2"/>
    <x v="3"/>
    <n v="0"/>
    <n v="0"/>
    <n v="0"/>
    <n v="0"/>
    <x v="0"/>
    <x v="1"/>
    <s v=""/>
    <s v=""/>
    <s v=""/>
    <s v=""/>
    <s v=""/>
  </r>
  <r>
    <s v="Der_wahrsagende_Baum.csv"/>
    <s v="#Wip"/>
    <x v="1"/>
    <s v="unbekannt"/>
    <x v="3"/>
    <s v="ehefrau"/>
    <x v="0"/>
    <x v="2"/>
    <x v="3"/>
    <n v="0"/>
    <n v="0"/>
    <n v="0"/>
    <n v="0"/>
    <x v="1"/>
    <x v="1"/>
    <s v=""/>
    <s v=""/>
    <s v=""/>
    <s v=""/>
    <s v=""/>
  </r>
  <r>
    <s v="Der_weiße_Rosendorn.csv"/>
    <s v="#Junk-vrouw"/>
    <x v="1"/>
    <s v="unbekannt"/>
    <x v="3"/>
    <s v="gegenspieler"/>
    <x v="0"/>
    <x v="2"/>
    <x v="1"/>
    <n v="0"/>
    <n v="0"/>
    <n v="0"/>
    <n v="0"/>
    <x v="10"/>
    <x v="3"/>
    <s v=""/>
    <s v=""/>
    <s v=""/>
    <s v=""/>
    <n v="5"/>
  </r>
  <r>
    <s v="Der_weiße_Rosendorn.csv"/>
    <s v="#Vut"/>
    <x v="4"/>
    <s v="NA"/>
    <x v="4"/>
    <s v="gegenspieler"/>
    <x v="0"/>
    <x v="0"/>
    <x v="1"/>
    <n v="0"/>
    <n v="0"/>
    <n v="0"/>
    <n v="0"/>
    <x v="10"/>
    <x v="3"/>
    <s v=""/>
    <s v=""/>
    <s v=""/>
    <s v=""/>
    <n v="5"/>
  </r>
  <r>
    <s v="Der_weiße_Rosendorn.csv"/>
    <s v="#Schuoler"/>
    <x v="0"/>
    <s v="buergerlich:schueler"/>
    <x v="3"/>
    <s v="unbekannt"/>
    <x v="1"/>
    <x v="3"/>
    <x v="1"/>
    <n v="0"/>
    <n v="0"/>
    <n v="0"/>
    <n v="0"/>
    <x v="3"/>
    <x v="3"/>
    <s v=""/>
    <s v=""/>
    <s v=""/>
    <s v=""/>
    <s v=""/>
  </r>
  <r>
    <s v="Der_Welt_Lohn.csv"/>
    <s v="#Her-Wirent-da-von-Gravenberk"/>
    <x v="0"/>
    <s v="adel:ritter"/>
    <x v="3"/>
    <s v="unbekannt"/>
    <x v="0"/>
    <x v="1"/>
    <x v="1"/>
    <n v="0"/>
    <n v="0"/>
    <n v="0"/>
    <n v="0"/>
    <x v="3"/>
    <x v="0"/>
    <s v=""/>
    <s v=""/>
    <s v=""/>
    <s v=""/>
    <s v=""/>
  </r>
  <r>
    <s v="Der_Welt_Lohn.csv"/>
    <s v="#Werlt"/>
    <x v="1"/>
    <s v="NA"/>
    <x v="4"/>
    <s v="unbekannt"/>
    <x v="0"/>
    <x v="0"/>
    <x v="1"/>
    <n v="0"/>
    <n v="0"/>
    <n v="0"/>
    <n v="0"/>
    <x v="3"/>
    <x v="0"/>
    <s v=""/>
    <s v=""/>
    <s v=""/>
    <s v=""/>
    <s v=""/>
  </r>
  <r>
    <s v="Der_Weltheilige.csv"/>
    <s v="#Luoderaere"/>
    <x v="0"/>
    <s v="unbekannt"/>
    <x v="3"/>
    <s v="betrueger"/>
    <x v="0"/>
    <x v="2"/>
    <x v="1"/>
    <n v="2"/>
    <n v="0.7"/>
    <n v="0.45454545454545497"/>
    <n v="1"/>
    <x v="4"/>
    <x v="1"/>
    <n v="1"/>
    <s v=""/>
    <s v=""/>
    <s v=""/>
    <s v=""/>
  </r>
  <r>
    <s v="Der_Weltheilige.csv"/>
    <s v="#Vriunden"/>
    <x v="2"/>
    <s v="unbekannt"/>
    <x v="3"/>
    <s v="unbekannt"/>
    <x v="1"/>
    <x v="2"/>
    <x v="1"/>
    <n v="0.8"/>
    <n v="0"/>
    <n v="0.217391304347826"/>
    <n v="0.67150236807641095"/>
    <x v="3"/>
    <x v="1"/>
    <s v=""/>
    <s v=""/>
    <s v=""/>
    <s v=""/>
    <s v=""/>
  </r>
  <r>
    <s v="Der_Weltheilige.csv"/>
    <s v="#Pfaffe"/>
    <x v="0"/>
    <s v="klerus:pfarrer"/>
    <x v="3"/>
    <s v="unbekannt"/>
    <x v="1"/>
    <x v="4"/>
    <x v="1"/>
    <n v="0.8"/>
    <n v="0.4"/>
    <n v="0.33333333333333298"/>
    <n v="0.29570716340551501"/>
    <x v="3"/>
    <x v="1"/>
    <s v=""/>
    <s v=""/>
    <s v=""/>
    <s v=""/>
    <s v=""/>
  </r>
  <r>
    <s v="Der_Weltheilige.csv"/>
    <s v="#Wip-1"/>
    <x v="1"/>
    <s v="unbekannt"/>
    <x v="3"/>
    <s v="helfer"/>
    <x v="1"/>
    <x v="2"/>
    <x v="1"/>
    <n v="1.2"/>
    <n v="0"/>
    <n v="0.3125"/>
    <n v="0.73116852160074197"/>
    <x v="6"/>
    <x v="1"/>
    <s v=""/>
    <s v=""/>
    <s v=""/>
    <s v=""/>
    <s v=""/>
  </r>
  <r>
    <s v="Der_Weltheilige.csv"/>
    <s v="#Knecht-von-wip-1"/>
    <x v="0"/>
    <s v="unbekannt:knecht"/>
    <x v="3"/>
    <s v="begleiter"/>
    <x v="1"/>
    <x v="2"/>
    <x v="1"/>
    <n v="0.8"/>
    <n v="0.3"/>
    <n v="0.38461538461538503"/>
    <n v="0.15313138128802001"/>
    <x v="14"/>
    <x v="1"/>
    <s v=""/>
    <s v=""/>
    <s v=""/>
    <s v=""/>
    <s v=""/>
  </r>
  <r>
    <s v="Der_Weltheilige.csv"/>
    <s v="#Wip-2"/>
    <x v="1"/>
    <s v="unbekannt"/>
    <x v="3"/>
    <s v="unbekannt"/>
    <x v="1"/>
    <x v="2"/>
    <x v="1"/>
    <n v="0.8"/>
    <n v="0"/>
    <n v="0.27777777777777801"/>
    <n v="0.37093864148094902"/>
    <x v="3"/>
    <x v="1"/>
    <s v=""/>
    <s v=""/>
    <s v=""/>
    <s v=""/>
    <s v=""/>
  </r>
  <r>
    <s v="Der_Wiener_Meerfahrt.csv"/>
    <s v="#Burgaere"/>
    <x v="2"/>
    <s v="buergerlich:unbekannt"/>
    <x v="3"/>
    <s v="betrueger"/>
    <x v="0"/>
    <x v="3"/>
    <x v="1"/>
    <n v="1.6923076923076901"/>
    <n v="0.354700854700855"/>
    <n v="0.29545454545454503"/>
    <n v="1"/>
    <x v="4"/>
    <x v="1"/>
    <n v="1"/>
    <s v=""/>
    <s v=""/>
    <s v=""/>
    <s v=""/>
  </r>
  <r>
    <s v="Der_Wiener_Meerfahrt.csv"/>
    <s v="#Wirt"/>
    <x v="0"/>
    <s v="buergerlich:wirt"/>
    <x v="3"/>
    <s v="unbekannt"/>
    <x v="1"/>
    <x v="3"/>
    <x v="1"/>
    <n v="0.46153846153846201"/>
    <n v="0"/>
    <n v="0.22807017543859601"/>
    <n v="0.171088408347843"/>
    <x v="3"/>
    <x v="1"/>
    <s v=""/>
    <s v=""/>
    <s v=""/>
    <s v=""/>
    <s v=""/>
  </r>
  <r>
    <s v="Der_Wiener_Meerfahrt.csv"/>
    <s v="#Einer"/>
    <x v="0"/>
    <s v="buergerlich:unbekannt"/>
    <x v="3"/>
    <s v="unbekannt"/>
    <x v="1"/>
    <x v="3"/>
    <x v="1"/>
    <n v="0.76923076923076905"/>
    <n v="2.6068376068376101E-2"/>
    <n v="0.245283018867925"/>
    <n v="0.53880985936399495"/>
    <x v="3"/>
    <x v="1"/>
    <s v=""/>
    <s v=""/>
    <s v=""/>
    <s v=""/>
    <s v=""/>
  </r>
  <r>
    <s v="Der_Wiener_Meerfahrt.csv"/>
    <s v="#Ein-ander"/>
    <x v="0"/>
    <s v="buergerlich:unbekannt"/>
    <x v="3"/>
    <s v="unbekannt"/>
    <x v="1"/>
    <x v="3"/>
    <x v="1"/>
    <n v="0.92307692307692302"/>
    <n v="4.6153846153846101E-2"/>
    <n v="0.25490196078431399"/>
    <n v="0.442325029869159"/>
    <x v="3"/>
    <x v="1"/>
    <s v=""/>
    <s v=""/>
    <s v=""/>
    <s v=""/>
    <s v=""/>
  </r>
  <r>
    <s v="Der_Wiener_Meerfahrt.csv"/>
    <s v="#Schribaere"/>
    <x v="0"/>
    <s v="buergerlich:schreiber"/>
    <x v="3"/>
    <s v="unbekannt"/>
    <x v="1"/>
    <x v="3"/>
    <x v="1"/>
    <n v="0.76923076923076905"/>
    <n v="6.7307692307692304E-2"/>
    <n v="0.26"/>
    <n v="0.33076300976294698"/>
    <x v="3"/>
    <x v="1"/>
    <s v=""/>
    <s v=""/>
    <s v=""/>
    <s v=""/>
    <s v=""/>
  </r>
  <r>
    <s v="Der_Wiener_Meerfahrt.csv"/>
    <s v="#Ein-burger"/>
    <x v="0"/>
    <s v="buergerlich:unbekannt"/>
    <x v="3"/>
    <s v="unbekannt"/>
    <x v="1"/>
    <x v="3"/>
    <x v="1"/>
    <n v="0.30769230769230799"/>
    <n v="4.48717948717949E-2"/>
    <n v="0.25490196078431399"/>
    <n v="9.2309779935597094E-2"/>
    <x v="3"/>
    <x v="1"/>
    <s v=""/>
    <s v=""/>
    <s v=""/>
    <s v=""/>
    <s v=""/>
  </r>
  <r>
    <s v="Der_Wiener_Meerfahrt.csv"/>
    <s v="#Einer-2"/>
    <x v="0"/>
    <s v="buergerlich:unbekannt"/>
    <x v="3"/>
    <s v="unbekannt"/>
    <x v="1"/>
    <x v="3"/>
    <x v="1"/>
    <n v="0.15384615384615399"/>
    <n v="0"/>
    <n v="7.69230769230769E-2"/>
    <n v="4.0528826699823401E-17"/>
    <x v="3"/>
    <x v="1"/>
    <s v=""/>
    <s v=""/>
    <s v=""/>
    <s v=""/>
    <s v=""/>
  </r>
  <r>
    <s v="Der_Wiener_Meerfahrt.csv"/>
    <s v="#Dri-buerger"/>
    <x v="2"/>
    <s v="buergerlich:unbekannt"/>
    <x v="3"/>
    <s v="unbekannt"/>
    <x v="1"/>
    <x v="3"/>
    <x v="1"/>
    <n v="0.15384615384615399"/>
    <n v="0"/>
    <n v="7.69230769230769E-2"/>
    <n v="4.5273225956579E-17"/>
    <x v="3"/>
    <x v="1"/>
    <s v=""/>
    <s v=""/>
    <s v=""/>
    <s v=""/>
    <s v=""/>
  </r>
  <r>
    <s v="Der_Wiener_Meerfahrt.csv"/>
    <s v="#Richer-burger"/>
    <x v="0"/>
    <s v="buergerlich:unbekannt"/>
    <x v="3"/>
    <s v="betrogener"/>
    <x v="0"/>
    <x v="3"/>
    <x v="1"/>
    <n v="1.07692307692308"/>
    <n v="6.41025641025641E-3"/>
    <n v="0.25"/>
    <n v="0.83713576155104497"/>
    <x v="5"/>
    <x v="1"/>
    <s v=""/>
    <n v="2"/>
    <s v=""/>
    <s v=""/>
    <s v=""/>
  </r>
  <r>
    <s v="Der_Wiener_Meerfahrt.csv"/>
    <s v="#Dritte"/>
    <x v="0"/>
    <s v="buergerlich:unbekannt"/>
    <x v="3"/>
    <s v="unbekannt"/>
    <x v="1"/>
    <x v="3"/>
    <x v="1"/>
    <n v="0.61538461538461497"/>
    <n v="4.6367521367521397E-2"/>
    <n v="0.27083333333333298"/>
    <n v="0.145465960922014"/>
    <x v="3"/>
    <x v="1"/>
    <s v=""/>
    <s v=""/>
    <s v=""/>
    <s v=""/>
    <s v=""/>
  </r>
  <r>
    <s v="Der_Wiener_Meerfahrt.csv"/>
    <s v="#Vierde"/>
    <x v="0"/>
    <s v="buergerlich:unbekannt"/>
    <x v="3"/>
    <s v="unbekannt"/>
    <x v="1"/>
    <x v="3"/>
    <x v="1"/>
    <n v="0.61538461538461497"/>
    <n v="4.6367521367521397E-2"/>
    <n v="0.27083333333333298"/>
    <n v="0.145465960922014"/>
    <x v="3"/>
    <x v="1"/>
    <s v=""/>
    <s v=""/>
    <s v=""/>
    <s v=""/>
    <s v=""/>
  </r>
  <r>
    <s v="Der_Wiener_Meerfahrt.csv"/>
    <s v="#Vijnfte"/>
    <x v="0"/>
    <s v="buergerlich:unbekannt"/>
    <x v="3"/>
    <s v="unbekannt"/>
    <x v="1"/>
    <x v="3"/>
    <x v="1"/>
    <n v="0.15384615384615399"/>
    <n v="0"/>
    <n v="0.240740740740741"/>
    <n v="5.9987775210739502E-2"/>
    <x v="3"/>
    <x v="1"/>
    <s v=""/>
    <s v=""/>
    <s v=""/>
    <s v=""/>
    <s v=""/>
  </r>
  <r>
    <s v="Der_Wiener_Meerfahrt.csv"/>
    <s v="#Nuechterne"/>
    <x v="2"/>
    <s v="buergerlich:unbekannt"/>
    <x v="3"/>
    <s v="unbekannt"/>
    <x v="1"/>
    <x v="3"/>
    <x v="1"/>
    <n v="0.61538461538461497"/>
    <n v="0.111538461538462"/>
    <n v="0.27659574468085102"/>
    <n v="0.19052854903915101"/>
    <x v="3"/>
    <x v="1"/>
    <s v=""/>
    <s v=""/>
    <s v=""/>
    <s v=""/>
    <s v=""/>
  </r>
  <r>
    <s v="Der_Wiener_Meerfahrt.csv"/>
    <s v="#Vriunde-des-richen"/>
    <x v="2"/>
    <s v="buergerlich:unbekannt"/>
    <x v="3"/>
    <s v="gegenspieler"/>
    <x v="1"/>
    <x v="3"/>
    <x v="1"/>
    <n v="0.30769230769230799"/>
    <n v="0"/>
    <n v="0.245283018867925"/>
    <n v="0.16042359898033001"/>
    <x v="10"/>
    <x v="1"/>
    <s v=""/>
    <s v=""/>
    <s v=""/>
    <s v=""/>
    <n v="5"/>
  </r>
  <r>
    <s v="Des_Bruders_Felix_Verzueckung.csv"/>
    <s v="#Felix"/>
    <x v="0"/>
    <s v="klerus:moench"/>
    <x v="3"/>
    <s v="unbekannt"/>
    <x v="0"/>
    <x v="4"/>
    <x v="1"/>
    <n v="2"/>
    <n v="0"/>
    <n v="0.44444444444444398"/>
    <n v="1"/>
    <x v="3"/>
    <x v="0"/>
    <s v=""/>
    <s v=""/>
    <s v=""/>
    <s v=""/>
    <s v=""/>
  </r>
  <r>
    <s v="Des_Bruders_Felix_Verzueckung.csv"/>
    <s v="#Pfortenaere"/>
    <x v="0"/>
    <s v="klerus:pfortner"/>
    <x v="3"/>
    <s v="gegenspieler"/>
    <x v="1"/>
    <x v="4"/>
    <x v="1"/>
    <n v="1"/>
    <n v="0"/>
    <n v="0.4"/>
    <n v="0.46203707670192201"/>
    <x v="10"/>
    <x v="0"/>
    <s v=""/>
    <s v=""/>
    <s v=""/>
    <s v=""/>
    <n v="5"/>
  </r>
  <r>
    <s v="Des_Bruders_Felix_Verzueckung.csv"/>
    <s v="#Apt"/>
    <x v="0"/>
    <s v="klerus:abt"/>
    <x v="3"/>
    <s v="unbekannt"/>
    <x v="1"/>
    <x v="4"/>
    <x v="1"/>
    <n v="2"/>
    <n v="0.33333333333333298"/>
    <n v="0.5"/>
    <n v="0.96406043082997095"/>
    <x v="3"/>
    <x v="0"/>
    <s v=""/>
    <s v=""/>
    <s v=""/>
    <s v=""/>
    <s v=""/>
  </r>
  <r>
    <s v="Des_Bruders_Felix_Verzueckung.csv"/>
    <s v="#Eldisten"/>
    <x v="2"/>
    <s v="klerus:moench"/>
    <x v="3"/>
    <s v="unbekannt"/>
    <x v="1"/>
    <x v="4"/>
    <x v="1"/>
    <n v="1.5"/>
    <n v="0"/>
    <n v="0.5"/>
    <n v="0.50448143521806499"/>
    <x v="3"/>
    <x v="0"/>
    <s v=""/>
    <s v=""/>
    <s v=""/>
    <s v=""/>
    <s v=""/>
  </r>
  <r>
    <s v="Des_Bruders_Felix_Verzueckung.csv"/>
    <s v="#Muench"/>
    <x v="0"/>
    <s v="klerus:moench"/>
    <x v="2"/>
    <s v="helfer"/>
    <x v="1"/>
    <x v="4"/>
    <x v="1"/>
    <n v="1.5"/>
    <n v="0.25"/>
    <n v="0.57142857142857095"/>
    <n v="0.400092167716463"/>
    <x v="6"/>
    <x v="0"/>
    <s v=""/>
    <s v=""/>
    <s v=""/>
    <s v=""/>
    <s v=""/>
  </r>
  <r>
    <s v="Die_alte_Mutter_und_Kaiser_Friedrich.csv"/>
    <s v="#Keiser-Vridrich"/>
    <x v="0"/>
    <s v="adel:kaiser"/>
    <x v="3"/>
    <s v="helfer"/>
    <x v="1"/>
    <x v="1"/>
    <x v="1"/>
    <n v="1.1111111111111101"/>
    <n v="7.6388888888888895E-2"/>
    <n v="0.33333333333333298"/>
    <n v="0.68078474513314302"/>
    <x v="6"/>
    <x v="1"/>
    <s v=""/>
    <s v=""/>
    <s v=""/>
    <s v=""/>
    <s v=""/>
  </r>
  <r>
    <s v="Die_alte_Mutter_und_Kaiser_Friedrich.csv"/>
    <s v="#Fremder-ritter"/>
    <x v="0"/>
    <s v="adel:ritter"/>
    <x v="3"/>
    <s v="betrogener"/>
    <x v="0"/>
    <x v="1"/>
    <x v="1"/>
    <n v="1.55555555555556"/>
    <n v="5.7870370370370398E-2"/>
    <n v="0.36"/>
    <n v="0.88699304273590596"/>
    <x v="5"/>
    <x v="1"/>
    <s v=""/>
    <n v="2"/>
    <s v=""/>
    <s v=""/>
    <s v=""/>
  </r>
  <r>
    <s v="Die_alte_Mutter_und_Kaiser_Friedrich.csv"/>
    <s v="#Muoter"/>
    <x v="1"/>
    <s v="adel:edelfrau"/>
    <x v="2"/>
    <s v="betrogener"/>
    <x v="0"/>
    <x v="1"/>
    <x v="1"/>
    <n v="1.7777777777777799"/>
    <n v="0.26388888888888901"/>
    <n v="0.39130434782608697"/>
    <n v="1"/>
    <x v="5"/>
    <x v="1"/>
    <s v=""/>
    <n v="2"/>
    <s v=""/>
    <s v=""/>
    <s v=""/>
  </r>
  <r>
    <s v="Die_alte_Mutter_und_Kaiser_Friedrich.csv"/>
    <s v="#Ein-ritter"/>
    <x v="0"/>
    <s v="adel:ritter"/>
    <x v="3"/>
    <s v="unbekannt"/>
    <x v="1"/>
    <x v="1"/>
    <x v="1"/>
    <n v="0"/>
    <n v="0"/>
    <n v="0.1"/>
    <n v="0"/>
    <x v="3"/>
    <x v="1"/>
    <s v=""/>
    <s v=""/>
    <s v=""/>
    <s v=""/>
    <s v=""/>
  </r>
  <r>
    <s v="Die_alte_Mutter_und_Kaiser_Friedrich.csv"/>
    <s v="#Liute"/>
    <x v="2"/>
    <s v="unbekannt"/>
    <x v="3"/>
    <s v="unbekannt"/>
    <x v="1"/>
    <x v="2"/>
    <x v="1"/>
    <n v="0.88888888888888895"/>
    <n v="0"/>
    <n v="0.3"/>
    <n v="0.27620196624966498"/>
    <x v="3"/>
    <x v="1"/>
    <s v=""/>
    <s v=""/>
    <s v=""/>
    <s v=""/>
    <s v=""/>
  </r>
  <r>
    <s v="Die_alte_Mutter_und_Kaiser_Friedrich.csv"/>
    <s v="#Man-der-muoter"/>
    <x v="0"/>
    <s v="adel:unbekannt"/>
    <x v="5"/>
    <s v="unbekannt"/>
    <x v="1"/>
    <x v="1"/>
    <x v="1"/>
    <n v="0.44444444444444398"/>
    <n v="3.4722222222222203E-2"/>
    <n v="0.33333333333333298"/>
    <n v="5.0943220616632798E-2"/>
    <x v="3"/>
    <x v="1"/>
    <s v=""/>
    <s v=""/>
    <s v=""/>
    <s v=""/>
    <s v=""/>
  </r>
  <r>
    <s v="Die_alte_Mutter_und_Kaiser_Friedrich.csv"/>
    <s v="#Sun"/>
    <x v="0"/>
    <s v="adel:ritter"/>
    <x v="0"/>
    <s v="betrueger"/>
    <x v="0"/>
    <x v="1"/>
    <x v="1"/>
    <n v="1.3333333333333299"/>
    <n v="8.7962962962963007E-2"/>
    <n v="0.34615384615384598"/>
    <n v="0.59414139280215195"/>
    <x v="4"/>
    <x v="1"/>
    <n v="1"/>
    <s v=""/>
    <s v=""/>
    <s v=""/>
    <s v=""/>
  </r>
  <r>
    <s v="Die_alte_Mutter_und_Kaiser_Friedrich.csv"/>
    <s v="#Herre"/>
    <x v="0"/>
    <s v="unbekannt"/>
    <x v="3"/>
    <s v="unbekannt"/>
    <x v="1"/>
    <x v="2"/>
    <x v="1"/>
    <n v="0.66666666666666696"/>
    <n v="0.101851851851852"/>
    <n v="0.36"/>
    <n v="7.928843670947E-2"/>
    <x v="3"/>
    <x v="1"/>
    <s v=""/>
    <s v=""/>
    <s v=""/>
    <s v=""/>
    <s v=""/>
  </r>
  <r>
    <s v="Die_alte_Mutter_und_Kaiser_Friedrich.csv"/>
    <s v="#Ein-ritter-2"/>
    <x v="0"/>
    <s v="adel:ritter"/>
    <x v="3"/>
    <s v="unbekannt"/>
    <x v="1"/>
    <x v="1"/>
    <x v="1"/>
    <n v="0.66666666666666696"/>
    <n v="0.180555555555556"/>
    <n v="0.375"/>
    <n v="8.2057257237367898E-2"/>
    <x v="3"/>
    <x v="1"/>
    <s v=""/>
    <s v=""/>
    <s v=""/>
    <s v=""/>
    <s v=""/>
  </r>
  <r>
    <s v="Die_alte_Mutter_und_Kaiser_Friedrich.csv"/>
    <s v="#Schar-des-suns"/>
    <x v="2"/>
    <s v="unbekannt"/>
    <x v="3"/>
    <s v="unbekannt"/>
    <x v="1"/>
    <x v="2"/>
    <x v="1"/>
    <n v="0.44444444444444398"/>
    <n v="0"/>
    <n v="0.31034482758620702"/>
    <n v="8.8646958028771594E-2"/>
    <x v="3"/>
    <x v="1"/>
    <s v=""/>
    <s v=""/>
    <s v=""/>
    <s v=""/>
    <s v=""/>
  </r>
  <r>
    <s v="Die_Beichte.csv"/>
    <s v="#Man"/>
    <x v="0"/>
    <s v="unbekannt"/>
    <x v="3"/>
    <s v="ehemann/betrueger/betrogener"/>
    <x v="0"/>
    <x v="2"/>
    <x v="3"/>
    <n v="0"/>
    <n v="0"/>
    <n v="0"/>
    <n v="0"/>
    <x v="5"/>
    <x v="1"/>
    <s v=""/>
    <n v="2"/>
    <s v=""/>
    <s v=""/>
    <s v=""/>
  </r>
  <r>
    <s v="Die_Beichte.csv"/>
    <s v="#Vrouwe"/>
    <x v="1"/>
    <s v="unbekannt"/>
    <x v="3"/>
    <s v="ehefrau/betrueger/betrogener"/>
    <x v="0"/>
    <x v="2"/>
    <x v="3"/>
    <n v="0"/>
    <n v="0"/>
    <n v="0"/>
    <n v="0"/>
    <x v="5"/>
    <x v="1"/>
    <s v=""/>
    <n v="2"/>
    <s v=""/>
    <s v=""/>
    <s v=""/>
  </r>
  <r>
    <s v="Die_drei_Moenche_von_Kolmar.csv"/>
    <s v="#Man"/>
    <x v="0"/>
    <s v="unbekannt"/>
    <x v="3"/>
    <s v="ehemann/betrueger"/>
    <x v="0"/>
    <x v="2"/>
    <x v="1"/>
    <n v="1.6666666666666701"/>
    <n v="0"/>
    <n v="0.12765957446808501"/>
    <n v="0.95661262941960301"/>
    <x v="4"/>
    <x v="1"/>
    <n v="1"/>
    <s v=""/>
    <s v=""/>
    <s v=""/>
    <s v=""/>
  </r>
  <r>
    <s v="Die_drei_Moenche_von_Kolmar.csv"/>
    <s v="#Vrouwe"/>
    <x v="1"/>
    <s v="unbekannt"/>
    <x v="0"/>
    <s v="ehefrau/betrueger"/>
    <x v="0"/>
    <x v="2"/>
    <x v="1"/>
    <n v="1.3333333333333299"/>
    <n v="0"/>
    <n v="0.11764705882352899"/>
    <n v="1"/>
    <x v="4"/>
    <x v="1"/>
    <n v="1"/>
    <s v=""/>
    <s v=""/>
    <s v=""/>
    <s v=""/>
  </r>
  <r>
    <s v="Die_drei_Moenche_von_Kolmar.csv"/>
    <s v="#Bruoder-TetiÃ "/>
    <x v="0"/>
    <s v="klerus:moench"/>
    <x v="3"/>
    <s v="betrogener"/>
    <x v="1"/>
    <x v="4"/>
    <x v="1"/>
    <n v="2"/>
    <n v="5.5555555555555601E-2"/>
    <n v="0.25"/>
    <n v="0.95222085104804999"/>
    <x v="5"/>
    <x v="1"/>
    <s v=""/>
    <n v="2"/>
    <s v=""/>
    <s v=""/>
    <s v=""/>
  </r>
  <r>
    <s v="Die_drei_Moenche_von_Kolmar.csv"/>
    <s v="#Muench"/>
    <x v="0"/>
    <s v="klerus:moench"/>
    <x v="3"/>
    <s v="betrogener"/>
    <x v="1"/>
    <x v="4"/>
    <x v="1"/>
    <n v="2"/>
    <n v="0"/>
    <n v="0.230769230769231"/>
    <n v="0.87113382517415705"/>
    <x v="5"/>
    <x v="1"/>
    <s v=""/>
    <n v="2"/>
    <s v=""/>
    <s v=""/>
    <s v=""/>
  </r>
  <r>
    <s v="Die_drei_Moenche_von_Kolmar.csv"/>
    <s v="#Augustiner-muench"/>
    <x v="0"/>
    <s v="klerus:moench"/>
    <x v="3"/>
    <s v="betrogener"/>
    <x v="1"/>
    <x v="4"/>
    <x v="1"/>
    <n v="2"/>
    <n v="0.53333333333333299"/>
    <n v="0.28571428571428598"/>
    <n v="0.67807182041540304"/>
    <x v="5"/>
    <x v="1"/>
    <s v=""/>
    <n v="2"/>
    <s v=""/>
    <s v=""/>
    <s v=""/>
  </r>
  <r>
    <s v="Die_drei_Moenche_von_Kolmar.csv"/>
    <s v="#Schuoler"/>
    <x v="0"/>
    <s v="buergerlich:schueler"/>
    <x v="3"/>
    <s v="helfer"/>
    <x v="1"/>
    <x v="3"/>
    <x v="1"/>
    <n v="1.6666666666666701"/>
    <n v="0"/>
    <n v="0.1875"/>
    <n v="0.37870162876688301"/>
    <x v="6"/>
    <x v="1"/>
    <s v=""/>
    <s v=""/>
    <s v=""/>
    <s v=""/>
    <s v=""/>
  </r>
  <r>
    <s v="Die_drei_Moenche_von_Kolmar.csv"/>
    <s v="#Ein-bruoder"/>
    <x v="0"/>
    <s v="klerus:moench"/>
    <x v="3"/>
    <s v="betrogener"/>
    <x v="1"/>
    <x v="4"/>
    <x v="1"/>
    <n v="1.3333333333333299"/>
    <n v="0.51111111111111096"/>
    <n v="0.28571428571428598"/>
    <n v="9.4801868264653699E-2"/>
    <x v="5"/>
    <x v="1"/>
    <s v=""/>
    <n v="2"/>
    <s v=""/>
    <s v=""/>
    <s v=""/>
  </r>
  <r>
    <s v="Die_drei_Wuensche.csv"/>
    <s v="#Man"/>
    <x v="0"/>
    <s v="bauer"/>
    <x v="3"/>
    <s v="ehemann"/>
    <x v="0"/>
    <x v="5"/>
    <x v="3"/>
    <n v="0"/>
    <n v="0"/>
    <n v="0"/>
    <n v="0"/>
    <x v="0"/>
    <x v="1"/>
    <s v=""/>
    <s v=""/>
    <s v=""/>
    <s v=""/>
    <s v=""/>
  </r>
  <r>
    <s v="Die_drei_Wuensche.csv"/>
    <s v="#Wibe"/>
    <x v="1"/>
    <s v="bauer"/>
    <x v="3"/>
    <s v="ehefrau/gegenspieler"/>
    <x v="0"/>
    <x v="5"/>
    <x v="3"/>
    <n v="0"/>
    <n v="0"/>
    <n v="0"/>
    <n v="0"/>
    <x v="17"/>
    <x v="1"/>
    <s v=""/>
    <s v=""/>
    <s v=""/>
    <s v=""/>
    <s v=""/>
  </r>
  <r>
    <s v="Die_drei_Wuensche.csv"/>
    <s v="#Vriund-der-vrouwe"/>
    <x v="2"/>
    <s v="unbekannt"/>
    <x v="3"/>
    <s v="helfer"/>
    <x v="1"/>
    <x v="2"/>
    <x v="3"/>
    <n v="0"/>
    <n v="0"/>
    <n v="0"/>
    <n v="0"/>
    <x v="6"/>
    <x v="1"/>
    <s v=""/>
    <s v=""/>
    <s v=""/>
    <s v=""/>
    <s v=""/>
  </r>
  <r>
    <s v="Die_eingemauerte_Frau.csv"/>
    <s v="#Ritter"/>
    <x v="0"/>
    <s v="adel:ritter"/>
    <x v="3"/>
    <s v="ehemann"/>
    <x v="0"/>
    <x v="1"/>
    <x v="3"/>
    <n v="1.71428571428571"/>
    <n v="0.119047619047619"/>
    <n v="0.5"/>
    <n v="0.92679401514459703"/>
    <x v="0"/>
    <x v="1"/>
    <s v=""/>
    <s v=""/>
    <s v=""/>
    <s v=""/>
    <s v=""/>
  </r>
  <r>
    <s v="Die_eingemauerte_Frau.csv"/>
    <s v="#Wip"/>
    <x v="1"/>
    <s v="adel:edelfrau"/>
    <x v="3"/>
    <s v="ehefrau"/>
    <x v="0"/>
    <x v="1"/>
    <x v="3"/>
    <n v="2"/>
    <n v="0.15079365079365101"/>
    <n v="0.53846153846153799"/>
    <n v="1"/>
    <x v="1"/>
    <x v="1"/>
    <s v=""/>
    <s v=""/>
    <s v=""/>
    <s v=""/>
    <s v=""/>
  </r>
  <r>
    <s v="Die_eingemauerte_Frau.csv"/>
    <s v="#Ein-Wip"/>
    <x v="1"/>
    <s v="unbekannt"/>
    <x v="3"/>
    <s v="unbekannt"/>
    <x v="1"/>
    <x v="2"/>
    <x v="3"/>
    <n v="0.57142857142857095"/>
    <n v="2.3809523809523801E-2"/>
    <n v="0.41176470588235298"/>
    <n v="0.102434267109328"/>
    <x v="3"/>
    <x v="1"/>
    <s v=""/>
    <s v=""/>
    <s v=""/>
    <s v=""/>
    <s v=""/>
  </r>
  <r>
    <s v="Die_eingemauerte_Frau.csv"/>
    <s v="#Ire-mage"/>
    <x v="2"/>
    <s v="unbekannt"/>
    <x v="3"/>
    <s v="unbekannt"/>
    <x v="1"/>
    <x v="2"/>
    <x v="3"/>
    <n v="0.85714285714285698"/>
    <n v="0"/>
    <n v="0.38888888888888901"/>
    <n v="0.26679899506945498"/>
    <x v="3"/>
    <x v="1"/>
    <s v=""/>
    <s v=""/>
    <s v=""/>
    <s v=""/>
    <s v=""/>
  </r>
  <r>
    <s v="Die_eingemauerte_Frau.csv"/>
    <s v="#Ire-vriunden"/>
    <x v="2"/>
    <s v="unbekannt"/>
    <x v="3"/>
    <s v="unbekannt"/>
    <x v="1"/>
    <x v="2"/>
    <x v="3"/>
    <n v="1.71428571428571"/>
    <n v="0.40476190476190499"/>
    <n v="0.58333333333333304"/>
    <n v="0.58245763204958501"/>
    <x v="3"/>
    <x v="1"/>
    <s v=""/>
    <s v=""/>
    <s v=""/>
    <s v=""/>
    <s v=""/>
  </r>
  <r>
    <s v="Die_eingemauerte_Frau.csv"/>
    <s v="#Ein-friunt"/>
    <x v="3"/>
    <s v="unbekannt"/>
    <x v="3"/>
    <s v="unbekannt"/>
    <x v="1"/>
    <x v="2"/>
    <x v="3"/>
    <n v="0.85714285714285698"/>
    <n v="0.317460317460317"/>
    <n v="0.58333333333333304"/>
    <n v="0.13339949753472699"/>
    <x v="3"/>
    <x v="1"/>
    <s v=""/>
    <s v=""/>
    <s v=""/>
    <s v=""/>
    <s v=""/>
  </r>
  <r>
    <s v="Die_eingemauerte_Frau.csv"/>
    <s v="#Pfaffe"/>
    <x v="0"/>
    <s v="klerus:pfarrer"/>
    <x v="3"/>
    <s v="helfer"/>
    <x v="1"/>
    <x v="4"/>
    <x v="3"/>
    <n v="0.85714285714285698"/>
    <n v="0"/>
    <n v="0.38888888888888901"/>
    <n v="0.44459415307636202"/>
    <x v="6"/>
    <x v="1"/>
    <s v=""/>
    <s v=""/>
    <s v=""/>
    <s v=""/>
    <s v=""/>
  </r>
  <r>
    <s v="Die_eingemauerte_Frau.csv"/>
    <s v="#Sumliche"/>
    <x v="2"/>
    <s v="unbekannt"/>
    <x v="3"/>
    <s v="unbekannt"/>
    <x v="1"/>
    <x v="2"/>
    <x v="3"/>
    <n v="0.57142857142857095"/>
    <n v="0"/>
    <n v="0.4375"/>
    <n v="0.137291351748379"/>
    <x v="3"/>
    <x v="1"/>
    <s v=""/>
    <s v=""/>
    <s v=""/>
    <s v=""/>
    <s v=""/>
  </r>
  <r>
    <s v="Die_halbe_Birn.csv"/>
    <s v="#Kuenig"/>
    <x v="0"/>
    <s v="adel:koenig"/>
    <x v="2"/>
    <s v="vater"/>
    <x v="1"/>
    <x v="1"/>
    <x v="2"/>
    <n v="0.72727272727272696"/>
    <n v="0.118181818181818"/>
    <n v="0.36666666666666697"/>
    <n v="0.11230244846644601"/>
    <x v="7"/>
    <x v="1"/>
    <s v=""/>
    <s v=""/>
    <s v=""/>
    <s v=""/>
    <s v=""/>
  </r>
  <r>
    <s v="Die_halbe_Birn.csv"/>
    <s v="#Koenigin"/>
    <x v="1"/>
    <s v="adel:koenigin"/>
    <x v="2"/>
    <s v="mutter"/>
    <x v="1"/>
    <x v="1"/>
    <x v="2"/>
    <n v="0.36363636363636398"/>
    <n v="2.27272727272727E-2"/>
    <n v="0.35483870967741898"/>
    <n v="4.05085057459025E-2"/>
    <x v="8"/>
    <x v="1"/>
    <s v=""/>
    <s v=""/>
    <s v=""/>
    <s v=""/>
    <s v=""/>
  </r>
  <r>
    <s v="Die_halbe_Birn.csv"/>
    <s v="#Tohter-des-kuniks"/>
    <x v="1"/>
    <s v="adel:koenigstochter"/>
    <x v="0"/>
    <s v="betrogener/betrueger"/>
    <x v="0"/>
    <x v="1"/>
    <x v="2"/>
    <n v="1.8181818181818199"/>
    <n v="0.49545454545454498"/>
    <n v="0.44"/>
    <n v="0.99658329577265603"/>
    <x v="4"/>
    <x v="1"/>
    <n v="1"/>
    <s v=""/>
    <s v=""/>
    <s v=""/>
    <s v=""/>
  </r>
  <r>
    <s v="Die_halbe_Birn.csv"/>
    <s v="#Vuersten"/>
    <x v="0"/>
    <s v="adel:fuerst"/>
    <x v="3"/>
    <s v="unbekannt"/>
    <x v="1"/>
    <x v="1"/>
    <x v="2"/>
    <n v="0.36363636363636398"/>
    <n v="2.27272727272727E-2"/>
    <n v="0.35483870967741898"/>
    <n v="4.05085057459025E-2"/>
    <x v="3"/>
    <x v="1"/>
    <s v=""/>
    <s v=""/>
    <s v=""/>
    <s v=""/>
    <s v=""/>
  </r>
  <r>
    <s v="Die_halbe_Birn.csv"/>
    <s v="#Ritter-Arnolt"/>
    <x v="0"/>
    <s v="adel:ritter"/>
    <x v="3"/>
    <s v="betrogener/betrueger"/>
    <x v="0"/>
    <x v="1"/>
    <x v="2"/>
    <n v="1.4545454545454499"/>
    <n v="0.35"/>
    <n v="0.407407407407407"/>
    <n v="1"/>
    <x v="4"/>
    <x v="1"/>
    <n v="1"/>
    <s v=""/>
    <s v=""/>
    <s v=""/>
    <s v=""/>
  </r>
  <r>
    <s v="Die_halbe_Birn.csv"/>
    <s v="#Heinrich-der-kneht"/>
    <x v="0"/>
    <s v="adel:knecht"/>
    <x v="3"/>
    <s v="helfer"/>
    <x v="1"/>
    <x v="1"/>
    <x v="2"/>
    <n v="0.36363636363636398"/>
    <n v="0"/>
    <n v="0.2"/>
    <n v="0.29187211658206402"/>
    <x v="6"/>
    <x v="1"/>
    <s v=""/>
    <s v=""/>
    <s v=""/>
    <s v=""/>
    <s v=""/>
  </r>
  <r>
    <s v="Die_halbe_Birn.csv"/>
    <s v="#Liute"/>
    <x v="2"/>
    <s v="unbekannt"/>
    <x v="3"/>
    <s v="unbekannt"/>
    <x v="1"/>
    <x v="2"/>
    <x v="2"/>
    <n v="0.18181818181818199"/>
    <n v="0"/>
    <n v="0.23404255319148901"/>
    <n v="7.3061640401371905E-2"/>
    <x v="3"/>
    <x v="1"/>
    <s v=""/>
    <s v=""/>
    <s v=""/>
    <s v=""/>
    <s v=""/>
  </r>
  <r>
    <s v="Die_halbe_Birn.csv"/>
    <s v="#junk-vrouwen-der-tohter"/>
    <x v="2"/>
    <s v="adel:hofstaat"/>
    <x v="3"/>
    <s v="unbekannt"/>
    <x v="1"/>
    <x v="1"/>
    <x v="2"/>
    <n v="0.36363636363636398"/>
    <n v="0"/>
    <n v="0.25581395348837199"/>
    <n v="0.18240447098781401"/>
    <x v="3"/>
    <x v="1"/>
    <s v=""/>
    <s v=""/>
    <s v=""/>
    <s v=""/>
    <s v=""/>
  </r>
  <r>
    <s v="Die_halbe_Birn.csv"/>
    <s v="#Eine-vrouwe"/>
    <x v="1"/>
    <s v="adel:hofstaat"/>
    <x v="3"/>
    <s v="helfer"/>
    <x v="1"/>
    <x v="1"/>
    <x v="2"/>
    <n v="0.36363636363636398"/>
    <n v="9.0909090909090898E-2"/>
    <n v="0.39285714285714302"/>
    <n v="7.2936825393563803E-2"/>
    <x v="6"/>
    <x v="1"/>
    <s v=""/>
    <s v=""/>
    <s v=""/>
    <s v=""/>
    <s v=""/>
  </r>
  <r>
    <s v="Die_halbe_Birn.csv"/>
    <s v="#Eine-kamerruze"/>
    <x v="1"/>
    <s v="adel:kammerzofe"/>
    <x v="3"/>
    <s v="unbekannt"/>
    <x v="1"/>
    <x v="1"/>
    <x v="2"/>
    <n v="0.18181818181818199"/>
    <n v="0"/>
    <n v="0.314285714285714"/>
    <n v="3.6406005192877899E-2"/>
    <x v="3"/>
    <x v="1"/>
    <s v=""/>
    <s v=""/>
    <s v=""/>
    <s v=""/>
    <s v=""/>
  </r>
  <r>
    <s v="Die_halbe_Birn.csv"/>
    <s v="#Zwei-vroeuwelin"/>
    <x v="2"/>
    <s v="adel:hofstaat"/>
    <x v="3"/>
    <s v="unbekannt"/>
    <x v="1"/>
    <x v="1"/>
    <x v="2"/>
    <n v="0.36363636363636398"/>
    <n v="0"/>
    <n v="0.32352941176470601"/>
    <n v="0.10934283058644199"/>
    <x v="3"/>
    <x v="1"/>
    <s v=""/>
    <s v=""/>
    <s v=""/>
    <s v=""/>
    <s v=""/>
  </r>
  <r>
    <s v="Die_halbe_Birn.csv"/>
    <s v="#Kamer-wip-Irmegart"/>
    <x v="1"/>
    <s v="adel:kammerzofe"/>
    <x v="2"/>
    <s v="helfer"/>
    <x v="1"/>
    <x v="1"/>
    <x v="2"/>
    <n v="0.36363636363636398"/>
    <n v="0"/>
    <n v="0.14864864864864899"/>
    <n v="0.401090132160697"/>
    <x v="6"/>
    <x v="1"/>
    <s v=""/>
    <s v=""/>
    <s v=""/>
    <s v=""/>
    <s v=""/>
  </r>
  <r>
    <s v="Die_halbe_Decke.csv"/>
    <s v="#Burgaer"/>
    <x v="0"/>
    <s v="buergerlich:unbekannt"/>
    <x v="2"/>
    <s v="betrogener"/>
    <x v="0"/>
    <x v="3"/>
    <x v="1"/>
    <n v="2"/>
    <n v="0.4"/>
    <n v="0.33333333333333298"/>
    <n v="1"/>
    <x v="5"/>
    <x v="1"/>
    <s v=""/>
    <n v="2"/>
    <s v=""/>
    <s v=""/>
    <s v=""/>
  </r>
  <r>
    <s v="Die_halbe_Decke.csv"/>
    <s v="#Wip-des-alten"/>
    <x v="1"/>
    <s v="buergerlich:ehefrau"/>
    <x v="5"/>
    <s v="ehefrau"/>
    <x v="1"/>
    <x v="3"/>
    <x v="1"/>
    <n v="0.4"/>
    <n v="0"/>
    <n v="0.26315789473684198"/>
    <n v="5.3215731250487702E-2"/>
    <x v="1"/>
    <x v="1"/>
    <s v=""/>
    <s v=""/>
    <s v=""/>
    <s v=""/>
    <s v=""/>
  </r>
  <r>
    <s v="Die_halbe_Decke.csv"/>
    <s v="#Sun-des-buergers"/>
    <x v="0"/>
    <s v="buergerlich:unbekannt"/>
    <x v="0"/>
    <s v="betrueger"/>
    <x v="0"/>
    <x v="3"/>
    <x v="1"/>
    <n v="1.2"/>
    <n v="0"/>
    <n v="0.217391304347826"/>
    <n v="0.79493345639628898"/>
    <x v="4"/>
    <x v="1"/>
    <n v="1"/>
    <s v=""/>
    <s v=""/>
    <s v=""/>
    <s v=""/>
  </r>
  <r>
    <s v="Die_halbe_Decke.csv"/>
    <s v="#Kindelin"/>
    <x v="0"/>
    <s v="buergerlich:NA"/>
    <x v="1"/>
    <s v="helfer"/>
    <x v="0"/>
    <x v="3"/>
    <x v="1"/>
    <n v="1.6"/>
    <n v="0.2"/>
    <n v="0.29411764705882398"/>
    <n v="0.85354916609651099"/>
    <x v="6"/>
    <x v="1"/>
    <s v=""/>
    <s v=""/>
    <s v=""/>
    <s v=""/>
    <s v=""/>
  </r>
  <r>
    <s v="Die_halbe_Decke.csv"/>
    <s v="#Vrouwe-des-jungen"/>
    <x v="1"/>
    <s v="buergerlich:ehefrau"/>
    <x v="0"/>
    <s v="ehefrau"/>
    <x v="1"/>
    <x v="3"/>
    <x v="1"/>
    <n v="1.2"/>
    <n v="0.4"/>
    <n v="0.33333333333333298"/>
    <n v="0.33509761017081602"/>
    <x v="1"/>
    <x v="1"/>
    <s v=""/>
    <s v=""/>
    <s v=""/>
    <s v=""/>
    <s v=""/>
  </r>
  <r>
    <s v="Die_halbe_Decke.csv"/>
    <s v="#Kneh?"/>
    <x v="2"/>
    <s v="buergerlich:knecht"/>
    <x v="3"/>
    <s v="unbekannt"/>
    <x v="1"/>
    <x v="3"/>
    <x v="1"/>
    <n v="0.8"/>
    <n v="0.2"/>
    <n v="0.29411764705882398"/>
    <n v="0.19727594856511499"/>
    <x v="3"/>
    <x v="1"/>
    <s v=""/>
    <s v=""/>
    <s v=""/>
    <s v=""/>
    <s v=""/>
  </r>
  <r>
    <s v="Die_Heidin.csv"/>
    <s v="#Koenig-der-heiden"/>
    <x v="0"/>
    <s v="adel:koenig"/>
    <x v="3"/>
    <s v="ehemann"/>
    <x v="0"/>
    <x v="1"/>
    <x v="3"/>
    <n v="0.91666666666666696"/>
    <n v="8.4194559466298599E-2"/>
    <n v="0.42857142857142899"/>
    <n v="0.63811100899106199"/>
    <x v="0"/>
    <x v="1"/>
    <s v=""/>
    <s v=""/>
    <s v=""/>
    <s v=""/>
    <s v=""/>
  </r>
  <r>
    <s v="Die_Heidin.csv"/>
    <s v="#Kuenegin-Demuot"/>
    <x v="1"/>
    <s v="adel:koenigin"/>
    <x v="0"/>
    <s v="ehefrau"/>
    <x v="0"/>
    <x v="1"/>
    <x v="3"/>
    <n v="1.0833333333333299"/>
    <n v="0.14272271106510201"/>
    <n v="0.46153846153846201"/>
    <n v="0.96755371858738204"/>
    <x v="1"/>
    <x v="1"/>
    <s v=""/>
    <s v=""/>
    <s v=""/>
    <s v=""/>
    <s v=""/>
  </r>
  <r>
    <s v="Die_Heidin.csv"/>
    <s v="#Grave-Alpharius"/>
    <x v="0"/>
    <s v="adel:graf"/>
    <x v="3"/>
    <s v="betrueger"/>
    <x v="0"/>
    <x v="1"/>
    <x v="3"/>
    <n v="1.5833333333333299"/>
    <n v="0.51665947780078203"/>
    <n v="0.57142857142857095"/>
    <n v="1"/>
    <x v="4"/>
    <x v="1"/>
    <n v="1"/>
    <s v=""/>
    <s v=""/>
    <s v=""/>
    <s v=""/>
  </r>
  <r>
    <s v="Die_Heidin.csv"/>
    <s v="#Ritter-des-graven"/>
    <x v="2"/>
    <s v="adel:ritter"/>
    <x v="3"/>
    <s v="begleiter"/>
    <x v="1"/>
    <x v="1"/>
    <x v="3"/>
    <n v="0.58333333333333304"/>
    <n v="6.9760754543363196E-2"/>
    <n v="0.34782608695652201"/>
    <n v="0.265179101006282"/>
    <x v="14"/>
    <x v="1"/>
    <s v=""/>
    <s v=""/>
    <s v=""/>
    <s v=""/>
    <s v=""/>
  </r>
  <r>
    <s v="Die_Heidin.csv"/>
    <s v="#Knehte-des-graven"/>
    <x v="2"/>
    <s v="adel:knecht"/>
    <x v="3"/>
    <s v="begleiter"/>
    <x v="1"/>
    <x v="1"/>
    <x v="3"/>
    <n v="0.5"/>
    <n v="2.1128076834598601E-2"/>
    <n v="0.28571428571428598"/>
    <n v="0.25548775811783703"/>
    <x v="14"/>
    <x v="1"/>
    <s v=""/>
    <s v=""/>
    <s v=""/>
    <s v=""/>
    <s v=""/>
  </r>
  <r>
    <s v="Die_Heidin.csv"/>
    <s v="#Ratman"/>
    <x v="0"/>
    <s v="adel:berater"/>
    <x v="3"/>
    <s v="unbekannt"/>
    <x v="1"/>
    <x v="1"/>
    <x v="3"/>
    <n v="0.16666666666666699"/>
    <n v="8.6697722567287798E-3"/>
    <n v="0.266666666666667"/>
    <n v="6.0060240748399099E-3"/>
    <x v="3"/>
    <x v="1"/>
    <s v=""/>
    <s v=""/>
    <s v=""/>
    <s v=""/>
    <s v=""/>
  </r>
  <r>
    <s v="Die_Heidin.csv"/>
    <s v="#Hou(b)-est-dienst-man"/>
    <x v="0"/>
    <s v="adel:hauptmann"/>
    <x v="3"/>
    <s v="unbekannt"/>
    <x v="1"/>
    <x v="1"/>
    <x v="3"/>
    <n v="0.16666666666666699"/>
    <n v="7.8821601104209799E-2"/>
    <n v="0.40677966101694901"/>
    <n v="1.4594161326900701E-2"/>
    <x v="3"/>
    <x v="1"/>
    <s v=""/>
    <s v=""/>
    <s v=""/>
    <s v=""/>
    <s v=""/>
  </r>
  <r>
    <s v="Die_Heidin.csv"/>
    <s v="#Ein-bote-1"/>
    <x v="0"/>
    <s v="buergerlich:bote"/>
    <x v="3"/>
    <s v="bote"/>
    <x v="1"/>
    <x v="3"/>
    <x v="3"/>
    <n v="8.3333333333333301E-2"/>
    <n v="0"/>
    <n v="0.36923076923076897"/>
    <n v="1.15352532422429E-2"/>
    <x v="12"/>
    <x v="1"/>
    <s v=""/>
    <s v=""/>
    <s v=""/>
    <s v=""/>
    <s v=""/>
  </r>
  <r>
    <s v="Die_Heidin.csv"/>
    <s v="#Herren-von-den-vesten"/>
    <x v="2"/>
    <s v="unbekannt"/>
    <x v="3"/>
    <s v="unbekannt"/>
    <x v="1"/>
    <x v="2"/>
    <x v="3"/>
    <n v="0.25"/>
    <n v="0"/>
    <n v="0.233009708737864"/>
    <n v="5.2623831951248597E-2"/>
    <x v="3"/>
    <x v="1"/>
    <s v=""/>
    <s v=""/>
    <s v=""/>
    <s v=""/>
    <s v=""/>
  </r>
  <r>
    <s v="Die_Heidin.csv"/>
    <s v="#Ein-bote-2"/>
    <x v="0"/>
    <s v="buergerlich:bote"/>
    <x v="3"/>
    <s v="bote"/>
    <x v="1"/>
    <x v="3"/>
    <x v="3"/>
    <n v="0.25"/>
    <n v="1.1214630779848201E-3"/>
    <n v="0.36363636363636398"/>
    <n v="4.1592255739240198E-2"/>
    <x v="12"/>
    <x v="1"/>
    <s v=""/>
    <s v=""/>
    <s v=""/>
    <s v=""/>
    <s v=""/>
  </r>
  <r>
    <s v="Die_Heidin.csv"/>
    <s v="#Heren-des-heiden"/>
    <x v="2"/>
    <s v="unbekannt"/>
    <x v="3"/>
    <s v="unbekannt"/>
    <x v="1"/>
    <x v="2"/>
    <x v="3"/>
    <n v="0.25"/>
    <n v="7.1325051759834293E-2"/>
    <n v="0.4"/>
    <n v="1.8796943947652502E-2"/>
    <x v="3"/>
    <x v="1"/>
    <s v=""/>
    <s v=""/>
    <s v=""/>
    <s v=""/>
    <s v=""/>
  </r>
  <r>
    <s v="Die_Heidin.csv"/>
    <s v="#Ritter-Ringelolt"/>
    <x v="0"/>
    <s v="adel:ritter"/>
    <x v="3"/>
    <s v="gegner"/>
    <x v="1"/>
    <x v="1"/>
    <x v="3"/>
    <n v="0.66666666666666696"/>
    <n v="8.9447463768115895E-2"/>
    <n v="0.38095238095238099"/>
    <n v="2.38568401680475E-2"/>
    <x v="13"/>
    <x v="1"/>
    <s v=""/>
    <s v=""/>
    <s v=""/>
    <s v=""/>
    <s v=""/>
  </r>
  <r>
    <s v="Die_Heidin.csv"/>
    <s v="#Helde-dri"/>
    <x v="2"/>
    <s v="adel:ritter"/>
    <x v="3"/>
    <s v="gegner"/>
    <x v="1"/>
    <x v="1"/>
    <x v="3"/>
    <n v="0.33333333333333298"/>
    <n v="1.8115942028985501E-3"/>
    <n v="0.34782608695652201"/>
    <n v="4.2457017268458401E-4"/>
    <x v="13"/>
    <x v="1"/>
    <s v=""/>
    <s v=""/>
    <s v=""/>
    <s v=""/>
    <s v=""/>
  </r>
  <r>
    <s v="Die_Heidin.csv"/>
    <s v="#Ritter-Wolfart"/>
    <x v="0"/>
    <s v="adel:ritter"/>
    <x v="3"/>
    <s v="gegner"/>
    <x v="1"/>
    <x v="1"/>
    <x v="3"/>
    <n v="0.33333333333333298"/>
    <n v="1.8115942028985501E-3"/>
    <n v="0.34782608695652201"/>
    <n v="4.2457017268464998E-4"/>
    <x v="13"/>
    <x v="1"/>
    <s v=""/>
    <s v=""/>
    <s v=""/>
    <s v=""/>
    <s v=""/>
  </r>
  <r>
    <s v="Die_Heidin.csv"/>
    <s v="#Ritter-Tituban"/>
    <x v="0"/>
    <s v="adel:ritter"/>
    <x v="3"/>
    <s v="gegner"/>
    <x v="1"/>
    <x v="1"/>
    <x v="3"/>
    <n v="0.33333333333333298"/>
    <n v="1.8115942028985501E-3"/>
    <n v="0.34782608695652201"/>
    <n v="4.24570172684562E-4"/>
    <x v="13"/>
    <x v="1"/>
    <s v=""/>
    <s v=""/>
    <s v=""/>
    <s v=""/>
    <s v=""/>
  </r>
  <r>
    <s v="Die_Heidin.csv"/>
    <s v="#Ritter-Kuonrich"/>
    <x v="0"/>
    <s v="adel:ritter"/>
    <x v="3"/>
    <s v="gegner"/>
    <x v="1"/>
    <x v="1"/>
    <x v="3"/>
    <n v="0.41666666666666702"/>
    <n v="0.14492753623188401"/>
    <n v="0.42105263157894701"/>
    <n v="1.21003352014222E-2"/>
    <x v="13"/>
    <x v="1"/>
    <s v=""/>
    <s v=""/>
    <s v=""/>
    <s v=""/>
    <s v=""/>
  </r>
  <r>
    <s v="Die_Heidin.csv"/>
    <s v="#Genoz-des-Ringlelolt"/>
    <x v="0"/>
    <s v="adel:ritter"/>
    <x v="3"/>
    <s v="gegner"/>
    <x v="1"/>
    <x v="1"/>
    <x v="3"/>
    <n v="0.25"/>
    <n v="1.24532723717506E-2"/>
    <n v="0.42105263157894701"/>
    <n v="1.19482743050577E-2"/>
    <x v="13"/>
    <x v="1"/>
    <s v=""/>
    <s v=""/>
    <s v=""/>
    <s v=""/>
    <s v=""/>
  </r>
  <r>
    <s v="Die_Heidin.csv"/>
    <s v="#Vierter-ritter"/>
    <x v="0"/>
    <s v="adel:ritter"/>
    <x v="3"/>
    <s v="gegner"/>
    <x v="1"/>
    <x v="1"/>
    <x v="3"/>
    <n v="0.25"/>
    <n v="1.24532723717506E-2"/>
    <n v="0.42105263157894701"/>
    <n v="1.19482743050577E-2"/>
    <x v="13"/>
    <x v="1"/>
    <s v=""/>
    <s v=""/>
    <s v=""/>
    <s v=""/>
    <s v=""/>
  </r>
  <r>
    <s v="Die_Heidin.csv"/>
    <s v="#Fuenfter-ritter"/>
    <x v="0"/>
    <s v="adel:ritter"/>
    <x v="3"/>
    <s v="gegner"/>
    <x v="1"/>
    <x v="1"/>
    <x v="3"/>
    <n v="0.58333333333333304"/>
    <n v="1.4783183804922899E-2"/>
    <n v="0.46153846153846201"/>
    <n v="3.1510949632662502E-2"/>
    <x v="13"/>
    <x v="1"/>
    <s v=""/>
    <s v=""/>
    <s v=""/>
    <s v=""/>
    <s v=""/>
  </r>
  <r>
    <s v="Die_Heidin.csv"/>
    <s v="#Sehster-ritter"/>
    <x v="0"/>
    <s v="adel:ritter"/>
    <x v="3"/>
    <s v="gegner"/>
    <x v="1"/>
    <x v="1"/>
    <x v="3"/>
    <n v="0.58333333333333304"/>
    <n v="1.4783183804922899E-2"/>
    <n v="0.46153846153846201"/>
    <n v="3.1510949632662599E-2"/>
    <x v="13"/>
    <x v="1"/>
    <s v=""/>
    <s v=""/>
    <s v=""/>
    <s v=""/>
    <s v=""/>
  </r>
  <r>
    <s v="Die_Heidin.csv"/>
    <s v="#Sibender-ritter"/>
    <x v="0"/>
    <s v="adel:ritter"/>
    <x v="3"/>
    <s v="gegner"/>
    <x v="1"/>
    <x v="1"/>
    <x v="3"/>
    <n v="0.58333333333333304"/>
    <n v="1.4783183804922899E-2"/>
    <n v="0.46153846153846201"/>
    <n v="3.1510949632662599E-2"/>
    <x v="13"/>
    <x v="1"/>
    <s v=""/>
    <s v=""/>
    <s v=""/>
    <s v=""/>
    <s v=""/>
  </r>
  <r>
    <s v="Die_Heidin.csv"/>
    <s v="#Ahter-ritter"/>
    <x v="0"/>
    <s v="adel:ritter"/>
    <x v="3"/>
    <s v="gegner"/>
    <x v="1"/>
    <x v="1"/>
    <x v="3"/>
    <n v="0.58333333333333304"/>
    <n v="1.4783183804922899E-2"/>
    <n v="0.46153846153846201"/>
    <n v="3.1510949632662502E-2"/>
    <x v="13"/>
    <x v="1"/>
    <s v=""/>
    <s v=""/>
    <s v=""/>
    <s v=""/>
    <s v=""/>
  </r>
  <r>
    <s v="Die_Heidin.csv"/>
    <s v="#Niunder-ritter"/>
    <x v="0"/>
    <s v="adel:ritter"/>
    <x v="3"/>
    <s v="gegner"/>
    <x v="1"/>
    <x v="1"/>
    <x v="3"/>
    <n v="0.58333333333333304"/>
    <n v="1.4783183804922899E-2"/>
    <n v="0.46153846153846201"/>
    <n v="3.1510949632662599E-2"/>
    <x v="13"/>
    <x v="1"/>
    <s v=""/>
    <s v=""/>
    <s v=""/>
    <s v=""/>
    <s v=""/>
  </r>
  <r>
    <s v="Die_Heidin.csv"/>
    <s v="#Die-heidenschaft"/>
    <x v="2"/>
    <s v="unbekannt"/>
    <x v="3"/>
    <s v="unbekannt"/>
    <x v="1"/>
    <x v="2"/>
    <x v="3"/>
    <n v="0.16666666666666699"/>
    <n v="6.1860190936277896E-3"/>
    <n v="0.41379310344827602"/>
    <n v="2.2696230411622199E-2"/>
    <x v="3"/>
    <x v="1"/>
    <s v=""/>
    <s v=""/>
    <s v=""/>
    <s v=""/>
    <s v=""/>
  </r>
  <r>
    <s v="Die_Heidin.csv"/>
    <s v="#Ein-bote-3"/>
    <x v="0"/>
    <s v="buergerlich:bote"/>
    <x v="3"/>
    <s v="bote"/>
    <x v="1"/>
    <x v="3"/>
    <x v="3"/>
    <n v="0.16666666666666699"/>
    <n v="0"/>
    <n v="0.296296296296296"/>
    <n v="4.5392460823244503E-2"/>
    <x v="12"/>
    <x v="1"/>
    <s v=""/>
    <s v=""/>
    <s v=""/>
    <s v=""/>
    <s v=""/>
  </r>
  <r>
    <s v="Die_Katze_als_Nonne.csv"/>
    <s v="#Katz"/>
    <x v="5"/>
    <s v="NA"/>
    <x v="4"/>
    <s v="unbekannt"/>
    <x v="0"/>
    <x v="0"/>
    <x v="1"/>
    <n v="0"/>
    <n v="0"/>
    <n v="0"/>
    <n v="0"/>
    <x v="3"/>
    <x v="0"/>
    <s v=""/>
    <s v=""/>
    <s v=""/>
    <s v=""/>
    <s v=""/>
  </r>
  <r>
    <s v="Die_Katze_als_Nonne.csv"/>
    <s v="#Ein-muÃŸ"/>
    <x v="5"/>
    <s v="NA"/>
    <x v="4"/>
    <s v="gegner"/>
    <x v="1"/>
    <x v="0"/>
    <x v="1"/>
    <n v="0"/>
    <n v="0"/>
    <n v="0"/>
    <n v="0"/>
    <x v="13"/>
    <x v="0"/>
    <s v=""/>
    <s v=""/>
    <s v=""/>
    <s v=""/>
    <s v=""/>
  </r>
  <r>
    <s v="Die_Katze_als_Nonne.csv"/>
    <s v="#Nunnen"/>
    <x v="2"/>
    <s v="klerus:nonne"/>
    <x v="3"/>
    <s v="gegenspieler"/>
    <x v="1"/>
    <x v="4"/>
    <x v="1"/>
    <n v="0"/>
    <n v="0"/>
    <n v="0"/>
    <n v="0"/>
    <x v="10"/>
    <x v="0"/>
    <s v=""/>
    <s v=""/>
    <s v=""/>
    <s v=""/>
    <n v="5"/>
  </r>
  <r>
    <s v="Die_Koenigin_von_Frankreich_und_der_ungetreue_Marschall.csv"/>
    <s v="#Kuenik-von-Frankreich"/>
    <x v="0"/>
    <s v="adel:koenig"/>
    <x v="0"/>
    <s v="ehemann/betrogener"/>
    <x v="0"/>
    <x v="1"/>
    <x v="3"/>
    <n v="2"/>
    <n v="0.52752525252525295"/>
    <n v="0.375"/>
    <n v="1"/>
    <x v="5"/>
    <x v="1"/>
    <s v=""/>
    <n v="2"/>
    <s v=""/>
    <s v=""/>
    <s v=""/>
  </r>
  <r>
    <s v="Die_Koenigin_von_Frankreich_und_der_ungetreue_Marschall.csv"/>
    <s v="#Koenigin-von-Frankreich"/>
    <x v="1"/>
    <s v="adel:koenigin"/>
    <x v="0"/>
    <s v="ehefrau/betrogener"/>
    <x v="0"/>
    <x v="1"/>
    <x v="3"/>
    <n v="1.5"/>
    <n v="5.5303030303030298E-2"/>
    <n v="0.22222222222222199"/>
    <n v="0.99170278756153496"/>
    <x v="5"/>
    <x v="1"/>
    <s v=""/>
    <n v="2"/>
    <s v=""/>
    <s v=""/>
    <s v=""/>
  </r>
  <r>
    <s v="Die_Koenigin_von_Frankreich_und_der_ungetreue_Marschall.csv"/>
    <s v="#Marschal"/>
    <x v="0"/>
    <s v="adel:marschall"/>
    <x v="3"/>
    <s v="betrueger"/>
    <x v="0"/>
    <x v="1"/>
    <x v="3"/>
    <n v="1.3333333333333299"/>
    <n v="0.117676767676768"/>
    <n v="0.27906976744186002"/>
    <n v="0.70018176391376896"/>
    <x v="4"/>
    <x v="1"/>
    <n v="1"/>
    <s v=""/>
    <s v=""/>
    <s v=""/>
    <s v=""/>
  </r>
  <r>
    <s v="Die_Koenigin_von_Frankreich_und_der_ungetreue_Marschall.csv"/>
    <s v="#Twerig"/>
    <x v="6"/>
    <s v="unbekannt"/>
    <x v="3"/>
    <s v="betrogener"/>
    <x v="1"/>
    <x v="2"/>
    <x v="3"/>
    <n v="0.5"/>
    <n v="2.5757575757575799E-2"/>
    <n v="0.21052631578947401"/>
    <n v="0.22666581876425701"/>
    <x v="5"/>
    <x v="1"/>
    <s v=""/>
    <n v="2"/>
    <s v=""/>
    <s v=""/>
    <s v=""/>
  </r>
  <r>
    <s v="Die_Koenigin_von_Frankreich_und_der_ungetreue_Marschall.csv"/>
    <s v="#Herzoge-Liupolt"/>
    <x v="0"/>
    <s v="adel:herzog"/>
    <x v="3"/>
    <s v="helfer"/>
    <x v="1"/>
    <x v="1"/>
    <x v="3"/>
    <n v="1.1666666666666701"/>
    <n v="3.8383838383838402E-2"/>
    <n v="0.27906976744186002"/>
    <n v="0.48045950198083498"/>
    <x v="6"/>
    <x v="1"/>
    <s v=""/>
    <s v=""/>
    <s v=""/>
    <s v=""/>
    <s v=""/>
  </r>
  <r>
    <s v="Die_Koenigin_von_Frankreich_und_der_ungetreue_Marschall.csv"/>
    <s v="#Ritter"/>
    <x v="0"/>
    <s v="adel:ritter"/>
    <x v="3"/>
    <s v="unbekannt"/>
    <x v="1"/>
    <x v="1"/>
    <x v="3"/>
    <n v="0.83333333333333304"/>
    <n v="0.114646464646465"/>
    <n v="0.33333333333333298"/>
    <n v="0.28987206203439903"/>
    <x v="3"/>
    <x v="1"/>
    <s v=""/>
    <s v=""/>
    <s v=""/>
    <s v=""/>
    <s v=""/>
  </r>
  <r>
    <s v="Die_Koenigin_von_Frankreich_und_der_ungetreue_Marschall.csv"/>
    <s v="#Koler"/>
    <x v="0"/>
    <s v="buergerlich:koler"/>
    <x v="3"/>
    <s v="helfer"/>
    <x v="1"/>
    <x v="3"/>
    <x v="3"/>
    <n v="0.83333333333333304"/>
    <n v="3.03030303030303E-2"/>
    <n v="0.22222222222222199"/>
    <n v="0.51888118596430899"/>
    <x v="6"/>
    <x v="1"/>
    <s v=""/>
    <s v=""/>
    <s v=""/>
    <s v=""/>
    <s v=""/>
  </r>
  <r>
    <s v="Die_Koenigin_von_Frankreich_und_der_ungetreue_Marschall.csv"/>
    <s v="#Kint"/>
    <x v="0"/>
    <s v="adel:koenigssohn"/>
    <x v="1"/>
    <s v="unbekannt"/>
    <x v="1"/>
    <x v="1"/>
    <x v="3"/>
    <n v="0.5"/>
    <n v="0"/>
    <n v="0.1875"/>
    <n v="0.31141074098357902"/>
    <x v="3"/>
    <x v="1"/>
    <s v=""/>
    <s v=""/>
    <s v=""/>
    <s v=""/>
    <s v=""/>
  </r>
  <r>
    <s v="Die_Koenigin_von_Frankreich_und_der_ungetreue_Marschall.csv"/>
    <s v="#Hunt"/>
    <x v="5"/>
    <s v="NA"/>
    <x v="4"/>
    <s v="helfer"/>
    <x v="1"/>
    <x v="0"/>
    <x v="3"/>
    <n v="0.83333333333333304"/>
    <n v="5.8080808080808101E-2"/>
    <n v="0.230769230769231"/>
    <n v="0.33027665177238302"/>
    <x v="6"/>
    <x v="1"/>
    <s v=""/>
    <s v=""/>
    <s v=""/>
    <s v=""/>
    <s v=""/>
  </r>
  <r>
    <s v="Die_Koenigin_von_Frankreich_und_der_ungetreue_Marschall.csv"/>
    <s v="#Alter-ritter"/>
    <x v="0"/>
    <s v="adel:ritter"/>
    <x v="2"/>
    <s v="unbekannt"/>
    <x v="1"/>
    <x v="1"/>
    <x v="3"/>
    <n v="0.33333333333333298"/>
    <n v="7.6010101010101E-2"/>
    <n v="0.30769230769230799"/>
    <n v="4.6012104942066603E-2"/>
    <x v="3"/>
    <x v="1"/>
    <s v=""/>
    <s v=""/>
    <s v=""/>
    <s v=""/>
    <s v=""/>
  </r>
  <r>
    <s v="Die_Koenigin_von_Frankreich_und_der_ungetreue_Marschall.csv"/>
    <s v="#Henker"/>
    <x v="0"/>
    <s v="buergerlich:henker"/>
    <x v="3"/>
    <s v="unbekannt"/>
    <x v="1"/>
    <x v="3"/>
    <x v="3"/>
    <n v="0.33333333333333298"/>
    <n v="7.6010101010101E-2"/>
    <n v="0.30769230769230799"/>
    <n v="4.6012104942066499E-2"/>
    <x v="3"/>
    <x v="1"/>
    <s v=""/>
    <s v=""/>
    <s v=""/>
    <s v=""/>
    <s v=""/>
  </r>
  <r>
    <s v="Die_Koenigin_von_Frankreich_und_der_ungetreue_Marschall.csv"/>
    <s v="#Kramerin"/>
    <x v="1"/>
    <s v="buergerlich:kraemer"/>
    <x v="3"/>
    <s v="bote"/>
    <x v="1"/>
    <x v="3"/>
    <x v="3"/>
    <n v="0.66666666666666696"/>
    <n v="0.115656565656566"/>
    <n v="0.3"/>
    <n v="0.18873202389641"/>
    <x v="12"/>
    <x v="1"/>
    <s v=""/>
    <s v=""/>
    <s v=""/>
    <s v=""/>
    <s v=""/>
  </r>
  <r>
    <s v="Die_Koenigin_von_Frankreich_und_der_ungetreue_Marschall.csv"/>
    <s v="#Herren"/>
    <x v="2"/>
    <s v="unbekannt"/>
    <x v="3"/>
    <s v="unbekannt"/>
    <x v="1"/>
    <x v="2"/>
    <x v="3"/>
    <n v="0.16666666666666699"/>
    <n v="0"/>
    <n v="0.27906976744186002"/>
    <n v="2.7063050503581501E-2"/>
    <x v="3"/>
    <x v="1"/>
    <s v=""/>
    <s v=""/>
    <s v=""/>
    <s v=""/>
    <s v=""/>
  </r>
  <r>
    <s v="Die_Meierin_mit_der_Geiß.csv"/>
    <s v="#Meir"/>
    <x v="0"/>
    <s v="bauer:meyer"/>
    <x v="3"/>
    <s v="ehemann/betrogener"/>
    <x v="0"/>
    <x v="5"/>
    <x v="3"/>
    <n v="1.1428571428571399"/>
    <n v="4.7619047619047603E-2"/>
    <n v="0.41176470588235298"/>
    <n v="0.47837768827359201"/>
    <x v="5"/>
    <x v="1"/>
    <s v=""/>
    <n v="2"/>
    <s v=""/>
    <s v=""/>
    <s v=""/>
  </r>
  <r>
    <s v="Die_Meierin_mit_der_Geiß.csv"/>
    <s v="#Wip"/>
    <x v="1"/>
    <s v="bauer:meyer"/>
    <x v="0"/>
    <s v="ehefrau/betrueger"/>
    <x v="0"/>
    <x v="5"/>
    <x v="3"/>
    <n v="2"/>
    <n v="0.22222222222222199"/>
    <n v="0.53846153846153799"/>
    <n v="1"/>
    <x v="4"/>
    <x v="1"/>
    <n v="1"/>
    <s v=""/>
    <s v=""/>
    <s v=""/>
    <s v=""/>
  </r>
  <r>
    <s v="Die_Meierin_mit_der_Geiß.csv"/>
    <s v="#Swester-des-mannes"/>
    <x v="1"/>
    <s v="unbekannt"/>
    <x v="3"/>
    <s v="unbekannt"/>
    <x v="1"/>
    <x v="2"/>
    <x v="3"/>
    <n v="0.85714285714285698"/>
    <n v="0.158730158730159"/>
    <n v="0.5"/>
    <n v="0.18107133974885001"/>
    <x v="3"/>
    <x v="1"/>
    <s v=""/>
    <s v=""/>
    <s v=""/>
    <s v=""/>
    <s v=""/>
  </r>
  <r>
    <s v="Die_Meierin_mit_der_Geiß.csv"/>
    <s v="#Ritter"/>
    <x v="0"/>
    <s v="adel:ritter"/>
    <x v="3"/>
    <s v="betrueger"/>
    <x v="0"/>
    <x v="1"/>
    <x v="3"/>
    <n v="2"/>
    <n v="0.25396825396825401"/>
    <n v="0.53846153846153799"/>
    <n v="0.95738655250610305"/>
    <x v="4"/>
    <x v="1"/>
    <n v="1"/>
    <s v=""/>
    <s v=""/>
    <s v=""/>
    <s v=""/>
  </r>
  <r>
    <s v="Die_Meierin_mit_der_Geiß.csv"/>
    <s v="#Werberin"/>
    <x v="1"/>
    <s v="bauer:weber"/>
    <x v="3"/>
    <s v="unbekannt"/>
    <x v="1"/>
    <x v="5"/>
    <x v="3"/>
    <n v="0.57142857142857095"/>
    <n v="0"/>
    <n v="0.30434782608695699"/>
    <n v="0.29101881005955599"/>
    <x v="3"/>
    <x v="1"/>
    <s v=""/>
    <s v=""/>
    <s v=""/>
    <s v=""/>
    <s v=""/>
  </r>
  <r>
    <s v="Die_Meierin_mit_der_Geiß.csv"/>
    <s v="#Bote"/>
    <x v="1"/>
    <s v="unbekannt"/>
    <x v="2"/>
    <s v="bote"/>
    <x v="1"/>
    <x v="2"/>
    <x v="3"/>
    <n v="0.57142857142857095"/>
    <n v="0"/>
    <n v="0.24137931034482801"/>
    <n v="0.43652821508933498"/>
    <x v="12"/>
    <x v="1"/>
    <s v=""/>
    <s v=""/>
    <s v=""/>
    <s v=""/>
    <s v=""/>
  </r>
  <r>
    <s v="Die_Meierin_mit_der_Geiß.csv"/>
    <s v="#Schuoler-des-ritters"/>
    <x v="0"/>
    <s v="adel:schueler"/>
    <x v="3"/>
    <s v="helfer"/>
    <x v="1"/>
    <x v="1"/>
    <x v="3"/>
    <n v="1.1428571428571399"/>
    <n v="4.7619047619047603E-2"/>
    <n v="0.41176470588235298"/>
    <n v="0.33927261075889498"/>
    <x v="6"/>
    <x v="1"/>
    <s v=""/>
    <s v=""/>
    <s v=""/>
    <s v=""/>
    <s v=""/>
  </r>
  <r>
    <s v="Die_Meierin_mit_der_Geiß.csv"/>
    <s v="#Kneht-des-ritter"/>
    <x v="0"/>
    <s v="adel:knecht"/>
    <x v="3"/>
    <s v="unbekannt"/>
    <x v="1"/>
    <x v="1"/>
    <x v="3"/>
    <n v="0.85714285714285698"/>
    <n v="0.119047619047619"/>
    <n v="0.5"/>
    <n v="0.17073046096848399"/>
    <x v="3"/>
    <x v="1"/>
    <s v=""/>
    <s v=""/>
    <s v=""/>
    <s v=""/>
    <s v=""/>
  </r>
  <r>
    <s v="Die_Nachtigall.csv"/>
    <s v="#Vater-der-vrouwe"/>
    <x v="0"/>
    <s v="adel:ritter"/>
    <x v="2"/>
    <s v="vater"/>
    <x v="1"/>
    <x v="1"/>
    <x v="2"/>
    <n v="2"/>
    <n v="0.4"/>
    <n v="0.55555555555555602"/>
    <n v="0.77702982441856205"/>
    <x v="7"/>
    <x v="2"/>
    <s v=""/>
    <s v=""/>
    <s v=""/>
    <s v=""/>
    <s v=""/>
  </r>
  <r>
    <s v="Die_Nachtigall.csv"/>
    <s v="#Tohter"/>
    <x v="1"/>
    <s v="adel:edelfrau"/>
    <x v="0"/>
    <s v="liebende"/>
    <x v="0"/>
    <x v="1"/>
    <x v="2"/>
    <n v="2"/>
    <n v="0.1"/>
    <n v="0.45454545454545497"/>
    <n v="1"/>
    <x v="11"/>
    <x v="2"/>
    <s v=""/>
    <s v=""/>
    <s v=""/>
    <n v="4"/>
    <s v=""/>
  </r>
  <r>
    <s v="Die_Nachtigall.csv"/>
    <s v="#Vater-des-jungen"/>
    <x v="0"/>
    <s v="adel:ritter"/>
    <x v="2"/>
    <s v="vater"/>
    <x v="1"/>
    <x v="1"/>
    <x v="2"/>
    <n v="1.2"/>
    <n v="0.4"/>
    <n v="0.55555555555555602"/>
    <n v="0.16654704276367199"/>
    <x v="7"/>
    <x v="2"/>
    <s v=""/>
    <s v=""/>
    <s v=""/>
    <s v=""/>
    <s v=""/>
  </r>
  <r>
    <s v="Die_Nachtigall.csv"/>
    <s v="#Sun"/>
    <x v="0"/>
    <s v="adel:unbekannt"/>
    <x v="0"/>
    <s v="liebender"/>
    <x v="0"/>
    <x v="1"/>
    <x v="2"/>
    <n v="1.6"/>
    <n v="0"/>
    <n v="0.35714285714285698"/>
    <n v="0.85433040660473902"/>
    <x v="9"/>
    <x v="2"/>
    <s v=""/>
    <s v=""/>
    <n v="3"/>
    <s v=""/>
    <s v=""/>
  </r>
  <r>
    <s v="Die_Nachtigall.csv"/>
    <s v="#Bote"/>
    <x v="0"/>
    <s v="unbekannt"/>
    <x v="3"/>
    <s v="bote"/>
    <x v="1"/>
    <x v="2"/>
    <x v="2"/>
    <n v="0.8"/>
    <n v="0.1"/>
    <n v="0.45454545454545497"/>
    <n v="8.4906864357060297E-2"/>
    <x v="12"/>
    <x v="2"/>
    <s v=""/>
    <s v=""/>
    <s v=""/>
    <s v=""/>
    <s v=""/>
  </r>
  <r>
    <s v="Die_Nachtigall.csv"/>
    <s v="#Muoter-der-vrouwe"/>
    <x v="1"/>
    <s v="adel:edelfrau"/>
    <x v="2"/>
    <s v="mutter"/>
    <x v="1"/>
    <x v="1"/>
    <x v="2"/>
    <n v="1.2"/>
    <n v="0"/>
    <n v="0.35714285714285698"/>
    <n v="0.44257476100925203"/>
    <x v="8"/>
    <x v="2"/>
    <s v=""/>
    <s v=""/>
    <s v=""/>
    <s v=""/>
    <s v=""/>
  </r>
  <r>
    <s v="Die_Teufelsacht.csv"/>
    <s v="#Vrouwe"/>
    <x v="1"/>
    <s v="unbekannt"/>
    <x v="0"/>
    <s v="ehefrau/betrogener"/>
    <x v="0"/>
    <x v="2"/>
    <x v="3"/>
    <n v="1.6666666666666701"/>
    <n v="0.33333333333333298"/>
    <n v="0.66666666666666696"/>
    <n v="1"/>
    <x v="5"/>
    <x v="1"/>
    <s v=""/>
    <n v="2"/>
    <s v=""/>
    <s v=""/>
    <s v=""/>
  </r>
  <r>
    <s v="Die_Teufelsacht.csv"/>
    <s v="#Man"/>
    <x v="0"/>
    <s v="unbekannt"/>
    <x v="0"/>
    <s v="ehemann/betrueger"/>
    <x v="0"/>
    <x v="2"/>
    <x v="3"/>
    <n v="1.3333333333333299"/>
    <n v="0"/>
    <n v="0.54545454545454497"/>
    <n v="0.96261356875522597"/>
    <x v="4"/>
    <x v="1"/>
    <n v="1"/>
    <s v=""/>
    <s v=""/>
    <s v=""/>
    <s v=""/>
  </r>
  <r>
    <s v="Die_Teufelsacht.csv"/>
    <s v="#Muoter-der-vrouwe"/>
    <x v="1"/>
    <s v="unbekannt"/>
    <x v="3"/>
    <s v="helfer"/>
    <x v="1"/>
    <x v="2"/>
    <x v="3"/>
    <n v="1.3333333333333299"/>
    <n v="0"/>
    <n v="0.54545454545454497"/>
    <n v="0.64191747675994204"/>
    <x v="6"/>
    <x v="1"/>
    <s v=""/>
    <s v=""/>
    <s v=""/>
    <s v=""/>
    <s v=""/>
  </r>
  <r>
    <s v="Die_Teufelsacht.csv"/>
    <s v="#Swester-des-mans"/>
    <x v="1"/>
    <s v="unbekannt"/>
    <x v="3"/>
    <s v="unbekannt"/>
    <x v="1"/>
    <x v="2"/>
    <x v="3"/>
    <n v="0.33333333333333298"/>
    <n v="0"/>
    <n v="0.42857142857142899"/>
    <n v="3.3992095868854003E-2"/>
    <x v="3"/>
    <x v="1"/>
    <s v=""/>
    <s v=""/>
    <s v=""/>
    <s v=""/>
    <s v=""/>
  </r>
  <r>
    <s v="Die_Teufelsacht.csv"/>
    <s v="#Knehte-und-man"/>
    <x v="2"/>
    <s v="unbekannt"/>
    <x v="3"/>
    <s v="unbekannt"/>
    <x v="1"/>
    <x v="2"/>
    <x v="3"/>
    <n v="1.3333333333333299"/>
    <n v="0.16666666666666699"/>
    <n v="0.75"/>
    <n v="9.1652411912467494E-2"/>
    <x v="3"/>
    <x v="1"/>
    <s v=""/>
    <s v=""/>
    <s v=""/>
    <s v=""/>
    <s v=""/>
  </r>
  <r>
    <s v="Die_Teufelsacht.csv"/>
    <s v="#Vrouwen"/>
    <x v="2"/>
    <s v="unbekannt"/>
    <x v="3"/>
    <s v="unbekannt"/>
    <x v="1"/>
    <x v="2"/>
    <x v="3"/>
    <n v="1.6666666666666701"/>
    <n v="0.5"/>
    <n v="0.85714285714285698"/>
    <n v="9.1754945971641397E-2"/>
    <x v="3"/>
    <x v="1"/>
    <s v=""/>
    <s v=""/>
    <s v=""/>
    <s v=""/>
    <s v=""/>
  </r>
  <r>
    <s v="Die_Teufelsacht.csv"/>
    <s v="#Bote"/>
    <x v="0"/>
    <s v="unbekannt"/>
    <x v="3"/>
    <s v="bote"/>
    <x v="1"/>
    <x v="2"/>
    <x v="3"/>
    <n v="0.33333333333333298"/>
    <n v="0"/>
    <n v="0.5"/>
    <n v="3.1189429199095799E-3"/>
    <x v="12"/>
    <x v="1"/>
    <s v=""/>
    <s v=""/>
    <s v=""/>
    <s v=""/>
    <s v=""/>
  </r>
  <r>
    <s v="Drei_listige_Frauen.csv"/>
    <s v="#Frau-Maechilt"/>
    <x v="1"/>
    <s v="unbekannt"/>
    <x v="3"/>
    <s v="ehefrau/betrueger"/>
    <x v="0"/>
    <x v="2"/>
    <x v="3"/>
    <n v="1.55555555555556"/>
    <n v="6.9444444444444406E-2"/>
    <n v="0.39130434782608697"/>
    <n v="0.68723480271770299"/>
    <x v="4"/>
    <x v="1"/>
    <n v="1"/>
    <s v=""/>
    <s v=""/>
    <s v=""/>
    <s v=""/>
  </r>
  <r>
    <s v="Drei_listige_Frauen.csv"/>
    <s v="#Frau-Juet"/>
    <x v="1"/>
    <s v="unbekannt"/>
    <x v="3"/>
    <s v="ehefrau/betrueger"/>
    <x v="0"/>
    <x v="2"/>
    <x v="3"/>
    <n v="1.55555555555556"/>
    <n v="0.33055555555555499"/>
    <n v="0.47368421052631599"/>
    <n v="0.811734277068903"/>
    <x v="4"/>
    <x v="1"/>
    <n v="1"/>
    <s v=""/>
    <s v=""/>
    <s v=""/>
    <s v=""/>
  </r>
  <r>
    <s v="Drei_listige_Frauen.csv"/>
    <s v="#Frau-Hiltgart"/>
    <x v="1"/>
    <s v="unbekannt"/>
    <x v="3"/>
    <s v="ehefrau/betrueger"/>
    <x v="0"/>
    <x v="2"/>
    <x v="3"/>
    <n v="1.55555555555556"/>
    <n v="0.20092592592592601"/>
    <n v="0.42857142857142899"/>
    <n v="1"/>
    <x v="4"/>
    <x v="1"/>
    <n v="1"/>
    <s v=""/>
    <s v=""/>
    <s v=""/>
    <s v=""/>
  </r>
  <r>
    <s v="Drei_listige_Frauen.csv"/>
    <s v="#Mair-Perchtold"/>
    <x v="0"/>
    <s v="unbekannt"/>
    <x v="3"/>
    <s v="ehemann/betrogener"/>
    <x v="0"/>
    <x v="2"/>
    <x v="3"/>
    <n v="2"/>
    <n v="9.0740740740740705E-2"/>
    <n v="0.39130434782608697"/>
    <n v="0.96558739483465805"/>
    <x v="5"/>
    <x v="1"/>
    <s v=""/>
    <n v="2"/>
    <s v=""/>
    <s v=""/>
    <s v=""/>
  </r>
  <r>
    <s v="Drei_listige_Frauen.csv"/>
    <s v="#Knecht-Heinz-von-Mair-Perchtold"/>
    <x v="0"/>
    <s v="unbekannt:knecht"/>
    <x v="3"/>
    <s v="helfer"/>
    <x v="1"/>
    <x v="2"/>
    <x v="3"/>
    <n v="0.88888888888888895"/>
    <n v="4.1666666666666699E-2"/>
    <n v="0.36"/>
    <n v="0.44119177254382003"/>
    <x v="6"/>
    <x v="1"/>
    <s v=""/>
    <s v=""/>
    <s v=""/>
    <s v=""/>
    <s v=""/>
  </r>
  <r>
    <s v="Drei_listige_Frauen.csv"/>
    <s v="#Pfarrer"/>
    <x v="0"/>
    <s v="klerus:pfarrer"/>
    <x v="3"/>
    <s v="unbekannt"/>
    <x v="1"/>
    <x v="4"/>
    <x v="3"/>
    <n v="0.44444444444444398"/>
    <n v="0"/>
    <n v="0.25714285714285701"/>
    <n v="0.113415250393356"/>
    <x v="3"/>
    <x v="1"/>
    <s v=""/>
    <s v=""/>
    <s v=""/>
    <s v=""/>
    <s v=""/>
  </r>
  <r>
    <s v="Drei_listige_Frauen.csv"/>
    <s v="#Nachpuerin"/>
    <x v="1"/>
    <s v="unbekannt"/>
    <x v="3"/>
    <s v="unbekannt"/>
    <x v="1"/>
    <x v="2"/>
    <x v="3"/>
    <n v="0.88888888888888895"/>
    <n v="0.483333333333333"/>
    <n v="0.52941176470588203"/>
    <n v="9.9953210196523798E-2"/>
    <x v="3"/>
    <x v="1"/>
    <s v=""/>
    <s v=""/>
    <s v=""/>
    <s v=""/>
    <s v=""/>
  </r>
  <r>
    <s v="Drei_listige_Frauen.csv"/>
    <s v="#Mair-Cuonrat"/>
    <x v="0"/>
    <s v="unbekannt"/>
    <x v="3"/>
    <s v="ehemann/betrogener"/>
    <x v="0"/>
    <x v="2"/>
    <x v="3"/>
    <n v="1.3333333333333299"/>
    <n v="1.94444444444444E-2"/>
    <n v="0.29032258064516098"/>
    <n v="0.65431990766178705"/>
    <x v="5"/>
    <x v="1"/>
    <s v=""/>
    <n v="2"/>
    <s v=""/>
    <s v=""/>
    <s v=""/>
  </r>
  <r>
    <s v="Drei_listige_Frauen.csv"/>
    <s v="#Mair-Seifrid"/>
    <x v="0"/>
    <s v="unbekannt"/>
    <x v="3"/>
    <s v="ehemann/betrogener"/>
    <x v="0"/>
    <x v="2"/>
    <x v="3"/>
    <n v="1.1111111111111101"/>
    <n v="0.181018518518518"/>
    <n v="0.39130434782608697"/>
    <n v="0.38444313996726798"/>
    <x v="5"/>
    <x v="1"/>
    <s v=""/>
    <n v="2"/>
    <s v=""/>
    <s v=""/>
    <s v=""/>
  </r>
  <r>
    <s v="Drei_listige_Frauen.csv"/>
    <s v="#Volk"/>
    <x v="2"/>
    <s v="unbekannt"/>
    <x v="3"/>
    <s v="unbekannt"/>
    <x v="1"/>
    <x v="2"/>
    <x v="3"/>
    <n v="0.66666666666666696"/>
    <n v="4.8611111111111098E-2"/>
    <n v="0.31034482758620702"/>
    <n v="0.16027544071918401"/>
    <x v="3"/>
    <x v="1"/>
    <s v=""/>
    <s v=""/>
    <s v=""/>
    <s v=""/>
    <s v=""/>
  </r>
  <r>
    <s v="Edelmann_und_Pferdehaendler.csv"/>
    <s v="#Man"/>
    <x v="0"/>
    <s v="unbekannt"/>
    <x v="3"/>
    <s v="betrueger"/>
    <x v="0"/>
    <x v="2"/>
    <x v="1"/>
    <n v="2"/>
    <n v="0"/>
    <n v="0.5"/>
    <n v="1"/>
    <x v="4"/>
    <x v="1"/>
    <n v="1"/>
    <s v=""/>
    <s v=""/>
    <s v=""/>
    <s v=""/>
  </r>
  <r>
    <s v="Edelmann_und_Pferdehaendler.csv"/>
    <s v="#Rosteuscher"/>
    <x v="0"/>
    <s v="buergerlich:pferdehaendler"/>
    <x v="3"/>
    <s v="betrogener"/>
    <x v="0"/>
    <x v="3"/>
    <x v="1"/>
    <n v="2"/>
    <n v="0"/>
    <n v="0.5"/>
    <n v="0.97376888933608796"/>
    <x v="5"/>
    <x v="1"/>
    <s v=""/>
    <n v="2"/>
    <s v=""/>
    <s v=""/>
    <s v=""/>
  </r>
  <r>
    <s v="Edelmann_und_Pferdehaendler.csv"/>
    <s v="#Sine-magen"/>
    <x v="2"/>
    <s v="unbekannt"/>
    <x v="3"/>
    <s v="helfer"/>
    <x v="1"/>
    <x v="2"/>
    <x v="1"/>
    <n v="2"/>
    <n v="0"/>
    <n v="0.375"/>
    <n v="0.76755963250737502"/>
    <x v="6"/>
    <x v="1"/>
    <s v=""/>
    <s v=""/>
    <s v=""/>
    <s v=""/>
    <s v=""/>
  </r>
  <r>
    <s v="Edelmann_und_Pferdehaendler.csv"/>
    <s v="#Einer-der-magen"/>
    <x v="0"/>
    <s v="unbekannt"/>
    <x v="3"/>
    <s v="unbekannt"/>
    <x v="1"/>
    <x v="2"/>
    <x v="1"/>
    <n v="2"/>
    <n v="1"/>
    <n v="0.75"/>
    <n v="0.203279190560956"/>
    <x v="3"/>
    <x v="1"/>
    <s v=""/>
    <s v=""/>
    <s v=""/>
    <s v=""/>
    <s v=""/>
  </r>
  <r>
    <s v="Ehe_im_Leben_und_Tode.csv"/>
    <s v="#Man"/>
    <x v="0"/>
    <s v="unbekannt"/>
    <x v="3"/>
    <s v="ehemann/betrogener"/>
    <x v="0"/>
    <x v="2"/>
    <x v="3"/>
    <n v="2"/>
    <n v="0.3"/>
    <n v="0.3125"/>
    <n v="1"/>
    <x v="5"/>
    <x v="1"/>
    <s v=""/>
    <n v="2"/>
    <s v=""/>
    <s v=""/>
    <s v=""/>
  </r>
  <r>
    <s v="Ehe_im_Leben_und_Tode.csv"/>
    <s v="#Wip"/>
    <x v="1"/>
    <s v="unbekannt"/>
    <x v="3"/>
    <s v="ehefrau/betrueger"/>
    <x v="0"/>
    <x v="2"/>
    <x v="3"/>
    <n v="2"/>
    <n v="0"/>
    <n v="0.29411764705882398"/>
    <n v="0.98923123871989205"/>
    <x v="4"/>
    <x v="1"/>
    <n v="1"/>
    <s v=""/>
    <s v=""/>
    <s v=""/>
    <s v=""/>
  </r>
  <r>
    <s v="Ehe_im_Leben_und_Tode.csv"/>
    <s v="#Gevatern"/>
    <x v="1"/>
    <s v="unbekannt"/>
    <x v="3"/>
    <s v="helfer"/>
    <x v="1"/>
    <x v="2"/>
    <x v="3"/>
    <n v="0.8"/>
    <n v="0.1"/>
    <n v="0.27777777777777801"/>
    <n v="0.12875531469443099"/>
    <x v="6"/>
    <x v="1"/>
    <s v=""/>
    <s v=""/>
    <s v=""/>
    <s v=""/>
    <s v=""/>
  </r>
  <r>
    <s v="Ehe_im_Leben_und_Tode.csv"/>
    <s v="#Vriunt-und-onch"/>
    <x v="2"/>
    <s v="unbekannt"/>
    <x v="3"/>
    <s v="unbekannt"/>
    <x v="1"/>
    <x v="2"/>
    <x v="3"/>
    <n v="1.6"/>
    <n v="0.25"/>
    <n v="0.35714285714285698"/>
    <n v="0.345080753859143"/>
    <x v="3"/>
    <x v="1"/>
    <s v=""/>
    <s v=""/>
    <s v=""/>
    <s v=""/>
    <s v=""/>
  </r>
  <r>
    <s v="Ehe_im_Leben_und_Tode.csv"/>
    <s v="#Ihre-magen"/>
    <x v="2"/>
    <s v="unbekannt:magd"/>
    <x v="3"/>
    <s v="unbekannt"/>
    <x v="1"/>
    <x v="2"/>
    <x v="3"/>
    <n v="1.6"/>
    <n v="0"/>
    <n v="0.238095238095238"/>
    <n v="0.56093514929539601"/>
    <x v="3"/>
    <x v="1"/>
    <s v=""/>
    <s v=""/>
    <s v=""/>
    <s v=""/>
    <s v=""/>
  </r>
  <r>
    <s v="Ehe_im_Leben_und_Tode.csv"/>
    <s v="#Seine-magen"/>
    <x v="2"/>
    <s v="unbekannt:magd"/>
    <x v="3"/>
    <s v="unbekannt"/>
    <x v="1"/>
    <x v="2"/>
    <x v="3"/>
    <n v="1.6"/>
    <n v="0"/>
    <n v="0.27777777777777801"/>
    <n v="0.44654867864479197"/>
    <x v="3"/>
    <x v="1"/>
    <s v=""/>
    <s v=""/>
    <s v=""/>
    <s v=""/>
    <s v=""/>
  </r>
  <r>
    <s v="Ehefrau_und_Buhlerin.csv"/>
    <s v="#Man"/>
    <x v="0"/>
    <s v="unbekannt"/>
    <x v="3"/>
    <s v="ehemann/betrueger/betrogener"/>
    <x v="0"/>
    <x v="2"/>
    <x v="3"/>
    <n v="2"/>
    <n v="0.58796296296296302"/>
    <n v="0.47368421052631599"/>
    <n v="1"/>
    <x v="5"/>
    <x v="1"/>
    <s v=""/>
    <n v="2"/>
    <s v=""/>
    <s v=""/>
    <s v=""/>
  </r>
  <r>
    <s v="Ehefrau_und_Buhlerin.csv"/>
    <s v="#Wip"/>
    <x v="1"/>
    <s v="unbekannt"/>
    <x v="3"/>
    <s v="ehefrau/betrogener"/>
    <x v="0"/>
    <x v="2"/>
    <x v="3"/>
    <n v="0.66666666666666696"/>
    <n v="4.6296296296296301E-2"/>
    <n v="0.33333333333333298"/>
    <n v="0.577589939030275"/>
    <x v="5"/>
    <x v="1"/>
    <s v=""/>
    <n v="2"/>
    <s v=""/>
    <s v=""/>
    <s v=""/>
  </r>
  <r>
    <s v="Ehefrau_und_Buhlerin.csv"/>
    <s v="#Buhlerin-1"/>
    <x v="1"/>
    <s v="unbekannt"/>
    <x v="3"/>
    <s v="betrueger"/>
    <x v="0"/>
    <x v="2"/>
    <x v="3"/>
    <n v="1.1111111111111101"/>
    <n v="0.29166666666666702"/>
    <n v="0.39130434782608697"/>
    <n v="0.53929299768885397"/>
    <x v="4"/>
    <x v="1"/>
    <n v="1"/>
    <s v=""/>
    <s v=""/>
    <s v=""/>
    <s v=""/>
  </r>
  <r>
    <s v="Ehefrau_und_Buhlerin.csv"/>
    <s v="#Buhlerin-2"/>
    <x v="1"/>
    <s v="unbekannt"/>
    <x v="3"/>
    <s v="betrueger"/>
    <x v="0"/>
    <x v="2"/>
    <x v="3"/>
    <n v="1.1111111111111101"/>
    <n v="0.148148148148148"/>
    <n v="0.39130434782608697"/>
    <n v="0.66598735349279603"/>
    <x v="4"/>
    <x v="1"/>
    <n v="1"/>
    <s v=""/>
    <s v=""/>
    <s v=""/>
    <s v=""/>
  </r>
  <r>
    <s v="Ehefrau_und_Buhlerin.csv"/>
    <s v="#Ander-man"/>
    <x v="0"/>
    <s v="unbekannt"/>
    <x v="3"/>
    <s v="unbekannt"/>
    <x v="1"/>
    <x v="2"/>
    <x v="3"/>
    <n v="0.66666666666666696"/>
    <n v="0.50925925925925897"/>
    <n v="0.47368421052631599"/>
    <n v="8.3770092636581001E-2"/>
    <x v="3"/>
    <x v="1"/>
    <s v=""/>
    <s v=""/>
    <s v=""/>
    <s v=""/>
    <s v=""/>
  </r>
  <r>
    <s v="Ehefrau_und_Buhlerin.csv"/>
    <s v="#Einer"/>
    <x v="0"/>
    <s v="unbekannt"/>
    <x v="3"/>
    <s v="unbekannt"/>
    <x v="1"/>
    <x v="2"/>
    <x v="3"/>
    <n v="0.22222222222222199"/>
    <n v="0"/>
    <n v="0.33333333333333298"/>
    <n v="3.7986142030284102E-2"/>
    <x v="3"/>
    <x v="1"/>
    <s v=""/>
    <s v=""/>
    <s v=""/>
    <s v=""/>
    <s v=""/>
  </r>
  <r>
    <s v="Ehefrau_und_Buhlerin.csv"/>
    <s v="#Ein-anderer-man"/>
    <x v="0"/>
    <s v="unbekannt"/>
    <x v="3"/>
    <s v="gegner"/>
    <x v="1"/>
    <x v="2"/>
    <x v="3"/>
    <n v="0.44444444444444398"/>
    <n v="0"/>
    <n v="0.27272727272727298"/>
    <n v="8.2218620448337401E-2"/>
    <x v="13"/>
    <x v="1"/>
    <s v=""/>
    <s v=""/>
    <s v=""/>
    <s v=""/>
    <s v=""/>
  </r>
  <r>
    <s v="Ehefrau_und_Buhlerin.csv"/>
    <s v="#Ein-man"/>
    <x v="0"/>
    <s v="unbekannt"/>
    <x v="3"/>
    <s v="gegner"/>
    <x v="1"/>
    <x v="2"/>
    <x v="3"/>
    <n v="0.44444444444444398"/>
    <n v="0"/>
    <n v="0.27272727272727298"/>
    <n v="8.2218620448337304E-2"/>
    <x v="13"/>
    <x v="1"/>
    <s v=""/>
    <s v=""/>
    <s v=""/>
    <s v=""/>
    <s v=""/>
  </r>
  <r>
    <s v="Ehefrau_und_Buhlerin.csv"/>
    <s v="#Burger"/>
    <x v="0"/>
    <s v="buergerlich:unbekannt"/>
    <x v="2"/>
    <s v="helfer"/>
    <x v="1"/>
    <x v="3"/>
    <x v="3"/>
    <n v="0.44444444444444398"/>
    <n v="0"/>
    <n v="0.230769230769231"/>
    <n v="0.26888817299399798"/>
    <x v="6"/>
    <x v="1"/>
    <s v=""/>
    <s v=""/>
    <s v=""/>
    <s v=""/>
    <s v=""/>
  </r>
  <r>
    <s v="Ehefrau_und_Buhlerin.csv"/>
    <s v="#Zwo-voruwen"/>
    <x v="2"/>
    <s v="unbekannt"/>
    <x v="3"/>
    <s v="unbekannt"/>
    <x v="1"/>
    <x v="2"/>
    <x v="3"/>
    <n v="0.44444444444444398"/>
    <n v="0"/>
    <n v="0.29032258064516098"/>
    <n v="0.12656886446086901"/>
    <x v="3"/>
    <x v="1"/>
    <s v=""/>
    <s v=""/>
    <s v=""/>
    <s v=""/>
    <s v=""/>
  </r>
  <r>
    <s v="Ehestand_Tod_und_Hochzeit.csv"/>
    <s v="#Man"/>
    <x v="0"/>
    <s v="bauer"/>
    <x v="0"/>
    <s v="betrogener"/>
    <x v="0"/>
    <x v="5"/>
    <x v="3"/>
    <n v="1.6666666666666701"/>
    <n v="0.43333333333333302"/>
    <n v="0.6"/>
    <n v="1"/>
    <x v="5"/>
    <x v="1"/>
    <s v=""/>
    <n v="2"/>
    <s v=""/>
    <s v=""/>
    <s v=""/>
  </r>
  <r>
    <s v="Ehestand_Tod_und_Hochzeit.csv"/>
    <s v="#Wip"/>
    <x v="1"/>
    <s v="bauer"/>
    <x v="0"/>
    <s v="betrueger"/>
    <x v="0"/>
    <x v="5"/>
    <x v="3"/>
    <n v="1.3333333333333299"/>
    <n v="0.1"/>
    <n v="0.5"/>
    <n v="0.94780937787963404"/>
    <x v="4"/>
    <x v="1"/>
    <n v="1"/>
    <s v=""/>
    <s v=""/>
    <s v=""/>
    <s v=""/>
  </r>
  <r>
    <s v="Ehestand_Tod_und_Hochzeit.csv"/>
    <s v="#Gevater"/>
    <x v="1"/>
    <s v="unbekannt"/>
    <x v="3"/>
    <s v="helfer"/>
    <x v="0"/>
    <x v="2"/>
    <x v="3"/>
    <n v="1"/>
    <n v="0"/>
    <n v="0.31578947368421101"/>
    <n v="0.88284932783126602"/>
    <x v="6"/>
    <x v="1"/>
    <s v=""/>
    <s v=""/>
    <s v=""/>
    <s v=""/>
    <s v=""/>
  </r>
  <r>
    <s v="Ehestand_Tod_und_Hochzeit.csv"/>
    <s v="#Pfaffe"/>
    <x v="0"/>
    <s v="klerus:pfarrer"/>
    <x v="3"/>
    <s v="unbekannt"/>
    <x v="1"/>
    <x v="4"/>
    <x v="3"/>
    <n v="1.3333333333333299"/>
    <n v="0.66666666666666696"/>
    <n v="0.66666666666666696"/>
    <n v="0.114936789177064"/>
    <x v="3"/>
    <x v="1"/>
    <s v=""/>
    <s v=""/>
    <s v=""/>
    <s v=""/>
    <s v=""/>
  </r>
  <r>
    <s v="Ehestand_Tod_und_Hochzeit.csv"/>
    <s v="#Knehte-des-pfarrers"/>
    <x v="2"/>
    <s v="unbekannt:knecht"/>
    <x v="3"/>
    <s v="unbekannt"/>
    <x v="1"/>
    <x v="2"/>
    <x v="3"/>
    <n v="0.33333333333333298"/>
    <n v="0"/>
    <n v="0.42857142857142899"/>
    <n v="3.55400726737818E-3"/>
    <x v="3"/>
    <x v="1"/>
    <s v=""/>
    <s v=""/>
    <s v=""/>
    <s v=""/>
    <s v=""/>
  </r>
  <r>
    <s v="Ehestand_Tod_und_Hochzeit.csv"/>
    <s v="#Vriunde-des-mans"/>
    <x v="2"/>
    <s v="unbekannt"/>
    <x v="3"/>
    <s v="unbekannt"/>
    <x v="1"/>
    <x v="2"/>
    <x v="3"/>
    <n v="0.66666666666666696"/>
    <n v="6.6666666666666693E-2"/>
    <n v="0.46153846153846201"/>
    <n v="6.0229007039575899E-2"/>
    <x v="3"/>
    <x v="1"/>
    <s v=""/>
    <s v=""/>
    <s v=""/>
    <s v=""/>
    <s v=""/>
  </r>
  <r>
    <s v="Ehestand_Tod_und_Hochzeit.csv"/>
    <s v="#Lant-liute"/>
    <x v="2"/>
    <s v="unbekannt"/>
    <x v="3"/>
    <s v="unbekannt"/>
    <x v="1"/>
    <x v="2"/>
    <x v="3"/>
    <n v="0.33333333333333298"/>
    <n v="0"/>
    <n v="0.4"/>
    <n v="3.09214072606738E-2"/>
    <x v="3"/>
    <x v="1"/>
    <s v=""/>
    <s v=""/>
    <s v=""/>
    <s v=""/>
    <s v=""/>
  </r>
  <r>
    <s v="Ein_boeses_Weib_scheidet_eine_Ehe.csv"/>
    <s v="#Man"/>
    <x v="0"/>
    <s v="unbekannt"/>
    <x v="3"/>
    <s v="ehemann/betrogener"/>
    <x v="0"/>
    <x v="2"/>
    <x v="3"/>
    <n v="2"/>
    <n v="0"/>
    <n v="0.57142857142857095"/>
    <n v="1"/>
    <x v="5"/>
    <x v="1"/>
    <s v=""/>
    <n v="2"/>
    <s v=""/>
    <s v=""/>
    <s v=""/>
  </r>
  <r>
    <s v="Ein_boeses_Weib_scheidet_eine_Ehe.csv"/>
    <s v="#Wib"/>
    <x v="1"/>
    <s v="unbekannt"/>
    <x v="3"/>
    <s v="ehefrau/betrogener"/>
    <x v="0"/>
    <x v="2"/>
    <x v="3"/>
    <n v="1.5"/>
    <n v="0"/>
    <n v="0.5"/>
    <n v="0.91119618750437403"/>
    <x v="5"/>
    <x v="1"/>
    <s v=""/>
    <n v="2"/>
    <s v=""/>
    <s v=""/>
    <s v=""/>
  </r>
  <r>
    <s v="Ein_boeses_Weib_scheidet_eine_Ehe.csv"/>
    <s v="#Gesellen"/>
    <x v="2"/>
    <s v="unbekannt"/>
    <x v="3"/>
    <s v="unbekannt"/>
    <x v="1"/>
    <x v="2"/>
    <x v="3"/>
    <n v="1.5"/>
    <n v="0.33333333333333298"/>
    <n v="0.66666666666666696"/>
    <n v="0.26212957968259598"/>
    <x v="3"/>
    <x v="1"/>
    <s v=""/>
    <s v=""/>
    <s v=""/>
    <s v=""/>
    <s v=""/>
  </r>
  <r>
    <s v="Ein_boeses_Weib_scheidet_eine_Ehe.csv"/>
    <s v="#Einer"/>
    <x v="0"/>
    <s v="unbekannt"/>
    <x v="3"/>
    <s v="gegenspieler"/>
    <x v="1"/>
    <x v="2"/>
    <x v="3"/>
    <n v="1.5"/>
    <n v="0.33333333333333298"/>
    <n v="0.66666666666666696"/>
    <n v="0.34672333816259299"/>
    <x v="10"/>
    <x v="1"/>
    <s v=""/>
    <s v=""/>
    <s v=""/>
    <s v=""/>
    <n v="5"/>
  </r>
  <r>
    <s v="Ein_boeses_Weib_scheidet_eine_Ehe.csv"/>
    <s v="#Frowen"/>
    <x v="1"/>
    <s v="unbekannt"/>
    <x v="2"/>
    <s v="betrueger"/>
    <x v="0"/>
    <x v="2"/>
    <x v="3"/>
    <n v="1.5"/>
    <n v="0"/>
    <n v="0.36363636363636398"/>
    <n v="0.86222985510054095"/>
    <x v="4"/>
    <x v="1"/>
    <n v="1"/>
    <s v=""/>
    <s v=""/>
    <s v=""/>
    <s v=""/>
  </r>
  <r>
    <s v="Frauenbestaendigkeit.csv"/>
    <s v="#Man"/>
    <x v="0"/>
    <s v="adel:ritter"/>
    <x v="3"/>
    <s v="ehemann/betrueger"/>
    <x v="0"/>
    <x v="1"/>
    <x v="3"/>
    <n v="2"/>
    <n v="0.65"/>
    <n v="0.38461538461538503"/>
    <n v="0.91789203004382203"/>
    <x v="4"/>
    <x v="1"/>
    <n v="1"/>
    <s v=""/>
    <s v=""/>
    <s v=""/>
    <s v=""/>
  </r>
  <r>
    <s v="Frauenbestaendigkeit.csv"/>
    <s v="#Vrouwe"/>
    <x v="1"/>
    <s v="adel:edelfrau"/>
    <x v="3"/>
    <s v="ehefrau/betrogener"/>
    <x v="0"/>
    <x v="1"/>
    <x v="3"/>
    <n v="2"/>
    <n v="0"/>
    <n v="0.26315789473684198"/>
    <n v="1"/>
    <x v="5"/>
    <x v="1"/>
    <s v=""/>
    <n v="2"/>
    <s v=""/>
    <s v=""/>
    <s v=""/>
  </r>
  <r>
    <s v="Frauenbestaendigkeit.csv"/>
    <s v="#Kneht-Henselin"/>
    <x v="0"/>
    <s v="adel:knecht"/>
    <x v="0"/>
    <s v="betrueger"/>
    <x v="0"/>
    <x v="1"/>
    <x v="3"/>
    <n v="0.8"/>
    <n v="0"/>
    <n v="0.12195121951219499"/>
    <n v="0.77147114603007705"/>
    <x v="4"/>
    <x v="1"/>
    <n v="1"/>
    <s v=""/>
    <s v=""/>
    <s v=""/>
    <s v=""/>
  </r>
  <r>
    <s v="Frauenbestaendigkeit.csv"/>
    <s v="#JÃºnk-vrouwen"/>
    <x v="2"/>
    <s v="adel:edelfrau"/>
    <x v="0"/>
    <s v="helfer"/>
    <x v="1"/>
    <x v="1"/>
    <x v="3"/>
    <n v="1.2"/>
    <n v="0"/>
    <n v="0.25"/>
    <n v="0.31461619084110198"/>
    <x v="6"/>
    <x v="1"/>
    <s v=""/>
    <s v=""/>
    <s v=""/>
    <s v=""/>
    <s v=""/>
  </r>
  <r>
    <s v="Frauenbestaendigkeit.csv"/>
    <s v="#Kamer-wip"/>
    <x v="1"/>
    <s v="adel:magd"/>
    <x v="2"/>
    <s v="helfer"/>
    <x v="1"/>
    <x v="1"/>
    <x v="3"/>
    <n v="1.2"/>
    <n v="0"/>
    <n v="0.3125"/>
    <n v="0.22741781155799601"/>
    <x v="6"/>
    <x v="1"/>
    <s v=""/>
    <s v=""/>
    <s v=""/>
    <s v=""/>
    <s v=""/>
  </r>
  <r>
    <s v="Frauenbestaendigkeit.csv"/>
    <s v="#Arzt"/>
    <x v="0"/>
    <s v="buergerlich:arzt"/>
    <x v="3"/>
    <s v="unbekannt"/>
    <x v="1"/>
    <x v="3"/>
    <x v="3"/>
    <n v="0.8"/>
    <n v="0.25"/>
    <n v="0.33333333333333298"/>
    <n v="9.5920579422089605E-2"/>
    <x v="3"/>
    <x v="1"/>
    <s v=""/>
    <s v=""/>
    <s v=""/>
    <s v=""/>
    <s v=""/>
  </r>
  <r>
    <s v="Frauenlist.csv"/>
    <s v="#Schuolaer"/>
    <x v="0"/>
    <s v="buergerlich:schueler"/>
    <x v="0"/>
    <s v="betrueger"/>
    <x v="0"/>
    <x v="3"/>
    <x v="3"/>
    <n v="2"/>
    <n v="0.33333333333333298"/>
    <n v="0.3"/>
    <n v="0.96417092020800998"/>
    <x v="4"/>
    <x v="1"/>
    <n v="1"/>
    <s v=""/>
    <s v=""/>
    <s v=""/>
    <s v=""/>
  </r>
  <r>
    <s v="Frauenlist.csv"/>
    <s v="#Vrouwe"/>
    <x v="1"/>
    <s v="unbekannt"/>
    <x v="3"/>
    <s v="ehefrau/betrueger"/>
    <x v="0"/>
    <x v="2"/>
    <x v="3"/>
    <n v="2"/>
    <n v="0"/>
    <n v="0.230769230769231"/>
    <n v="1"/>
    <x v="4"/>
    <x v="1"/>
    <n v="1"/>
    <s v=""/>
    <s v=""/>
    <s v=""/>
    <s v=""/>
  </r>
  <r>
    <s v="Frauenlist.csv"/>
    <s v="#Dirne"/>
    <x v="1"/>
    <s v="unbekannt:magd"/>
    <x v="3"/>
    <s v="unbekannt"/>
    <x v="1"/>
    <x v="2"/>
    <x v="3"/>
    <n v="1.3333333333333299"/>
    <n v="0.33333333333333298"/>
    <n v="0.3"/>
    <n v="0.177660242290957"/>
    <x v="3"/>
    <x v="1"/>
    <s v=""/>
    <s v=""/>
    <s v=""/>
    <s v=""/>
    <s v=""/>
  </r>
  <r>
    <s v="Frauenlist.csv"/>
    <s v="#E-man"/>
    <x v="0"/>
    <s v="unbekannt"/>
    <x v="3"/>
    <s v="ehemann/betrogener"/>
    <x v="1"/>
    <x v="2"/>
    <x v="3"/>
    <n v="1.3333333333333299"/>
    <n v="0"/>
    <n v="0.17647058823529399"/>
    <n v="0.49099623494289202"/>
    <x v="5"/>
    <x v="1"/>
    <s v=""/>
    <n v="2"/>
    <s v=""/>
    <s v=""/>
    <s v=""/>
  </r>
  <r>
    <s v="Frauentreue.csv"/>
    <s v="#Vrouwen"/>
    <x v="1"/>
    <s v="buergerlich:unbekannt"/>
    <x v="0"/>
    <s v="ehefrau"/>
    <x v="0"/>
    <x v="3"/>
    <x v="2"/>
    <n v="1.6666666666666701"/>
    <n v="0.266666666666667"/>
    <n v="0.26086956521739102"/>
    <n v="0.98310577465358695"/>
    <x v="1"/>
    <x v="2"/>
    <s v=""/>
    <s v=""/>
    <s v=""/>
    <s v=""/>
    <s v=""/>
  </r>
  <r>
    <s v="Frauentreue.csv"/>
    <s v="#Ritter"/>
    <x v="0"/>
    <s v="adel:ritter"/>
    <x v="3"/>
    <s v="liebender"/>
    <x v="0"/>
    <x v="1"/>
    <x v="2"/>
    <n v="2"/>
    <n v="0.4"/>
    <n v="0.3"/>
    <n v="1"/>
    <x v="9"/>
    <x v="2"/>
    <s v=""/>
    <s v=""/>
    <n v="3"/>
    <s v=""/>
    <s v=""/>
  </r>
  <r>
    <s v="Frauentreue.csv"/>
    <s v="#Buerger"/>
    <x v="0"/>
    <s v="buergerlich:unbekannt"/>
    <x v="0"/>
    <s v="ehemann"/>
    <x v="0"/>
    <x v="3"/>
    <x v="2"/>
    <n v="1"/>
    <n v="0"/>
    <n v="0.17142857142857101"/>
    <n v="0.58393144868476099"/>
    <x v="0"/>
    <x v="2"/>
    <s v=""/>
    <s v=""/>
    <s v=""/>
    <s v=""/>
    <s v=""/>
  </r>
  <r>
    <s v="Frauentreue.csv"/>
    <s v="#Ein-tumber"/>
    <x v="0"/>
    <s v="unbekannt"/>
    <x v="3"/>
    <s v="gegner"/>
    <x v="1"/>
    <x v="2"/>
    <x v="2"/>
    <n v="0.33333333333333298"/>
    <n v="0"/>
    <n v="0.2"/>
    <n v="4.4644943960943498E-2"/>
    <x v="13"/>
    <x v="2"/>
    <s v=""/>
    <s v=""/>
    <s v=""/>
    <s v=""/>
    <s v=""/>
  </r>
  <r>
    <s v="Frauentreue.csv"/>
    <s v="#Arzt"/>
    <x v="0"/>
    <s v="buergerlich:arzt"/>
    <x v="3"/>
    <s v="unbekannt"/>
    <x v="1"/>
    <x v="3"/>
    <x v="2"/>
    <n v="0.66666666666666696"/>
    <n v="0.133333333333333"/>
    <n v="0.25"/>
    <n v="8.8912767049959804E-2"/>
    <x v="3"/>
    <x v="2"/>
    <s v=""/>
    <s v=""/>
    <s v=""/>
    <s v=""/>
    <s v=""/>
  </r>
  <r>
    <s v="Frauentreue.csv"/>
    <s v="#Magd-der-vrouwe"/>
    <x v="1"/>
    <s v="buergerlich:magd"/>
    <x v="3"/>
    <s v="unbekannt"/>
    <x v="1"/>
    <x v="3"/>
    <x v="2"/>
    <n v="1"/>
    <n v="0.33333333333333298"/>
    <n v="0.24"/>
    <n v="0.18081840717915701"/>
    <x v="3"/>
    <x v="2"/>
    <s v=""/>
    <s v=""/>
    <s v=""/>
    <s v=""/>
    <s v=""/>
  </r>
  <r>
    <s v="Frauentreue.csv"/>
    <s v="#Ritters-knehte"/>
    <x v="2"/>
    <s v="adel:knecht"/>
    <x v="3"/>
    <s v="unbekannt"/>
    <x v="1"/>
    <x v="1"/>
    <x v="2"/>
    <n v="0.66666666666666696"/>
    <n v="0"/>
    <n v="0.22222222222222199"/>
    <n v="0.11085811815850501"/>
    <x v="3"/>
    <x v="2"/>
    <s v=""/>
    <s v=""/>
    <s v=""/>
    <s v=""/>
    <s v=""/>
  </r>
  <r>
    <s v="Frauenzucht.csv"/>
    <s v="#Vater"/>
    <x v="0"/>
    <s v="adel:ritter"/>
    <x v="3"/>
    <s v="vater"/>
    <x v="0"/>
    <x v="1"/>
    <x v="3"/>
    <n v="1.2"/>
    <n v="0"/>
    <n v="0.12195121951219499"/>
    <n v="0.86660102782214898"/>
    <x v="7"/>
    <x v="1"/>
    <s v=""/>
    <s v=""/>
    <s v=""/>
    <s v=""/>
    <s v=""/>
  </r>
  <r>
    <s v="Frauenzucht.csv"/>
    <s v="#Muoter"/>
    <x v="1"/>
    <s v="adel:edelfrau"/>
    <x v="3"/>
    <s v="mutter"/>
    <x v="0"/>
    <x v="1"/>
    <x v="3"/>
    <n v="1.6"/>
    <n v="0.1"/>
    <n v="0.27777777777777801"/>
    <n v="0.86875827609624301"/>
    <x v="8"/>
    <x v="1"/>
    <s v=""/>
    <s v=""/>
    <s v=""/>
    <s v=""/>
    <s v=""/>
  </r>
  <r>
    <s v="Frauenzucht.csv"/>
    <s v="#Tohter"/>
    <x v="1"/>
    <s v="adel:edelfrau"/>
    <x v="0"/>
    <s v="ehefrau"/>
    <x v="0"/>
    <x v="1"/>
    <x v="3"/>
    <n v="1.6"/>
    <n v="0.15"/>
    <n v="0.29411764705882398"/>
    <n v="0.90345687342862402"/>
    <x v="1"/>
    <x v="1"/>
    <s v=""/>
    <s v=""/>
    <s v=""/>
    <s v=""/>
    <s v=""/>
  </r>
  <r>
    <s v="Frauenzucht.csv"/>
    <s v="#Ritter"/>
    <x v="0"/>
    <s v="adel:ritter"/>
    <x v="3"/>
    <s v="ehemann"/>
    <x v="0"/>
    <x v="1"/>
    <x v="3"/>
    <n v="2"/>
    <n v="0.4"/>
    <n v="0.33333333333333298"/>
    <n v="1"/>
    <x v="0"/>
    <x v="1"/>
    <s v=""/>
    <s v=""/>
    <s v=""/>
    <s v=""/>
    <s v=""/>
  </r>
  <r>
    <s v="Frauenzucht.csv"/>
    <s v="#Sin-vriunt"/>
    <x v="2"/>
    <s v="unbekannt"/>
    <x v="3"/>
    <s v="unbekannt"/>
    <x v="1"/>
    <x v="2"/>
    <x v="3"/>
    <n v="0.8"/>
    <n v="0.35"/>
    <n v="0.33333333333333298"/>
    <n v="7.4055764941341307E-2"/>
    <x v="3"/>
    <x v="1"/>
    <s v=""/>
    <s v=""/>
    <s v=""/>
    <s v=""/>
    <s v=""/>
  </r>
  <r>
    <s v="Frauenzucht.csv"/>
    <s v="#Zwen-knehte"/>
    <x v="2"/>
    <s v="adel:knecht"/>
    <x v="3"/>
    <s v="unbekannt"/>
    <x v="1"/>
    <x v="1"/>
    <x v="3"/>
    <n v="0.8"/>
    <n v="0.3"/>
    <n v="0.3125"/>
    <n v="7.2705783650085301E-2"/>
    <x v="3"/>
    <x v="1"/>
    <s v=""/>
    <s v=""/>
    <s v=""/>
    <s v=""/>
    <s v=""/>
  </r>
  <r>
    <s v="Heinrich_von_Kempten_und_des_Kaisers_Bart.csv"/>
    <s v="#Keiser-Otte"/>
    <x v="0"/>
    <s v="adel:kaiser"/>
    <x v="3"/>
    <s v="gegenspieler"/>
    <x v="0"/>
    <x v="1"/>
    <x v="1"/>
    <n v="1.5"/>
    <n v="0.42857142857142899"/>
    <n v="0.42105263157894701"/>
    <n v="0.979312096629257"/>
    <x v="10"/>
    <x v="3"/>
    <s v=""/>
    <s v=""/>
    <s v=""/>
    <s v=""/>
    <n v="5"/>
  </r>
  <r>
    <s v="Heinrich_von_Kempten_und_des_Kaisers_Bart.csv"/>
    <s v="#Junk-herre-von-Heinrich"/>
    <x v="0"/>
    <s v="adel:unbekannt"/>
    <x v="0"/>
    <s v="unbekannt"/>
    <x v="1"/>
    <x v="1"/>
    <x v="1"/>
    <n v="0.75"/>
    <n v="0.107142857142857"/>
    <n v="0.4"/>
    <n v="0.116909047627392"/>
    <x v="3"/>
    <x v="3"/>
    <s v=""/>
    <s v=""/>
    <s v=""/>
    <s v=""/>
    <s v=""/>
  </r>
  <r>
    <s v="Heinrich_von_Kempten_und_des_Kaisers_Bart.csv"/>
    <s v="#Truhsaeze"/>
    <x v="0"/>
    <s v="buergerlich:truhtsaeze"/>
    <x v="3"/>
    <s v="gegenspieler"/>
    <x v="1"/>
    <x v="3"/>
    <x v="1"/>
    <n v="0.75"/>
    <n v="0"/>
    <n v="0.34782608695652201"/>
    <n v="0.147888950359849"/>
    <x v="10"/>
    <x v="3"/>
    <s v=""/>
    <s v=""/>
    <s v=""/>
    <s v=""/>
    <n v="5"/>
  </r>
  <r>
    <s v="Heinrich_von_Kempten_und_des_Kaisers_Bart.csv"/>
    <s v="#Heinrich-von-Kempten"/>
    <x v="0"/>
    <s v="adel:ritter"/>
    <x v="3"/>
    <s v="betrogener"/>
    <x v="0"/>
    <x v="1"/>
    <x v="1"/>
    <n v="1.75"/>
    <n v="0.42857142857142899"/>
    <n v="0.38095238095238099"/>
    <n v="1"/>
    <x v="5"/>
    <x v="3"/>
    <s v=""/>
    <n v="2"/>
    <s v=""/>
    <s v=""/>
    <s v=""/>
  </r>
  <r>
    <s v="Heinrich_von_Kempten_und_des_Kaisers_Bart.csv"/>
    <s v="#Herr-von-Heinrich"/>
    <x v="0"/>
    <s v="adel:unbekannt"/>
    <x v="3"/>
    <s v="helfer"/>
    <x v="0"/>
    <x v="1"/>
    <x v="1"/>
    <n v="0.5"/>
    <n v="0"/>
    <n v="0.24242424242424199"/>
    <n v="0.10375008095898"/>
    <x v="6"/>
    <x v="3"/>
    <s v=""/>
    <s v=""/>
    <s v=""/>
    <s v=""/>
    <s v=""/>
  </r>
  <r>
    <s v="Heinrich_von_Kempten_und_des_Kaisers_Bart.csv"/>
    <s v="#Bote"/>
    <x v="0"/>
    <s v="unbekannt"/>
    <x v="3"/>
    <s v="bote"/>
    <x v="1"/>
    <x v="2"/>
    <x v="1"/>
    <n v="0.5"/>
    <n v="0.25"/>
    <n v="0.30769230769230799"/>
    <n v="3.7697681684529097E-2"/>
    <x v="12"/>
    <x v="3"/>
    <s v=""/>
    <s v=""/>
    <s v=""/>
    <s v=""/>
    <s v=""/>
  </r>
  <r>
    <s v="Heinrich_von_Kempten_und_des_Kaisers_Bart.csv"/>
    <s v="#Burgaere"/>
    <x v="2"/>
    <s v="buergerlich:buerger"/>
    <x v="3"/>
    <s v="gegner"/>
    <x v="1"/>
    <x v="3"/>
    <x v="1"/>
    <n v="0.75"/>
    <n v="0"/>
    <n v="0.25"/>
    <n v="0.31297245224541198"/>
    <x v="13"/>
    <x v="3"/>
    <s v=""/>
    <s v=""/>
    <s v=""/>
    <s v=""/>
    <s v=""/>
  </r>
  <r>
    <s v="Heinrich_von_Kempten_und_des_Kaisers_Bart.csv"/>
    <s v="#Keiser-maere"/>
    <x v="2"/>
    <s v="unbekannt"/>
    <x v="3"/>
    <s v="gegner"/>
    <x v="1"/>
    <x v="2"/>
    <x v="1"/>
    <n v="0.75"/>
    <n v="0.35714285714285698"/>
    <n v="0.44444444444444398"/>
    <n v="0.12313460552687901"/>
    <x v="13"/>
    <x v="3"/>
    <s v=""/>
    <s v=""/>
    <s v=""/>
    <s v=""/>
    <s v=""/>
  </r>
  <r>
    <s v="Heinrich_von_Kempten_und_des_Kaisers_Bart.csv"/>
    <s v="#Vuersten"/>
    <x v="2"/>
    <s v="adel:fuerst"/>
    <x v="3"/>
    <s v="unbekannt"/>
    <x v="1"/>
    <x v="1"/>
    <x v="1"/>
    <n v="0.25"/>
    <n v="0"/>
    <n v="0.30769230769230799"/>
    <n v="3.3447604059483202E-2"/>
    <x v="3"/>
    <x v="3"/>
    <s v=""/>
    <s v=""/>
    <s v=""/>
    <s v=""/>
    <s v=""/>
  </r>
  <r>
    <s v="Hero_und_Leander.csv"/>
    <s v="#Leander"/>
    <x v="0"/>
    <s v="adel:unbekannt"/>
    <x v="0"/>
    <s v="liebender"/>
    <x v="0"/>
    <x v="1"/>
    <x v="2"/>
    <n v="1.1428571428571399"/>
    <n v="0.476190476190476"/>
    <n v="0.28000000000000003"/>
    <n v="1"/>
    <x v="9"/>
    <x v="2"/>
    <s v=""/>
    <s v=""/>
    <n v="3"/>
    <s v=""/>
    <s v=""/>
  </r>
  <r>
    <s v="Hero_und_Leander.csv"/>
    <s v="#Vater-Leanders"/>
    <x v="0"/>
    <s v="adel:unbekannt"/>
    <x v="2"/>
    <s v="vater"/>
    <x v="1"/>
    <x v="1"/>
    <x v="2"/>
    <n v="0.57142857142857095"/>
    <n v="0"/>
    <n v="0.2"/>
    <n v="0.19612003075071399"/>
    <x v="7"/>
    <x v="2"/>
    <s v=""/>
    <s v=""/>
    <s v=""/>
    <s v=""/>
    <s v=""/>
  </r>
  <r>
    <s v="Hero_und_Leander.csv"/>
    <s v="#Muoter-Leanders"/>
    <x v="1"/>
    <s v="adel:unbekannt"/>
    <x v="2"/>
    <s v="mutter"/>
    <x v="1"/>
    <x v="1"/>
    <x v="2"/>
    <n v="0.57142857142857095"/>
    <n v="0"/>
    <n v="0.2"/>
    <n v="0.19612003075071399"/>
    <x v="8"/>
    <x v="2"/>
    <s v=""/>
    <s v=""/>
    <s v=""/>
    <s v=""/>
    <s v=""/>
  </r>
  <r>
    <s v="Hero_und_Leander.csv"/>
    <s v="#Hero"/>
    <x v="1"/>
    <s v="adel:koenigstochter"/>
    <x v="0"/>
    <s v="liebende"/>
    <x v="0"/>
    <x v="1"/>
    <x v="2"/>
    <n v="1.4285714285714299"/>
    <n v="0.57142857142857095"/>
    <n v="0.33333333333333298"/>
    <n v="0.97859293433193695"/>
    <x v="11"/>
    <x v="2"/>
    <s v=""/>
    <s v=""/>
    <s v=""/>
    <n v="4"/>
    <s v=""/>
  </r>
  <r>
    <s v="Hero_und_Leander.csv"/>
    <s v="#Vater-Heros"/>
    <x v="0"/>
    <s v="adel:unbekannt"/>
    <x v="5"/>
    <s v="vater"/>
    <x v="1"/>
    <x v="1"/>
    <x v="2"/>
    <n v="0.85714285714285698"/>
    <n v="0"/>
    <n v="0.28000000000000003"/>
    <n v="9.5960838186805605E-2"/>
    <x v="7"/>
    <x v="2"/>
    <s v=""/>
    <s v=""/>
    <s v=""/>
    <s v=""/>
    <s v=""/>
  </r>
  <r>
    <s v="Hero_und_Leander.csv"/>
    <s v="#Muoter-Heros"/>
    <x v="1"/>
    <s v="adel:unbekannt"/>
    <x v="5"/>
    <s v="mutter"/>
    <x v="1"/>
    <x v="1"/>
    <x v="2"/>
    <n v="0.85714285714285698"/>
    <n v="0"/>
    <n v="0.28000000000000003"/>
    <n v="9.5960838186805703E-2"/>
    <x v="8"/>
    <x v="2"/>
    <s v=""/>
    <s v=""/>
    <s v=""/>
    <s v=""/>
    <s v=""/>
  </r>
  <r>
    <s v="Hero_und_Leander.csv"/>
    <s v="#Amme-Heros"/>
    <x v="1"/>
    <s v="adel:amme"/>
    <x v="2"/>
    <s v="unbekannt"/>
    <x v="1"/>
    <x v="1"/>
    <x v="2"/>
    <n v="0.85714285714285698"/>
    <n v="0"/>
    <n v="0.28000000000000003"/>
    <n v="9.59608381868058E-2"/>
    <x v="3"/>
    <x v="2"/>
    <s v=""/>
    <s v=""/>
    <s v=""/>
    <s v=""/>
    <s v=""/>
  </r>
  <r>
    <s v="Hero_und_Leander.csv"/>
    <s v="#Vischer"/>
    <x v="0"/>
    <s v="buergerlich:fischer"/>
    <x v="3"/>
    <s v="bote"/>
    <x v="1"/>
    <x v="3"/>
    <x v="2"/>
    <n v="0.57142857142857095"/>
    <n v="0.57142857142857095"/>
    <n v="0.33333333333333298"/>
    <n v="0.324417029351796"/>
    <x v="12"/>
    <x v="2"/>
    <s v=""/>
    <s v=""/>
    <s v=""/>
    <s v=""/>
    <s v=""/>
  </r>
  <r>
    <s v="Herr_Friedrich_von_Auchenfurt.csv"/>
    <s v="#Keiser"/>
    <x v="0"/>
    <s v="adel:kaiser"/>
    <x v="3"/>
    <s v="unbekannt"/>
    <x v="1"/>
    <x v="1"/>
    <x v="3"/>
    <n v="0.4"/>
    <n v="0"/>
    <n v="0.45454545454545497"/>
    <n v="5.6313443279017203E-2"/>
    <x v="3"/>
    <x v="2"/>
    <s v=""/>
    <s v=""/>
    <s v=""/>
    <s v=""/>
    <s v=""/>
  </r>
  <r>
    <s v="Herr_Friedrich_von_Auchenfurt.csv"/>
    <s v="#Ouchenvurt-ber-Vrid(e)rich"/>
    <x v="0"/>
    <s v="adel:ritter"/>
    <x v="3"/>
    <s v="liebender"/>
    <x v="0"/>
    <x v="1"/>
    <x v="3"/>
    <n v="2"/>
    <n v="0.9"/>
    <n v="0.71428571428571397"/>
    <n v="0.943623203090448"/>
    <x v="9"/>
    <x v="2"/>
    <s v=""/>
    <s v=""/>
    <n v="3"/>
    <s v=""/>
    <s v=""/>
  </r>
  <r>
    <s v="Herr_Friedrich_von_Auchenfurt.csv"/>
    <s v="#Graevin"/>
    <x v="1"/>
    <s v="adel:graefin"/>
    <x v="3"/>
    <s v="ehefrau/betrogener"/>
    <x v="0"/>
    <x v="1"/>
    <x v="3"/>
    <n v="1.2"/>
    <n v="0"/>
    <n v="0.38461538461538503"/>
    <n v="1"/>
    <x v="5"/>
    <x v="2"/>
    <s v=""/>
    <n v="2"/>
    <s v=""/>
    <s v=""/>
    <s v=""/>
  </r>
  <r>
    <s v="Herr_Friedrich_von_Auchenfurt.csv"/>
    <s v="#Grave"/>
    <x v="0"/>
    <s v="adel:graf"/>
    <x v="3"/>
    <s v="ehemann"/>
    <x v="1"/>
    <x v="1"/>
    <x v="3"/>
    <n v="0.8"/>
    <n v="0"/>
    <n v="0.45454545454545497"/>
    <n v="0.41438079322072602"/>
    <x v="0"/>
    <x v="2"/>
    <s v=""/>
    <s v=""/>
    <s v=""/>
    <s v=""/>
    <s v=""/>
  </r>
  <r>
    <s v="Herr_Friedrich_von_Auchenfurt.csv"/>
    <s v="#Ritter"/>
    <x v="0"/>
    <s v="adel:ritter"/>
    <x v="3"/>
    <s v="gegner"/>
    <x v="1"/>
    <x v="1"/>
    <x v="3"/>
    <n v="0.4"/>
    <n v="0"/>
    <n v="0.33333333333333298"/>
    <n v="0.112626886558034"/>
    <x v="13"/>
    <x v="2"/>
    <s v=""/>
    <s v=""/>
    <s v=""/>
    <s v=""/>
    <s v=""/>
  </r>
  <r>
    <s v="Herr_Friedrich_von_Auchenfurt.csv"/>
    <s v="#Junk-vrouwen-der-graefin"/>
    <x v="2"/>
    <s v="adel:hofstaat"/>
    <x v="3"/>
    <s v="bote"/>
    <x v="1"/>
    <x v="1"/>
    <x v="3"/>
    <n v="0.8"/>
    <n v="0.4"/>
    <n v="0.55555555555555602"/>
    <n v="0.115991334935969"/>
    <x v="12"/>
    <x v="2"/>
    <s v=""/>
    <s v=""/>
    <s v=""/>
    <s v=""/>
    <s v=""/>
  </r>
  <r>
    <s v="Irregang_und_Girregar.csv"/>
    <s v="#Geselle-1"/>
    <x v="0"/>
    <s v="unbekannt"/>
    <x v="3"/>
    <s v="liebender/betrueger"/>
    <x v="0"/>
    <x v="2"/>
    <x v="3"/>
    <n v="2"/>
    <n v="0.11111111111111099"/>
    <n v="0.269230769230769"/>
    <n v="1"/>
    <x v="4"/>
    <x v="1"/>
    <n v="1"/>
    <s v=""/>
    <s v=""/>
    <s v=""/>
    <s v=""/>
  </r>
  <r>
    <s v="Irregang_und_Girregar.csv"/>
    <s v="#Geselle-2"/>
    <x v="0"/>
    <s v="unbekannt"/>
    <x v="3"/>
    <s v="liebender/betrueger"/>
    <x v="0"/>
    <x v="2"/>
    <x v="3"/>
    <n v="2"/>
    <n v="3.1746031746031703E-2"/>
    <n v="0.233333333333333"/>
    <n v="0.83169000866847098"/>
    <x v="4"/>
    <x v="1"/>
    <n v="1"/>
    <s v=""/>
    <s v=""/>
    <s v=""/>
    <s v=""/>
  </r>
  <r>
    <s v="Irregang_und_Girregar.csv"/>
    <s v="#Maget"/>
    <x v="1"/>
    <s v="unbekannt"/>
    <x v="0"/>
    <s v="tochter/betrueger"/>
    <x v="0"/>
    <x v="2"/>
    <x v="3"/>
    <n v="1.4285714285714299"/>
    <n v="0"/>
    <n v="0.116666666666667"/>
    <n v="0.739252769085332"/>
    <x v="4"/>
    <x v="1"/>
    <n v="1"/>
    <s v=""/>
    <s v=""/>
    <s v=""/>
    <s v=""/>
  </r>
  <r>
    <s v="Irregang_und_Girregar.csv"/>
    <s v="#Wirt"/>
    <x v="0"/>
    <s v="unbekannt"/>
    <x v="2"/>
    <s v="ehemann/betrogener"/>
    <x v="0"/>
    <x v="2"/>
    <x v="3"/>
    <n v="2"/>
    <n v="0.11111111111111099"/>
    <n v="0.269230769230769"/>
    <n v="0.77204975762844896"/>
    <x v="5"/>
    <x v="1"/>
    <s v=""/>
    <n v="2"/>
    <s v=""/>
    <s v=""/>
    <s v=""/>
  </r>
  <r>
    <s v="Irregang_und_Girregar.csv"/>
    <s v="#Bote"/>
    <x v="0"/>
    <s v="unbekannt"/>
    <x v="3"/>
    <s v="bote"/>
    <x v="1"/>
    <x v="2"/>
    <x v="3"/>
    <n v="0.85714285714285698"/>
    <n v="0.182539682539683"/>
    <n v="0.25"/>
    <n v="2.3894815022153799E-2"/>
    <x v="12"/>
    <x v="1"/>
    <s v=""/>
    <s v=""/>
    <s v=""/>
    <s v=""/>
    <s v=""/>
  </r>
  <r>
    <s v="Irregang_und_Girregar.csv"/>
    <s v="#Gesinde"/>
    <x v="2"/>
    <s v="unbekannt"/>
    <x v="3"/>
    <s v="unbekannt"/>
    <x v="1"/>
    <x v="2"/>
    <x v="3"/>
    <n v="1.4285714285714299"/>
    <n v="0.28571428571428598"/>
    <n v="0.194444444444444"/>
    <n v="0.19775098609363001"/>
    <x v="3"/>
    <x v="1"/>
    <s v=""/>
    <s v=""/>
    <s v=""/>
    <s v=""/>
    <s v=""/>
  </r>
  <r>
    <s v="Irregang_und_Girregar.csv"/>
    <s v="#Wirtin"/>
    <x v="1"/>
    <s v="unbekannt"/>
    <x v="0"/>
    <s v="ehefrau/betrueger"/>
    <x v="0"/>
    <x v="2"/>
    <x v="3"/>
    <n v="1.71428571428571"/>
    <n v="0.34920634920634902"/>
    <n v="0.233333333333333"/>
    <n v="0.59838906358420996"/>
    <x v="4"/>
    <x v="1"/>
    <n v="1"/>
    <s v=""/>
    <s v=""/>
    <s v=""/>
    <s v=""/>
  </r>
  <r>
    <s v="Irregang_und_Girregar.csv"/>
    <s v="#Kint"/>
    <x v="3"/>
    <s v="unbekannt"/>
    <x v="1"/>
    <s v="kind"/>
    <x v="1"/>
    <x v="2"/>
    <x v="3"/>
    <n v="1.1428571428571399"/>
    <n v="0.46825396825396798"/>
    <n v="0.29166666666666702"/>
    <n v="5.5634294847443901E-2"/>
    <x v="2"/>
    <x v="1"/>
    <s v=""/>
    <s v=""/>
    <s v=""/>
    <s v=""/>
    <s v=""/>
  </r>
  <r>
    <s v="Martinsfest.csv"/>
    <s v="#Man"/>
    <x v="0"/>
    <s v="bauer"/>
    <x v="3"/>
    <s v="betrogener"/>
    <x v="0"/>
    <x v="5"/>
    <x v="1"/>
    <n v="2"/>
    <n v="0"/>
    <n v="0.29411764705882398"/>
    <n v="1"/>
    <x v="5"/>
    <x v="1"/>
    <s v=""/>
    <n v="2"/>
    <s v=""/>
    <s v=""/>
    <s v=""/>
  </r>
  <r>
    <s v="Martinsfest.csv"/>
    <s v="#Gesinde"/>
    <x v="2"/>
    <s v="bauer"/>
    <x v="3"/>
    <s v="unbekannt"/>
    <x v="1"/>
    <x v="5"/>
    <x v="1"/>
    <n v="2"/>
    <n v="0"/>
    <n v="0.41666666666666702"/>
    <n v="0.74076625529934303"/>
    <x v="3"/>
    <x v="1"/>
    <s v=""/>
    <s v=""/>
    <s v=""/>
    <s v=""/>
    <s v=""/>
  </r>
  <r>
    <s v="Martinsfest.csv"/>
    <s v="#Diebe"/>
    <x v="2"/>
    <s v="NA"/>
    <x v="3"/>
    <s v="gegenspieler"/>
    <x v="1"/>
    <x v="0"/>
    <x v="1"/>
    <n v="1.2"/>
    <n v="0.15"/>
    <n v="0.41666666666666702"/>
    <n v="0.39059917548970902"/>
    <x v="10"/>
    <x v="1"/>
    <s v=""/>
    <s v=""/>
    <s v=""/>
    <s v=""/>
    <n v="5"/>
  </r>
  <r>
    <s v="Martinsfest.csv"/>
    <s v="#Dieb"/>
    <x v="0"/>
    <s v="NA"/>
    <x v="3"/>
    <s v="betrueger"/>
    <x v="1"/>
    <x v="0"/>
    <x v="1"/>
    <n v="2"/>
    <n v="0.25"/>
    <n v="0.5"/>
    <n v="0.735962824898442"/>
    <x v="4"/>
    <x v="1"/>
    <n v="1"/>
    <s v=""/>
    <s v=""/>
    <s v=""/>
    <s v=""/>
  </r>
  <r>
    <s v="Martinsfest.csv"/>
    <s v="#KnÃ©hte"/>
    <x v="2"/>
    <s v="bauer:knecht"/>
    <x v="3"/>
    <s v="unbekannt"/>
    <x v="1"/>
    <x v="5"/>
    <x v="1"/>
    <n v="1.6"/>
    <n v="0.05"/>
    <n v="0.45454545454545497"/>
    <n v="0.50120521923078298"/>
    <x v="3"/>
    <x v="1"/>
    <s v=""/>
    <s v=""/>
    <s v=""/>
    <s v=""/>
    <s v=""/>
  </r>
  <r>
    <s v="Martinsfest.csv"/>
    <s v="#Wip"/>
    <x v="1"/>
    <s v="bauer"/>
    <x v="3"/>
    <s v="ehefrau"/>
    <x v="1"/>
    <x v="5"/>
    <x v="1"/>
    <n v="1.6"/>
    <n v="0"/>
    <n v="0.41666666666666702"/>
    <n v="0.56931726303234798"/>
    <x v="1"/>
    <x v="1"/>
    <s v=""/>
    <s v=""/>
    <s v=""/>
    <s v=""/>
    <s v=""/>
  </r>
  <r>
    <s v="Minnedurst.csv"/>
    <s v="#Wip"/>
    <x v="1"/>
    <s v="buergerlich:unbekannt"/>
    <x v="0"/>
    <s v="ehefrau/betrueger"/>
    <x v="0"/>
    <x v="3"/>
    <x v="3"/>
    <n v="2"/>
    <n v="0.16666666666666699"/>
    <n v="0.44444444444444398"/>
    <n v="1"/>
    <x v="4"/>
    <x v="1"/>
    <n v="1"/>
    <s v=""/>
    <s v=""/>
    <s v=""/>
    <s v=""/>
  </r>
  <r>
    <s v="Minnedurst.csv"/>
    <s v="#Man"/>
    <x v="0"/>
    <s v="buergerlich:unbekannt"/>
    <x v="3"/>
    <s v="ehemann/betrogener"/>
    <x v="1"/>
    <x v="3"/>
    <x v="3"/>
    <n v="2"/>
    <n v="0.16666666666666699"/>
    <n v="0.44444444444444398"/>
    <n v="0.78652875862854299"/>
    <x v="5"/>
    <x v="1"/>
    <s v=""/>
    <n v="2"/>
    <s v=""/>
    <s v=""/>
    <s v=""/>
  </r>
  <r>
    <s v="Minnedurst.csv"/>
    <s v="#Knabe"/>
    <x v="0"/>
    <s v="unbekannt"/>
    <x v="0"/>
    <s v="liebender/betrueger"/>
    <x v="0"/>
    <x v="2"/>
    <x v="3"/>
    <n v="1.5"/>
    <n v="0"/>
    <n v="0.266666666666667"/>
    <n v="0.93947963678087598"/>
    <x v="4"/>
    <x v="1"/>
    <n v="1"/>
    <s v=""/>
    <s v=""/>
    <s v=""/>
    <s v=""/>
  </r>
  <r>
    <s v="Minnedurst.csv"/>
    <s v="#Meier"/>
    <x v="0"/>
    <s v="buergerlich:meyer"/>
    <x v="3"/>
    <s v="vater"/>
    <x v="1"/>
    <x v="3"/>
    <x v="3"/>
    <n v="1.5"/>
    <n v="0.5"/>
    <n v="0.44444444444444398"/>
    <n v="0.22521804258280201"/>
    <x v="7"/>
    <x v="1"/>
    <s v=""/>
    <s v=""/>
    <s v=""/>
    <s v=""/>
    <s v=""/>
  </r>
  <r>
    <s v="Minnedurst.csv"/>
    <s v="#Wirt"/>
    <x v="0"/>
    <s v="buergerlich:wirt"/>
    <x v="3"/>
    <s v="unbekannt"/>
    <x v="1"/>
    <x v="3"/>
    <x v="3"/>
    <n v="1"/>
    <n v="0.16666666666666699"/>
    <n v="0.4"/>
    <n v="7.3799939632206296E-2"/>
    <x v="3"/>
    <x v="1"/>
    <s v=""/>
    <s v=""/>
    <s v=""/>
    <s v=""/>
    <s v=""/>
  </r>
  <r>
    <s v="Rittertreue.csv"/>
    <s v="#Ritter"/>
    <x v="0"/>
    <s v="adel:ritter"/>
    <x v="5"/>
    <s v="helfer"/>
    <x v="0"/>
    <x v="1"/>
    <x v="0"/>
    <n v="0.33333333333333298"/>
    <n v="0"/>
    <n v="0.26086956521739102"/>
    <n v="0.58180079134140095"/>
    <x v="6"/>
    <x v="3"/>
    <s v=""/>
    <s v=""/>
    <s v=""/>
    <s v=""/>
    <s v=""/>
  </r>
  <r>
    <s v="Rittertreue.csv"/>
    <s v="#Grave-Willekin"/>
    <x v="0"/>
    <s v="adel:ritter"/>
    <x v="0"/>
    <s v="unbekannt"/>
    <x v="0"/>
    <x v="1"/>
    <x v="0"/>
    <n v="1.6666666666666701"/>
    <n v="0.174242424242424"/>
    <n v="0.33333333333333298"/>
    <n v="1"/>
    <x v="3"/>
    <x v="3"/>
    <s v=""/>
    <s v=""/>
    <s v=""/>
    <s v=""/>
    <s v=""/>
  </r>
  <r>
    <s v="Rittertreue.csv"/>
    <s v="#Vater-Willekins"/>
    <x v="0"/>
    <s v="adel:unbekannt"/>
    <x v="2"/>
    <s v="vater"/>
    <x v="1"/>
    <x v="1"/>
    <x v="0"/>
    <n v="0.66666666666666696"/>
    <n v="7.5757575757575801E-2"/>
    <n v="0.375"/>
    <n v="0.25966705918486499"/>
    <x v="7"/>
    <x v="3"/>
    <s v=""/>
    <s v=""/>
    <s v=""/>
    <s v=""/>
    <s v=""/>
  </r>
  <r>
    <s v="Rittertreue.csv"/>
    <s v="#Junc-vrouwe"/>
    <x v="1"/>
    <s v="adel:edelfrau"/>
    <x v="0"/>
    <s v="helfer"/>
    <x v="1"/>
    <x v="1"/>
    <x v="0"/>
    <n v="1.3333333333333299"/>
    <n v="0.54545454545454497"/>
    <n v="0.5"/>
    <n v="0.61955072261073696"/>
    <x v="6"/>
    <x v="3"/>
    <s v=""/>
    <s v=""/>
    <s v=""/>
    <s v=""/>
    <s v=""/>
  </r>
  <r>
    <s v="Rittertreue.csv"/>
    <s v="#Rat-geben-der-vrouwe"/>
    <x v="2"/>
    <s v="adel:ratgeber"/>
    <x v="3"/>
    <s v="ratgeber"/>
    <x v="1"/>
    <x v="1"/>
    <x v="0"/>
    <n v="0.16666666666666699"/>
    <n v="0"/>
    <n v="0.34285714285714303"/>
    <n v="1.9762766371668E-2"/>
    <x v="16"/>
    <x v="3"/>
    <s v=""/>
    <s v=""/>
    <s v=""/>
    <s v=""/>
    <s v=""/>
  </r>
  <r>
    <s v="Rittertreue.csv"/>
    <s v="#Kneht(e-)-der-vrouwe"/>
    <x v="2"/>
    <s v="adel:knecht"/>
    <x v="3"/>
    <s v="unbekannt"/>
    <x v="1"/>
    <x v="1"/>
    <x v="0"/>
    <n v="0.66666666666666696"/>
    <n v="0.11363636363636399"/>
    <n v="0.38709677419354799"/>
    <n v="0.12399173468724201"/>
    <x v="3"/>
    <x v="3"/>
    <s v=""/>
    <s v=""/>
    <s v=""/>
    <s v=""/>
    <s v=""/>
  </r>
  <r>
    <s v="Rittertreue.csv"/>
    <s v="#Garzuon"/>
    <x v="0"/>
    <s v="buergerlich:garzuon"/>
    <x v="3"/>
    <s v="bote"/>
    <x v="1"/>
    <x v="3"/>
    <x v="0"/>
    <n v="0.66666666666666696"/>
    <n v="2.5252525252525301E-2"/>
    <n v="0.38709677419354799"/>
    <n v="0.23995819381793601"/>
    <x v="12"/>
    <x v="3"/>
    <s v=""/>
    <s v=""/>
    <s v=""/>
    <s v=""/>
    <s v=""/>
  </r>
  <r>
    <s v="Rittertreue.csv"/>
    <s v="#Willekins-kneht"/>
    <x v="0"/>
    <s v="adel:knecht"/>
    <x v="3"/>
    <s v="bote"/>
    <x v="1"/>
    <x v="1"/>
    <x v="0"/>
    <n v="0.83333333333333304"/>
    <n v="2.27272727272727E-2"/>
    <n v="0.30769230769230799"/>
    <n v="0.40048964481880001"/>
    <x v="12"/>
    <x v="3"/>
    <s v=""/>
    <s v=""/>
    <s v=""/>
    <s v=""/>
    <s v=""/>
  </r>
  <r>
    <s v="Rittertreue.csv"/>
    <s v="#Muoter-Willekins"/>
    <x v="1"/>
    <s v="adel:edelfrau"/>
    <x v="2"/>
    <s v="mutter"/>
    <x v="1"/>
    <x v="1"/>
    <x v="0"/>
    <n v="0.16666666666666699"/>
    <n v="0"/>
    <n v="0.25531914893617003"/>
    <n v="3.1898544623415598E-2"/>
    <x v="8"/>
    <x v="3"/>
    <s v=""/>
    <s v=""/>
    <s v=""/>
    <s v=""/>
    <s v=""/>
  </r>
  <r>
    <s v="Rittertreue.csv"/>
    <s v="#Richer-manne-dri"/>
    <x v="2"/>
    <s v="buergerlich:buerger"/>
    <x v="3"/>
    <s v="unbekannt"/>
    <x v="1"/>
    <x v="3"/>
    <x v="0"/>
    <n v="0.33333333333333298"/>
    <n v="1.5151515151515201E-2"/>
    <n v="0.34285714285714303"/>
    <n v="3.8564869156755999E-2"/>
    <x v="3"/>
    <x v="3"/>
    <s v=""/>
    <s v=""/>
    <s v=""/>
    <s v=""/>
    <s v=""/>
  </r>
  <r>
    <s v="Rittertreue.csv"/>
    <s v="#Wirt"/>
    <x v="0"/>
    <s v="buergerlich:wirt"/>
    <x v="3"/>
    <s v="helfer"/>
    <x v="1"/>
    <x v="3"/>
    <x v="0"/>
    <n v="1"/>
    <n v="0.26767676767676801"/>
    <n v="0.46153846153846201"/>
    <n v="0.40800593561455401"/>
    <x v="6"/>
    <x v="3"/>
    <s v=""/>
    <s v=""/>
    <s v=""/>
    <s v=""/>
    <s v=""/>
  </r>
  <r>
    <s v="Rittertreue.csv"/>
    <s v="#Ritter-Willekins"/>
    <x v="2"/>
    <s v="adel:ritter"/>
    <x v="3"/>
    <s v="begleiter"/>
    <x v="1"/>
    <x v="1"/>
    <x v="0"/>
    <n v="0.5"/>
    <n v="4.5454545454545497E-2"/>
    <n v="0.32432432432432401"/>
    <n v="0.10260171714093801"/>
    <x v="14"/>
    <x v="3"/>
    <s v=""/>
    <s v=""/>
    <s v=""/>
    <s v=""/>
    <s v=""/>
  </r>
  <r>
    <s v="Rittertreue.csv"/>
    <s v="#Ein-ritter"/>
    <x v="0"/>
    <s v="adel:ritter"/>
    <x v="3"/>
    <s v="gegner"/>
    <x v="1"/>
    <x v="1"/>
    <x v="0"/>
    <n v="0.33333333333333298"/>
    <n v="0.12121212121212099"/>
    <n v="0.38709677419354799"/>
    <n v="8.3559855618499199E-2"/>
    <x v="13"/>
    <x v="3"/>
    <s v=""/>
    <s v=""/>
    <s v=""/>
    <s v=""/>
    <s v=""/>
  </r>
  <r>
    <s v="Scheidung_und_Suehne.csv"/>
    <s v="#Man"/>
    <x v="0"/>
    <s v="unbekannt"/>
    <x v="3"/>
    <s v="ehemann"/>
    <x v="0"/>
    <x v="2"/>
    <x v="3"/>
    <n v="0"/>
    <n v="0"/>
    <n v="0"/>
    <n v="0"/>
    <x v="0"/>
    <x v="1"/>
    <s v=""/>
    <s v=""/>
    <s v=""/>
    <s v=""/>
    <s v=""/>
  </r>
  <r>
    <s v="Scheidung_und_Suehne.csv"/>
    <s v="#Wibe"/>
    <x v="1"/>
    <s v="unbekannt"/>
    <x v="3"/>
    <s v="ehefrau"/>
    <x v="0"/>
    <x v="2"/>
    <x v="3"/>
    <n v="0"/>
    <n v="0"/>
    <n v="0"/>
    <n v="0"/>
    <x v="1"/>
    <x v="1"/>
    <s v=""/>
    <s v=""/>
    <s v=""/>
    <s v=""/>
    <s v=""/>
  </r>
  <r>
    <s v="Thomas_von_Kandelberg.csv"/>
    <s v="#Schuolaere"/>
    <x v="2"/>
    <s v="buergerlich:schueler"/>
    <x v="0"/>
    <s v="helfer"/>
    <x v="0"/>
    <x v="3"/>
    <x v="1"/>
    <n v="1"/>
    <n v="0.5"/>
    <n v="0.133333333333333"/>
    <n v="1"/>
    <x v="6"/>
    <x v="0"/>
    <s v=""/>
    <s v=""/>
    <s v=""/>
    <s v=""/>
    <s v=""/>
  </r>
  <r>
    <s v="Thomas_von_Kandelberg.csv"/>
    <s v="#Ein-jungelink"/>
    <x v="0"/>
    <s v="buergerlich:schueler"/>
    <x v="0"/>
    <s v="helfer"/>
    <x v="1"/>
    <x v="3"/>
    <x v="1"/>
    <n v="0.5"/>
    <n v="0"/>
    <n v="0.102564102564103"/>
    <n v="0.33993198216549397"/>
    <x v="6"/>
    <x v="0"/>
    <s v=""/>
    <s v=""/>
    <s v=""/>
    <s v=""/>
    <s v=""/>
  </r>
  <r>
    <s v="Thomas_von_Kandelberg.csv"/>
    <s v="#Sante-Tomas-von-Kandelberk"/>
    <x v="0"/>
    <s v="buergerlich:schueler"/>
    <x v="0"/>
    <s v="unbekannt"/>
    <x v="0"/>
    <x v="3"/>
    <x v="1"/>
    <n v="1.5"/>
    <n v="0.66666666666666696"/>
    <n v="0.18181818181818199"/>
    <n v="0.97568737339759604"/>
    <x v="3"/>
    <x v="0"/>
    <s v=""/>
    <s v=""/>
    <s v=""/>
    <s v=""/>
    <s v=""/>
  </r>
  <r>
    <s v="Thomas_von_Kandelberg.csv"/>
    <s v="#Bischof"/>
    <x v="0"/>
    <s v="klerus:bischof"/>
    <x v="5"/>
    <s v="unbekannt"/>
    <x v="1"/>
    <x v="4"/>
    <x v="1"/>
    <n v="1"/>
    <n v="0.25"/>
    <n v="0.173913043478261"/>
    <n v="0.13737386314941699"/>
    <x v="3"/>
    <x v="0"/>
    <s v=""/>
    <s v=""/>
    <s v=""/>
    <s v=""/>
    <s v=""/>
  </r>
  <r>
    <s v="Thomas_von_Kandelberg.csv"/>
    <s v="#Babest"/>
    <x v="0"/>
    <s v="klerus:papst"/>
    <x v="3"/>
    <s v="unbekannt"/>
    <x v="1"/>
    <x v="4"/>
    <x v="1"/>
    <n v="1"/>
    <n v="0"/>
    <n v="0.15384615384615399"/>
    <n v="0.23667748507462999"/>
    <x v="3"/>
    <x v="0"/>
    <s v=""/>
    <s v=""/>
    <s v=""/>
    <s v=""/>
    <s v=""/>
  </r>
  <r>
    <s v="Turandot.csv"/>
    <s v="#Kuenig"/>
    <x v="0"/>
    <s v="adel:koenig"/>
    <x v="3"/>
    <s v="vater"/>
    <x v="1"/>
    <x v="1"/>
    <x v="1"/>
    <n v="0.8"/>
    <n v="0"/>
    <n v="0.26315789473684198"/>
    <n v="0.38297489003732998"/>
    <x v="7"/>
    <x v="1"/>
    <s v=""/>
    <s v=""/>
    <s v=""/>
    <s v=""/>
    <s v=""/>
  </r>
  <r>
    <s v="Turandot.csv"/>
    <s v="#Tohter"/>
    <x v="1"/>
    <s v="adel:koenigstochter"/>
    <x v="0"/>
    <s v="gegenspieler"/>
    <x v="0"/>
    <x v="1"/>
    <x v="1"/>
    <n v="2"/>
    <n v="0.4"/>
    <n v="0.55555555555555602"/>
    <n v="0.90094010786408596"/>
    <x v="10"/>
    <x v="1"/>
    <s v=""/>
    <s v=""/>
    <s v=""/>
    <s v=""/>
    <n v="5"/>
  </r>
  <r>
    <s v="Turandot.csv"/>
    <s v="#Dorf-man"/>
    <x v="0"/>
    <s v="unbekannt"/>
    <x v="3"/>
    <s v="vater"/>
    <x v="1"/>
    <x v="2"/>
    <x v="1"/>
    <n v="0.8"/>
    <n v="0"/>
    <n v="0.41666666666666702"/>
    <n v="0.19481364584081901"/>
    <x v="7"/>
    <x v="1"/>
    <s v=""/>
    <s v=""/>
    <s v=""/>
    <s v=""/>
    <s v=""/>
  </r>
  <r>
    <s v="Turandot.csv"/>
    <s v="#Konni"/>
    <x v="0"/>
    <s v="bauer:narr"/>
    <x v="0"/>
    <s v="unbekannt"/>
    <x v="0"/>
    <x v="5"/>
    <x v="1"/>
    <n v="2"/>
    <n v="0.1"/>
    <n v="0.5"/>
    <n v="1"/>
    <x v="3"/>
    <x v="1"/>
    <s v=""/>
    <s v=""/>
    <s v=""/>
    <s v=""/>
    <s v=""/>
  </r>
  <r>
    <s v="Turandot.csv"/>
    <s v="#Junk-her"/>
    <x v="0"/>
    <s v="adel:edelmann"/>
    <x v="0"/>
    <s v="begleiter"/>
    <x v="1"/>
    <x v="1"/>
    <x v="1"/>
    <n v="1.2"/>
    <n v="0"/>
    <n v="0.38461538461538503"/>
    <n v="0.72393701245144604"/>
    <x v="14"/>
    <x v="1"/>
    <s v=""/>
    <s v=""/>
    <s v=""/>
    <s v=""/>
    <s v=""/>
  </r>
  <r>
    <s v="Turandot.csv"/>
    <s v="#Dri-stolzen-rittern"/>
    <x v="2"/>
    <s v="adel:ritter"/>
    <x v="5"/>
    <s v="unbekannt"/>
    <x v="1"/>
    <x v="1"/>
    <x v="1"/>
    <n v="1.2"/>
    <n v="0.5"/>
    <n v="0.55555555555555602"/>
    <n v="0.17627453952137201"/>
    <x v="3"/>
    <x v="1"/>
    <s v=""/>
    <s v=""/>
    <s v=""/>
    <s v=""/>
    <s v=""/>
  </r>
  <r>
    <s v="Unser_Frauen_Ritter_und_die_Jungfrau.csv"/>
    <s v="#Ritter"/>
    <x v="0"/>
    <s v="adel:ritter"/>
    <x v="3"/>
    <s v="liebender"/>
    <x v="0"/>
    <x v="1"/>
    <x v="0"/>
    <n v="1.5"/>
    <n v="0.32142857142857101"/>
    <n v="0.42105263157894701"/>
    <n v="1"/>
    <x v="9"/>
    <x v="0"/>
    <s v=""/>
    <s v=""/>
    <n v="3"/>
    <s v=""/>
    <s v=""/>
  </r>
  <r>
    <s v="Unser_Frauen_Ritter_und_die_Jungfrau.csv"/>
    <s v="#Wirt"/>
    <x v="0"/>
    <s v="buergerlich:wirt"/>
    <x v="3"/>
    <s v="unbekannt"/>
    <x v="1"/>
    <x v="3"/>
    <x v="0"/>
    <n v="0.25"/>
    <n v="0"/>
    <n v="0.32"/>
    <n v="7.8383965115572801E-2"/>
    <x v="3"/>
    <x v="0"/>
    <s v=""/>
    <s v=""/>
    <s v=""/>
    <s v=""/>
    <s v=""/>
  </r>
  <r>
    <s v="Unser_Frauen_Ritter_und_die_Jungfrau.csv"/>
    <s v="#Maget"/>
    <x v="1"/>
    <s v="unbekannt"/>
    <x v="0"/>
    <s v="liebende"/>
    <x v="0"/>
    <x v="2"/>
    <x v="0"/>
    <n v="1.25"/>
    <n v="0.107142857142857"/>
    <n v="0.38095238095238099"/>
    <n v="0.99683395754702397"/>
    <x v="11"/>
    <x v="0"/>
    <s v=""/>
    <s v=""/>
    <s v=""/>
    <n v="4"/>
    <s v=""/>
  </r>
  <r>
    <s v="Unser_Frauen_Ritter_und_die_Jungfrau.csv"/>
    <s v="#Vater-der-vrouwe"/>
    <x v="0"/>
    <s v="unbekannt"/>
    <x v="3"/>
    <s v="vater"/>
    <x v="1"/>
    <x v="2"/>
    <x v="0"/>
    <n v="1"/>
    <n v="1.7857142857142901E-2"/>
    <n v="0.38095238095238099"/>
    <n v="0.185618845489193"/>
    <x v="7"/>
    <x v="0"/>
    <s v=""/>
    <s v=""/>
    <s v=""/>
    <s v=""/>
    <s v=""/>
  </r>
  <r>
    <s v="Unser_Frauen_Ritter_und_die_Jungfrau.csv"/>
    <s v="#Muoter-der-vrouwe"/>
    <x v="1"/>
    <s v="unbekannt"/>
    <x v="3"/>
    <s v="mutter"/>
    <x v="1"/>
    <x v="2"/>
    <x v="0"/>
    <n v="1"/>
    <n v="1.7857142857142901E-2"/>
    <n v="0.38095238095238099"/>
    <n v="0.185618845489192"/>
    <x v="8"/>
    <x v="0"/>
    <s v=""/>
    <s v=""/>
    <s v=""/>
    <s v=""/>
    <s v=""/>
  </r>
  <r>
    <s v="Unser_Frauen_Ritter_und_die_Jungfrau.csv"/>
    <s v="#Wip"/>
    <x v="1"/>
    <s v="unbekannt"/>
    <x v="3"/>
    <s v="unbekannt"/>
    <x v="1"/>
    <x v="2"/>
    <x v="0"/>
    <n v="1"/>
    <n v="1.7857142857142901E-2"/>
    <n v="0.38095238095238099"/>
    <n v="0.185618845489193"/>
    <x v="3"/>
    <x v="0"/>
    <s v=""/>
    <s v=""/>
    <s v=""/>
    <s v=""/>
    <s v=""/>
  </r>
  <r>
    <s v="Unser_Frauen_Ritter_und_die_Jungfrau.csv"/>
    <s v="#Schuoler"/>
    <x v="0"/>
    <s v="buergerlich:schueler"/>
    <x v="0"/>
    <s v="helfer"/>
    <x v="1"/>
    <x v="3"/>
    <x v="0"/>
    <n v="0.75"/>
    <n v="0.23214285714285701"/>
    <n v="0.38095238095238099"/>
    <n v="0.16046333982659999"/>
    <x v="6"/>
    <x v="0"/>
    <s v=""/>
    <s v=""/>
    <s v=""/>
    <s v=""/>
    <s v=""/>
  </r>
  <r>
    <s v="Unser_Frauen_Ritter_und_die_Jungfrau.csv"/>
    <s v="#Einer"/>
    <x v="0"/>
    <s v="unbekannt"/>
    <x v="3"/>
    <s v="unbekannt"/>
    <x v="1"/>
    <x v="2"/>
    <x v="0"/>
    <n v="0.25"/>
    <n v="0"/>
    <n v="0.24242424242424199"/>
    <n v="2.5155505662592999E-2"/>
    <x v="3"/>
    <x v="0"/>
    <s v=""/>
    <s v=""/>
    <s v=""/>
    <s v=""/>
    <s v=""/>
  </r>
  <r>
    <s v="Unser_Frauen_Ritter_und_die_Jungfrau.csv"/>
    <s v="#Bischof"/>
    <x v="0"/>
    <s v="klerus:bischof"/>
    <x v="3"/>
    <s v="unbekannt"/>
    <x v="1"/>
    <x v="4"/>
    <x v="0"/>
    <n v="0"/>
    <n v="0"/>
    <n v="0.11111111111111099"/>
    <n v="1.10144031914012E-17"/>
    <x v="3"/>
    <x v="0"/>
    <s v=""/>
    <s v=""/>
    <s v=""/>
    <s v=""/>
    <s v=""/>
  </r>
  <r>
    <s v="Von_der_ueblen_Adelheit_und_irem_Man.csv"/>
    <s v="#Der-guot-Markhart"/>
    <x v="0"/>
    <s v="unbekannt"/>
    <x v="3"/>
    <s v="unbekannt"/>
    <x v="0"/>
    <x v="2"/>
    <x v="3"/>
    <n v="2"/>
    <n v="0.16666666666666699"/>
    <n v="0.75"/>
    <n v="1"/>
    <x v="3"/>
    <x v="1"/>
    <s v=""/>
    <s v=""/>
    <s v=""/>
    <s v=""/>
    <s v=""/>
  </r>
  <r>
    <s v="Von_der_ueblen_Adelheit_und_irem_Man.csv"/>
    <s v="#Diu-uebel-Adelheit"/>
    <x v="1"/>
    <s v="unbekannt"/>
    <x v="3"/>
    <s v="gegenspieler"/>
    <x v="0"/>
    <x v="2"/>
    <x v="3"/>
    <n v="2"/>
    <n v="0.16666666666666699"/>
    <n v="0.75"/>
    <n v="1"/>
    <x v="10"/>
    <x v="1"/>
    <s v=""/>
    <s v=""/>
    <s v=""/>
    <s v=""/>
    <n v="5"/>
  </r>
  <r>
    <s v="Von_der_ueblen_Adelheit_und_irem_Man.csv"/>
    <s v="#Ein-man"/>
    <x v="0"/>
    <s v="unbekannt"/>
    <x v="3"/>
    <s v="unbekannt"/>
    <x v="1"/>
    <x v="2"/>
    <x v="3"/>
    <n v="1.3333333333333299"/>
    <n v="0.16666666666666699"/>
    <n v="0.75"/>
    <n v="0.140054944640259"/>
    <x v="3"/>
    <x v="1"/>
    <s v=""/>
    <s v=""/>
    <s v=""/>
    <s v=""/>
    <s v=""/>
  </r>
  <r>
    <s v="Von_der_ueblen_Adelheit_und_irem_Man.csv"/>
    <s v="#Ein-her"/>
    <x v="0"/>
    <s v="unbekannt"/>
    <x v="3"/>
    <s v="helfer"/>
    <x v="1"/>
    <x v="2"/>
    <x v="3"/>
    <n v="1.3333333333333299"/>
    <n v="0.16666666666666699"/>
    <n v="0.75"/>
    <n v="0.140054944640259"/>
    <x v="6"/>
    <x v="1"/>
    <s v=""/>
    <s v=""/>
    <s v=""/>
    <s v=""/>
    <s v=""/>
  </r>
  <r>
    <s v="Weiberlist.csv"/>
    <s v="#Man"/>
    <x v="0"/>
    <s v="unbekannt"/>
    <x v="3"/>
    <s v="ehemann/betrogener"/>
    <x v="0"/>
    <x v="2"/>
    <x v="3"/>
    <n v="2"/>
    <n v="0.25"/>
    <n v="0.33333333333333298"/>
    <n v="1"/>
    <x v="5"/>
    <x v="1"/>
    <s v=""/>
    <n v="2"/>
    <s v=""/>
    <s v=""/>
    <s v=""/>
  </r>
  <r>
    <s v="Weiberlist.csv"/>
    <s v="#Wip"/>
    <x v="1"/>
    <s v="unbekannt"/>
    <x v="3"/>
    <s v="ehefrau/betrueger"/>
    <x v="0"/>
    <x v="2"/>
    <x v="3"/>
    <n v="2"/>
    <n v="0.25"/>
    <n v="0.33333333333333298"/>
    <n v="1"/>
    <x v="4"/>
    <x v="1"/>
    <n v="1"/>
    <s v=""/>
    <s v=""/>
    <s v=""/>
    <s v=""/>
  </r>
  <r>
    <s v="Weiberlist.csv"/>
    <s v="#Buhler"/>
    <x v="0"/>
    <s v="unbekannt"/>
    <x v="3"/>
    <s v="betrueger"/>
    <x v="1"/>
    <x v="2"/>
    <x v="3"/>
    <n v="1"/>
    <n v="0.16666666666666699"/>
    <n v="0.30769230769230799"/>
    <n v="0.11111111111111099"/>
    <x v="4"/>
    <x v="1"/>
    <n v="1"/>
    <s v=""/>
    <s v=""/>
    <s v=""/>
    <s v=""/>
  </r>
  <r>
    <s v="Weiberlist.csv"/>
    <s v="#Nah-gebueren"/>
    <x v="2"/>
    <s v="unbekannt"/>
    <x v="3"/>
    <s v="unbekannt"/>
    <x v="1"/>
    <x v="2"/>
    <x v="3"/>
    <n v="1"/>
    <n v="0"/>
    <n v="0.25"/>
    <n v="0.22222222222222199"/>
    <x v="3"/>
    <x v="1"/>
    <s v=""/>
    <s v=""/>
    <s v=""/>
    <s v=""/>
    <s v=""/>
  </r>
  <r>
    <s v="Weiberlist.csv"/>
    <s v="#Vuegerinne"/>
    <x v="1"/>
    <s v="buergerlich:kupplerin"/>
    <x v="2"/>
    <s v="helfer"/>
    <x v="1"/>
    <x v="3"/>
    <x v="3"/>
    <n v="1"/>
    <n v="0"/>
    <n v="0.12903225806451599"/>
    <n v="0.77777777777777801"/>
    <x v="6"/>
    <x v="1"/>
    <s v=""/>
    <s v=""/>
    <s v=""/>
    <s v=""/>
    <s v=""/>
  </r>
  <r>
    <s v="Zwei_Kaufmaenner_und_die_treue_Hausfrau.csv"/>
    <s v="#Gillam"/>
    <x v="0"/>
    <s v="buergerlich:kaufmann"/>
    <x v="3"/>
    <s v="vater"/>
    <x v="1"/>
    <x v="3"/>
    <x v="3"/>
    <n v="0.57142857142857095"/>
    <n v="3.1135531135531101E-2"/>
    <n v="0.32558139534883701"/>
    <n v="0.156569428317231"/>
    <x v="7"/>
    <x v="1"/>
    <s v=""/>
    <s v=""/>
    <s v=""/>
    <s v=""/>
    <s v=""/>
  </r>
  <r>
    <s v="Zwei_Kaufmaenner_und_die_treue_Hausfrau.csv"/>
    <s v="#Gillot"/>
    <x v="0"/>
    <s v="buergerlich:kaufmann"/>
    <x v="3"/>
    <s v="vater"/>
    <x v="1"/>
    <x v="3"/>
    <x v="3"/>
    <n v="0.71428571428571397"/>
    <n v="3.1135531135531101E-2"/>
    <n v="0.32558139534883701"/>
    <n v="0.18408291566361601"/>
    <x v="7"/>
    <x v="1"/>
    <s v=""/>
    <s v=""/>
    <s v=""/>
    <s v=""/>
    <s v=""/>
  </r>
  <r>
    <s v="Zwei_Kaufmaenner_und_die_treue_Hausfrau.csv"/>
    <s v="#Bertram"/>
    <x v="0"/>
    <s v="buergerlich:kaufmann"/>
    <x v="0"/>
    <s v="ehemann"/>
    <x v="0"/>
    <x v="3"/>
    <x v="3"/>
    <n v="1.28571428571429"/>
    <n v="0.55311355311355304"/>
    <n v="0.51851851851851805"/>
    <n v="0.85061628254505495"/>
    <x v="0"/>
    <x v="1"/>
    <s v=""/>
    <s v=""/>
    <s v=""/>
    <s v=""/>
    <s v=""/>
  </r>
  <r>
    <s v="Zwei_Kaufmaenner_und_die_treue_Hausfrau.csv"/>
    <s v="#Irmengart"/>
    <x v="1"/>
    <s v="buergerlich:ehefrau"/>
    <x v="0"/>
    <s v="ehefrau/betrueger"/>
    <x v="0"/>
    <x v="3"/>
    <x v="3"/>
    <n v="1.5714285714285701"/>
    <n v="0.33516483516483497"/>
    <n v="0.42424242424242398"/>
    <n v="1"/>
    <x v="4"/>
    <x v="1"/>
    <n v="1"/>
    <s v=""/>
    <s v=""/>
    <s v=""/>
    <s v=""/>
  </r>
  <r>
    <s v="Zwei_Kaufmaenner_und_die_treue_Hausfrau.csv"/>
    <s v="#Gillots-frau"/>
    <x v="1"/>
    <s v="buergerlich:ehefrau"/>
    <x v="3"/>
    <s v="mutter"/>
    <x v="1"/>
    <x v="3"/>
    <x v="3"/>
    <n v="0.28571428571428598"/>
    <n v="0"/>
    <n v="0.30434782608695699"/>
    <n v="4.9947428029942301E-2"/>
    <x v="8"/>
    <x v="1"/>
    <s v=""/>
    <s v=""/>
    <s v=""/>
    <s v=""/>
    <s v=""/>
  </r>
  <r>
    <s v="Zwei_Kaufmaenner_und_die_treue_Hausfrau.csv"/>
    <s v="#Hogier"/>
    <x v="0"/>
    <s v="buergerlich:wirt"/>
    <x v="3"/>
    <s v="betrogener"/>
    <x v="0"/>
    <x v="3"/>
    <x v="3"/>
    <n v="1"/>
    <n v="7.1428571428571397E-2"/>
    <n v="0.37837837837837801"/>
    <n v="0.89999606847065805"/>
    <x v="5"/>
    <x v="1"/>
    <s v=""/>
    <n v="2"/>
    <s v=""/>
    <s v=""/>
    <s v=""/>
  </r>
  <r>
    <s v="Zwei_Kaufmaenner_und_die_treue_Hausfrau.csv"/>
    <s v="#Erster"/>
    <x v="0"/>
    <s v="unbekannt"/>
    <x v="3"/>
    <s v="ehemann"/>
    <x v="1"/>
    <x v="2"/>
    <x v="3"/>
    <n v="0.57142857142857095"/>
    <n v="0.29120879120879101"/>
    <n v="0.41176470588235298"/>
    <n v="4.5688951793952E-2"/>
    <x v="0"/>
    <x v="1"/>
    <s v=""/>
    <s v=""/>
    <s v=""/>
    <s v=""/>
    <s v=""/>
  </r>
  <r>
    <s v="Zwei_Kaufmaenner_und_die_treue_Hausfrau.csv"/>
    <s v="#Zweiter"/>
    <x v="0"/>
    <s v="unbekannt"/>
    <x v="3"/>
    <s v="ehemann"/>
    <x v="1"/>
    <x v="2"/>
    <x v="3"/>
    <n v="0.28571428571428598"/>
    <n v="0"/>
    <n v="0.24137931034482801"/>
    <n v="2.4091536982672299E-3"/>
    <x v="0"/>
    <x v="1"/>
    <s v=""/>
    <s v=""/>
    <s v=""/>
    <s v=""/>
    <s v=""/>
  </r>
  <r>
    <s v="Zwei_Kaufmaenner_und_die_treue_Hausfrau.csv"/>
    <s v="#Dritter"/>
    <x v="0"/>
    <s v="unbekannt"/>
    <x v="3"/>
    <s v="ehemann"/>
    <x v="1"/>
    <x v="2"/>
    <x v="3"/>
    <n v="0.28571428571428598"/>
    <n v="7.1428571428571397E-2"/>
    <n v="0.31111111111111101"/>
    <n v="1.25096772830853E-3"/>
    <x v="0"/>
    <x v="1"/>
    <s v=""/>
    <s v=""/>
    <s v=""/>
    <s v=""/>
    <s v=""/>
  </r>
  <r>
    <s v="Zwei_Kaufmaenner_und_die_treue_Hausfrau.csv"/>
    <s v="#Bote"/>
    <x v="0"/>
    <s v="unbekannt"/>
    <x v="3"/>
    <s v="bote"/>
    <x v="1"/>
    <x v="2"/>
    <x v="3"/>
    <n v="0.42857142857142899"/>
    <n v="0.305860805860806"/>
    <n v="0.46666666666666701"/>
    <n v="7.1539767502156806E-2"/>
    <x v="12"/>
    <x v="1"/>
    <s v=""/>
    <s v=""/>
    <s v=""/>
    <s v=""/>
    <s v=""/>
  </r>
  <r>
    <s v="Zwei_Kaufmaenner_und_die_treue_Hausfrau.csv"/>
    <s v="#Vriunde"/>
    <x v="2"/>
    <s v="unbekannt"/>
    <x v="3"/>
    <s v="unbekannt"/>
    <x v="1"/>
    <x v="2"/>
    <x v="3"/>
    <n v="0.57142857142857095"/>
    <n v="0"/>
    <n v="0.35897435897435898"/>
    <n v="0.228192975816009"/>
    <x v="3"/>
    <x v="1"/>
    <s v=""/>
    <s v=""/>
    <s v=""/>
    <s v=""/>
    <s v=""/>
  </r>
  <r>
    <s v="Zwei_Kaufmaenner_und_die_treue_Hausfrau.csv"/>
    <s v="#Gesinde"/>
    <x v="2"/>
    <s v="buergerlich:gesinde"/>
    <x v="3"/>
    <s v="unbekannt"/>
    <x v="1"/>
    <x v="3"/>
    <x v="3"/>
    <n v="0.57142857142857095"/>
    <n v="0"/>
    <n v="0.35897435897435898"/>
    <n v="0.223122903254032"/>
    <x v="3"/>
    <x v="1"/>
    <s v=""/>
    <s v=""/>
    <s v=""/>
    <s v=""/>
    <s v=""/>
  </r>
  <r>
    <s v="Zwei_Kaufmaenner_und_die_treue_Hausfrau.csv"/>
    <s v="#Dirn-Amelin"/>
    <x v="1"/>
    <s v="buergerlich:magd"/>
    <x v="3"/>
    <s v="helfer"/>
    <x v="1"/>
    <x v="3"/>
    <x v="3"/>
    <n v="0.42857142857142899"/>
    <n v="0"/>
    <n v="0.35"/>
    <n v="0.55529958825589698"/>
    <x v="6"/>
    <x v="1"/>
    <s v=""/>
    <s v=""/>
    <s v=""/>
    <s v=""/>
    <s v=""/>
  </r>
  <r>
    <s v="Zwei_Kaufmaenner_und_die_treue_Hausfrau.csv"/>
    <s v="#Muomen-von-Irmegart"/>
    <x v="1"/>
    <s v="buergerlich:mume"/>
    <x v="3"/>
    <s v="unbekannt"/>
    <x v="1"/>
    <x v="3"/>
    <x v="3"/>
    <n v="0.28571428571428598"/>
    <n v="4.7619047619047603E-2"/>
    <n v="0.31818181818181801"/>
    <n v="3.0796421189111099E-2"/>
    <x v="3"/>
    <x v="1"/>
    <s v=""/>
    <s v=""/>
    <s v=""/>
    <s v=""/>
    <s v=""/>
  </r>
  <r>
    <s v="Zwei_Kaufmaenner_und_die_treue_Hausfrau.csv"/>
    <s v="#Gillams-vrouwe"/>
    <x v="1"/>
    <s v="buergerlich:ehefrau"/>
    <x v="3"/>
    <s v="ehefrau"/>
    <x v="1"/>
    <x v="3"/>
    <x v="3"/>
    <n v="0.28571428571428598"/>
    <n v="4.7619047619047603E-2"/>
    <n v="0.31818181818181801"/>
    <n v="3.0080831990507002E-2"/>
    <x v="1"/>
    <x v="1"/>
    <s v=""/>
    <s v=""/>
    <s v=""/>
    <s v=""/>
    <s 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1">
  <r>
    <s v="Adam_und_Eva.csv"/>
    <s v="#Adam"/>
    <x v="0"/>
    <s v="NA"/>
    <x v="0"/>
    <x v="0"/>
    <x v="0"/>
    <x v="0"/>
    <x v="0"/>
    <n v="0"/>
    <n v="0"/>
    <n v="0"/>
    <n v="0"/>
    <x v="0"/>
    <x v="0"/>
    <s v=""/>
    <s v=""/>
    <s v=""/>
    <s v=""/>
    <s v=""/>
  </r>
  <r>
    <s v="Adam_und_Eva.csv"/>
    <s v="#Eva"/>
    <x v="1"/>
    <s v="NA"/>
    <x v="0"/>
    <x v="1"/>
    <x v="0"/>
    <x v="0"/>
    <x v="0"/>
    <n v="0"/>
    <n v="0"/>
    <n v="0"/>
    <n v="0"/>
    <x v="1"/>
    <x v="0"/>
    <s v=""/>
    <s v=""/>
    <s v=""/>
    <s v=""/>
    <s v=""/>
  </r>
  <r>
    <s v="Adam_und_Eva.csv"/>
    <s v="#Kain"/>
    <x v="0"/>
    <s v="NA"/>
    <x v="1"/>
    <x v="2"/>
    <x v="1"/>
    <x v="0"/>
    <x v="0"/>
    <n v="0"/>
    <n v="0"/>
    <n v="0"/>
    <n v="0"/>
    <x v="2"/>
    <x v="0"/>
    <s v=""/>
    <s v=""/>
    <s v=""/>
    <s v=""/>
    <s v=""/>
  </r>
  <r>
    <s v="Alten_Weibes_List.csv"/>
    <s v="#Morolf"/>
    <x v="0"/>
    <s v="adel:koenig"/>
    <x v="2"/>
    <x v="3"/>
    <x v="1"/>
    <x v="1"/>
    <x v="1"/>
    <n v="0.44444444444444398"/>
    <n v="0.22222222222222199"/>
    <n v="0.40909090909090901"/>
    <n v="3.83871767284353E-2"/>
    <x v="3"/>
    <x v="1"/>
    <s v=""/>
    <s v=""/>
    <s v=""/>
    <s v=""/>
    <s v=""/>
  </r>
  <r>
    <s v="Alten_Weibes_List.csv"/>
    <s v="#Ein-Jude"/>
    <x v="0"/>
    <s v="unbekannt"/>
    <x v="2"/>
    <x v="3"/>
    <x v="1"/>
    <x v="2"/>
    <x v="1"/>
    <n v="0.22222222222222199"/>
    <n v="0"/>
    <n v="0.3"/>
    <n v="1.47141028894164E-3"/>
    <x v="3"/>
    <x v="1"/>
    <s v=""/>
    <s v=""/>
    <s v=""/>
    <s v=""/>
    <s v=""/>
  </r>
  <r>
    <s v="Alten_Weibes_List.csv"/>
    <s v="#Frau-Mez-die-Kouflerin"/>
    <x v="1"/>
    <s v="buergerlich:unbekannt"/>
    <x v="2"/>
    <x v="4"/>
    <x v="0"/>
    <x v="3"/>
    <x v="1"/>
    <n v="1.7777777777777799"/>
    <n v="0.72222222222222199"/>
    <n v="0.5625"/>
    <n v="1"/>
    <x v="4"/>
    <x v="1"/>
    <n v="1"/>
    <s v=""/>
    <s v=""/>
    <s v=""/>
    <s v=""/>
  </r>
  <r>
    <s v="Alten_Weibes_List.csv"/>
    <s v="#Kor-herren-viere"/>
    <x v="2"/>
    <s v="klerus:chor"/>
    <x v="3"/>
    <x v="3"/>
    <x v="1"/>
    <x v="4"/>
    <x v="1"/>
    <n v="0.88888888888888895"/>
    <n v="0"/>
    <n v="0.34615384615384598"/>
    <n v="0.183761782169198"/>
    <x v="3"/>
    <x v="1"/>
    <s v=""/>
    <s v=""/>
    <s v=""/>
    <s v=""/>
    <s v=""/>
  </r>
  <r>
    <s v="Alten_Weibes_List.csv"/>
    <s v="#Heinrich"/>
    <x v="0"/>
    <s v="klerus:domprobst"/>
    <x v="0"/>
    <x v="3"/>
    <x v="0"/>
    <x v="4"/>
    <x v="1"/>
    <n v="1.1111111111111101"/>
    <n v="0"/>
    <n v="0.28125"/>
    <n v="0.72175853524477496"/>
    <x v="3"/>
    <x v="1"/>
    <s v=""/>
    <s v=""/>
    <s v=""/>
    <s v=""/>
    <s v=""/>
  </r>
  <r>
    <s v="Alten_Weibes_List.csv"/>
    <s v="#Wip"/>
    <x v="1"/>
    <s v="buergerlich:ehefrau"/>
    <x v="0"/>
    <x v="5"/>
    <x v="0"/>
    <x v="3"/>
    <x v="1"/>
    <n v="1.1111111111111101"/>
    <n v="0"/>
    <n v="0.31034482758620702"/>
    <n v="0.81643093382051901"/>
    <x v="5"/>
    <x v="1"/>
    <s v=""/>
    <n v="2"/>
    <s v=""/>
    <s v=""/>
    <s v=""/>
  </r>
  <r>
    <s v="Alten_Weibes_List.csv"/>
    <s v="#Einer-krame"/>
    <x v="1"/>
    <s v="buergerlich:kraemer"/>
    <x v="3"/>
    <x v="3"/>
    <x v="1"/>
    <x v="3"/>
    <x v="1"/>
    <n v="0.44444444444444398"/>
    <n v="0.16666666666666699"/>
    <n v="0.40909090909090901"/>
    <n v="6.9625208024108598E-2"/>
    <x v="3"/>
    <x v="1"/>
    <s v=""/>
    <s v=""/>
    <s v=""/>
    <s v=""/>
    <s v=""/>
  </r>
  <r>
    <s v="Alten_Weibes_List.csv"/>
    <s v="#Dienst-magt"/>
    <x v="1"/>
    <s v="buergerlich:magd"/>
    <x v="0"/>
    <x v="6"/>
    <x v="1"/>
    <x v="3"/>
    <x v="1"/>
    <n v="0.44444444444444398"/>
    <n v="0"/>
    <n v="0.28125"/>
    <n v="0.20183927923720699"/>
    <x v="6"/>
    <x v="1"/>
    <s v=""/>
    <s v=""/>
    <s v=""/>
    <s v=""/>
    <s v=""/>
  </r>
  <r>
    <s v="Alten_Weibes_List.csv"/>
    <s v="#Schreiber"/>
    <x v="0"/>
    <s v="klerus:schreiber"/>
    <x v="3"/>
    <x v="6"/>
    <x v="1"/>
    <x v="4"/>
    <x v="1"/>
    <n v="0.88888888888888895"/>
    <n v="0.29166666666666702"/>
    <n v="0.47368421052631599"/>
    <n v="0.12246457943637699"/>
    <x v="6"/>
    <x v="1"/>
    <s v=""/>
    <s v=""/>
    <s v=""/>
    <s v=""/>
    <s v=""/>
  </r>
  <r>
    <s v="Alten_Weibes_List.csv"/>
    <s v="#Der-vrouwen-eman"/>
    <x v="0"/>
    <s v="buergerlich:burger"/>
    <x v="0"/>
    <x v="7"/>
    <x v="0"/>
    <x v="3"/>
    <x v="1"/>
    <n v="1.1111111111111101"/>
    <n v="2.7777777777777801E-2"/>
    <n v="0.375"/>
    <n v="0.383900632830871"/>
    <x v="5"/>
    <x v="1"/>
    <s v=""/>
    <n v="2"/>
    <s v=""/>
    <s v=""/>
    <s v=""/>
  </r>
  <r>
    <s v="Aristoteles_und_Phyllis.csv"/>
    <s v="#Fillipus"/>
    <x v="0"/>
    <s v="adel:koenig"/>
    <x v="2"/>
    <x v="8"/>
    <x v="1"/>
    <x v="1"/>
    <x v="2"/>
    <n v="1.6"/>
    <n v="0"/>
    <n v="0.27777777777777801"/>
    <n v="0.45186423914524898"/>
    <x v="7"/>
    <x v="2"/>
    <s v=""/>
    <s v=""/>
    <s v=""/>
    <s v=""/>
    <s v=""/>
  </r>
  <r>
    <s v="Aristoteles_und_Phyllis.csv"/>
    <s v="#Frau-Koenigin"/>
    <x v="1"/>
    <s v="adel:koenigin"/>
    <x v="2"/>
    <x v="9"/>
    <x v="1"/>
    <x v="1"/>
    <x v="2"/>
    <n v="2"/>
    <n v="0.4"/>
    <n v="0.35714285714285698"/>
    <n v="0.40780303044572702"/>
    <x v="8"/>
    <x v="2"/>
    <s v=""/>
    <s v=""/>
    <s v=""/>
    <s v=""/>
    <s v=""/>
  </r>
  <r>
    <s v="Aristoteles_und_Phyllis.csv"/>
    <s v="#Alexander"/>
    <x v="0"/>
    <s v="adel:koenigssohn"/>
    <x v="0"/>
    <x v="10"/>
    <x v="0"/>
    <x v="1"/>
    <x v="2"/>
    <n v="2"/>
    <n v="0.1"/>
    <n v="0.33333333333333298"/>
    <n v="0.68260571356004196"/>
    <x v="9"/>
    <x v="2"/>
    <s v=""/>
    <s v=""/>
    <n v="3"/>
    <s v=""/>
    <s v=""/>
  </r>
  <r>
    <s v="Aristoteles_und_Phyllis.csv"/>
    <s v="#Aristoteles"/>
    <x v="0"/>
    <s v="buergerlich:gelehrter"/>
    <x v="2"/>
    <x v="11"/>
    <x v="0"/>
    <x v="3"/>
    <x v="2"/>
    <n v="1.6"/>
    <n v="0"/>
    <n v="0.22727272727272699"/>
    <n v="0.92457227880880199"/>
    <x v="10"/>
    <x v="2"/>
    <s v=""/>
    <s v=""/>
    <s v=""/>
    <s v=""/>
    <n v="5"/>
  </r>
  <r>
    <s v="Aristoteles_und_Phyllis.csv"/>
    <s v="#Fillis"/>
    <x v="1"/>
    <s v="adel:hofstaat"/>
    <x v="0"/>
    <x v="12"/>
    <x v="0"/>
    <x v="1"/>
    <x v="2"/>
    <n v="2"/>
    <n v="0"/>
    <n v="0.27777777777777801"/>
    <n v="1"/>
    <x v="11"/>
    <x v="2"/>
    <s v=""/>
    <s v=""/>
    <s v=""/>
    <n v="4"/>
    <s v=""/>
  </r>
  <r>
    <s v="Aristoteles_und_Phyllis.csv"/>
    <s v="#Der-Koeniginnen-Jungfrauen"/>
    <x v="2"/>
    <s v="adel:hofstaat"/>
    <x v="0"/>
    <x v="3"/>
    <x v="1"/>
    <x v="1"/>
    <x v="2"/>
    <n v="1.2"/>
    <n v="0.4"/>
    <n v="0.38461538461538503"/>
    <n v="0.12404363187041401"/>
    <x v="3"/>
    <x v="2"/>
    <s v=""/>
    <s v=""/>
    <s v=""/>
    <s v=""/>
    <s v=""/>
  </r>
  <r>
    <s v="Berchta_mit_der_langen_Nase.csv"/>
    <s v="#Vater"/>
    <x v="0"/>
    <s v="unbekannt"/>
    <x v="3"/>
    <x v="7"/>
    <x v="0"/>
    <x v="2"/>
    <x v="3"/>
    <n v="2"/>
    <n v="0.66666666666666696"/>
    <n v="0.75"/>
    <n v="1"/>
    <x v="5"/>
    <x v="1"/>
    <s v=""/>
    <n v="2"/>
    <s v=""/>
    <s v=""/>
    <s v=""/>
  </r>
  <r>
    <s v="Berchta_mit_der_langen_Nase.csv"/>
    <s v="#Gesinde"/>
    <x v="2"/>
    <s v="unbekannt"/>
    <x v="3"/>
    <x v="3"/>
    <x v="1"/>
    <x v="2"/>
    <x v="3"/>
    <n v="1.3333333333333299"/>
    <n v="0.66666666666666696"/>
    <n v="0.75"/>
    <n v="0.53216822606869996"/>
    <x v="3"/>
    <x v="1"/>
    <s v=""/>
    <s v=""/>
    <s v=""/>
    <s v=""/>
    <s v=""/>
  </r>
  <r>
    <s v="Berchta_mit_der_langen_Nase.csv"/>
    <s v="#Kinde"/>
    <x v="3"/>
    <s v="unbekannt"/>
    <x v="1"/>
    <x v="6"/>
    <x v="0"/>
    <x v="2"/>
    <x v="3"/>
    <n v="1.3333333333333299"/>
    <n v="0"/>
    <n v="0.5"/>
    <n v="0.95935180783908602"/>
    <x v="6"/>
    <x v="1"/>
    <s v=""/>
    <s v=""/>
    <s v=""/>
    <s v=""/>
    <s v=""/>
  </r>
  <r>
    <s v="Berchta_mit_der_langen_Nase.csv"/>
    <s v="#Muoter"/>
    <x v="1"/>
    <s v="unbekannt"/>
    <x v="3"/>
    <x v="13"/>
    <x v="1"/>
    <x v="2"/>
    <x v="3"/>
    <n v="0.66666666666666696"/>
    <n v="0"/>
    <n v="0.5"/>
    <n v="0.27160422336589701"/>
    <x v="4"/>
    <x v="1"/>
    <n v="1"/>
    <s v=""/>
    <s v=""/>
    <s v=""/>
    <s v=""/>
  </r>
  <r>
    <s v="Das_Auge.csv"/>
    <s v="#Herre"/>
    <x v="0"/>
    <s v="adel:ritter"/>
    <x v="0"/>
    <x v="0"/>
    <x v="0"/>
    <x v="1"/>
    <x v="3"/>
    <n v="2"/>
    <n v="0.16666666666666699"/>
    <n v="0.42857142857142899"/>
    <n v="1"/>
    <x v="0"/>
    <x v="1"/>
    <s v=""/>
    <s v=""/>
    <s v=""/>
    <s v=""/>
    <s v=""/>
  </r>
  <r>
    <s v="Das_Auge.csv"/>
    <s v="#Wip"/>
    <x v="1"/>
    <s v="adel:edelfrau"/>
    <x v="0"/>
    <x v="1"/>
    <x v="0"/>
    <x v="1"/>
    <x v="3"/>
    <n v="2"/>
    <n v="0.16666666666666699"/>
    <n v="0.42857142857142899"/>
    <n v="1"/>
    <x v="1"/>
    <x v="1"/>
    <s v=""/>
    <s v=""/>
    <s v=""/>
    <s v=""/>
    <s v=""/>
  </r>
  <r>
    <s v="Das_Auge.csv"/>
    <s v="#Ritter"/>
    <x v="0"/>
    <s v="adel:ritter"/>
    <x v="0"/>
    <x v="11"/>
    <x v="1"/>
    <x v="1"/>
    <x v="3"/>
    <n v="1.3333333333333299"/>
    <n v="0.33333333333333298"/>
    <n v="0.42857142857142899"/>
    <n v="0.12414315171437"/>
    <x v="10"/>
    <x v="1"/>
    <s v=""/>
    <s v=""/>
    <s v=""/>
    <s v=""/>
    <n v="5"/>
  </r>
  <r>
    <s v="Das_Auge.csv"/>
    <s v="#Knappe"/>
    <x v="0"/>
    <s v="adel:knappe"/>
    <x v="0"/>
    <x v="6"/>
    <x v="1"/>
    <x v="1"/>
    <x v="3"/>
    <n v="1.3333333333333299"/>
    <n v="0"/>
    <n v="0.230769230769231"/>
    <n v="0.496572606857482"/>
    <x v="6"/>
    <x v="1"/>
    <s v=""/>
    <s v=""/>
    <s v=""/>
    <s v=""/>
    <s v=""/>
  </r>
  <r>
    <s v="Das_Gaenselein.csv"/>
    <s v="#Junger-muenche"/>
    <x v="0"/>
    <s v="klerus:moench"/>
    <x v="0"/>
    <x v="14"/>
    <x v="0"/>
    <x v="4"/>
    <x v="1"/>
    <n v="2"/>
    <n v="0.133333333333333"/>
    <n v="0.35294117647058798"/>
    <n v="1"/>
    <x v="5"/>
    <x v="1"/>
    <s v=""/>
    <n v="2"/>
    <s v=""/>
    <s v=""/>
    <s v=""/>
  </r>
  <r>
    <s v="Das_Gaenselein.csv"/>
    <s v="#Tohter-des-wirts"/>
    <x v="1"/>
    <s v="buergerlich:tochter"/>
    <x v="3"/>
    <x v="4"/>
    <x v="1"/>
    <x v="3"/>
    <x v="1"/>
    <n v="1.6666666666666701"/>
    <n v="0.133333333333333"/>
    <n v="0.3"/>
    <n v="0.76059425267780501"/>
    <x v="4"/>
    <x v="1"/>
    <n v="1"/>
    <s v=""/>
    <s v=""/>
    <s v=""/>
    <s v=""/>
  </r>
  <r>
    <s v="Das_Gaenselein.csv"/>
    <s v="#Moenche-des-klosters"/>
    <x v="2"/>
    <s v="klerus:moench"/>
    <x v="3"/>
    <x v="3"/>
    <x v="1"/>
    <x v="4"/>
    <x v="1"/>
    <n v="1"/>
    <n v="0.2"/>
    <n v="0.31578947368421101"/>
    <n v="0.22858569381341701"/>
    <x v="3"/>
    <x v="1"/>
    <s v=""/>
    <s v=""/>
    <s v=""/>
    <s v=""/>
    <s v=""/>
  </r>
  <r>
    <s v="Das_Gaenselein.csv"/>
    <s v="#Apte"/>
    <x v="0"/>
    <s v="klerus:abt"/>
    <x v="2"/>
    <x v="4"/>
    <x v="0"/>
    <x v="4"/>
    <x v="1"/>
    <n v="2"/>
    <n v="0.133333333333333"/>
    <n v="0.35294117647058798"/>
    <n v="0.89915266055836895"/>
    <x v="4"/>
    <x v="1"/>
    <n v="1"/>
    <s v=""/>
    <s v=""/>
    <s v=""/>
    <s v=""/>
  </r>
  <r>
    <s v="Das_Gaenselein.csv"/>
    <s v="#Wirt"/>
    <x v="0"/>
    <s v="buergerlich:wirt"/>
    <x v="3"/>
    <x v="3"/>
    <x v="1"/>
    <x v="3"/>
    <x v="1"/>
    <n v="1.3333333333333299"/>
    <n v="0"/>
    <n v="0.28571428571428598"/>
    <n v="0.36009806601030497"/>
    <x v="3"/>
    <x v="1"/>
    <s v=""/>
    <s v=""/>
    <s v=""/>
    <s v=""/>
    <s v=""/>
  </r>
  <r>
    <s v="Das_Gaenselein.csv"/>
    <s v="#Wip-des-wirts"/>
    <x v="1"/>
    <s v="buergerlich:wirt"/>
    <x v="3"/>
    <x v="3"/>
    <x v="1"/>
    <x v="3"/>
    <x v="1"/>
    <n v="1.3333333333333299"/>
    <n v="0.1"/>
    <n v="0.33333333333333298"/>
    <n v="0.29517468699158"/>
    <x v="3"/>
    <x v="1"/>
    <s v=""/>
    <s v=""/>
    <s v=""/>
    <s v=""/>
    <s v=""/>
  </r>
  <r>
    <s v="Das_Gaenselein.csv"/>
    <s v="#Ein-moench"/>
    <x v="0"/>
    <s v="klerus:moench"/>
    <x v="3"/>
    <x v="15"/>
    <x v="1"/>
    <x v="4"/>
    <x v="1"/>
    <n v="0.66666666666666696"/>
    <n v="6.6666666666666693E-2"/>
    <n v="0.3"/>
    <n v="6.7221371524696302E-2"/>
    <x v="12"/>
    <x v="1"/>
    <s v=""/>
    <s v=""/>
    <s v=""/>
    <s v=""/>
    <s v=""/>
  </r>
  <r>
    <s v="Das_Haeselein.csv"/>
    <s v="#Ritter"/>
    <x v="0"/>
    <s v="adel:ritter"/>
    <x v="3"/>
    <x v="4"/>
    <x v="0"/>
    <x v="1"/>
    <x v="2"/>
    <n v="2"/>
    <n v="0.33333333333333298"/>
    <n v="0.33333333333333298"/>
    <n v="1"/>
    <x v="4"/>
    <x v="1"/>
    <n v="1"/>
    <s v=""/>
    <s v=""/>
    <s v=""/>
    <s v=""/>
  </r>
  <r>
    <s v="Das_Haeselein.csv"/>
    <s v="#Maget"/>
    <x v="1"/>
    <s v="unbekannt"/>
    <x v="3"/>
    <x v="3"/>
    <x v="1"/>
    <x v="2"/>
    <x v="2"/>
    <n v="0.33333333333333298"/>
    <n v="0"/>
    <n v="0.26086956521739102"/>
    <n v="3.2961247936630897E-2"/>
    <x v="3"/>
    <x v="1"/>
    <s v=""/>
    <s v=""/>
    <s v=""/>
    <s v=""/>
    <s v=""/>
  </r>
  <r>
    <s v="Das_Haeselein.csv"/>
    <s v="#Junk-vroeuwelin"/>
    <x v="1"/>
    <s v="buergerlich:unbekannt"/>
    <x v="1"/>
    <x v="14"/>
    <x v="0"/>
    <x v="3"/>
    <x v="2"/>
    <n v="1.6666666666666701"/>
    <n v="0.2"/>
    <n v="0.33333333333333298"/>
    <n v="0.95840764446238103"/>
    <x v="5"/>
    <x v="1"/>
    <s v=""/>
    <n v="2"/>
    <s v=""/>
    <s v=""/>
    <s v=""/>
  </r>
  <r>
    <s v="Das_Haeselein.csv"/>
    <s v="#Muoter-des-kints"/>
    <x v="1"/>
    <s v="buergerlich:unbekannt"/>
    <x v="3"/>
    <x v="9"/>
    <x v="1"/>
    <x v="3"/>
    <x v="2"/>
    <n v="0.66666666666666696"/>
    <n v="0"/>
    <n v="0.12765957446808501"/>
    <n v="0.45186091951082602"/>
    <x v="8"/>
    <x v="1"/>
    <s v=""/>
    <s v=""/>
    <s v=""/>
    <s v=""/>
    <s v=""/>
  </r>
  <r>
    <s v="Das_Haeselein.csv"/>
    <s v="#Zukuenftiges-wip-des-ritters"/>
    <x v="1"/>
    <s v="adel:edelfrau"/>
    <x v="0"/>
    <x v="3"/>
    <x v="1"/>
    <x v="1"/>
    <x v="2"/>
    <n v="1.3333333333333299"/>
    <n v="0"/>
    <n v="0.28571428571428598"/>
    <n v="0.33873234180956802"/>
    <x v="3"/>
    <x v="1"/>
    <s v=""/>
    <s v=""/>
    <s v=""/>
    <s v=""/>
    <s v=""/>
  </r>
  <r>
    <s v="Das_Haeselein.csv"/>
    <s v="#Kappelan"/>
    <x v="0"/>
    <s v="klerus:kaplan"/>
    <x v="3"/>
    <x v="3"/>
    <x v="1"/>
    <x v="4"/>
    <x v="2"/>
    <n v="1.3333333333333299"/>
    <n v="6.6666666666666693E-2"/>
    <n v="0.35294117647058798"/>
    <n v="0.123559287013149"/>
    <x v="3"/>
    <x v="1"/>
    <s v=""/>
    <s v=""/>
    <s v=""/>
    <s v=""/>
    <s v=""/>
  </r>
  <r>
    <s v="Das_Haeselein.csv"/>
    <s v="#Vriunde-des-ritters"/>
    <x v="2"/>
    <s v="unbekannt"/>
    <x v="3"/>
    <x v="3"/>
    <x v="1"/>
    <x v="2"/>
    <x v="2"/>
    <n v="1.3333333333333299"/>
    <n v="0.3"/>
    <n v="0.375"/>
    <n v="0.112750516863404"/>
    <x v="3"/>
    <x v="1"/>
    <s v=""/>
    <s v=""/>
    <s v=""/>
    <s v=""/>
    <s v=""/>
  </r>
  <r>
    <s v="Das_heiße_Eisen.csv"/>
    <s v="#Wip"/>
    <x v="1"/>
    <s v="unbekannt"/>
    <x v="3"/>
    <x v="1"/>
    <x v="0"/>
    <x v="2"/>
    <x v="3"/>
    <n v="0"/>
    <n v="0"/>
    <n v="0"/>
    <n v="0"/>
    <x v="1"/>
    <x v="1"/>
    <s v=""/>
    <s v=""/>
    <s v=""/>
    <s v=""/>
    <s v=""/>
  </r>
  <r>
    <s v="Das_heiße_Eisen.csv"/>
    <s v="#Man"/>
    <x v="0"/>
    <s v="unbekannt"/>
    <x v="3"/>
    <x v="0"/>
    <x v="0"/>
    <x v="2"/>
    <x v="3"/>
    <n v="0"/>
    <n v="0"/>
    <n v="0"/>
    <n v="0"/>
    <x v="0"/>
    <x v="1"/>
    <s v=""/>
    <s v=""/>
    <s v=""/>
    <s v=""/>
    <s v=""/>
  </r>
  <r>
    <s v="Das_Herz.csv"/>
    <s v="#Ritter"/>
    <x v="0"/>
    <s v="adel:ritter"/>
    <x v="0"/>
    <x v="4"/>
    <x v="0"/>
    <x v="1"/>
    <x v="3"/>
    <n v="1.5"/>
    <n v="0"/>
    <n v="0.21052631578947401"/>
    <n v="0.99781134463478205"/>
    <x v="4"/>
    <x v="1"/>
    <n v="1"/>
    <s v=""/>
    <s v=""/>
    <s v=""/>
    <s v=""/>
  </r>
  <r>
    <s v="Das_Herz.csv"/>
    <s v="#Vrouwe"/>
    <x v="1"/>
    <s v="adel:edelfrau"/>
    <x v="0"/>
    <x v="16"/>
    <x v="0"/>
    <x v="1"/>
    <x v="3"/>
    <n v="1.5"/>
    <n v="0"/>
    <n v="0.36363636363636398"/>
    <n v="1"/>
    <x v="5"/>
    <x v="1"/>
    <s v=""/>
    <n v="2"/>
    <s v=""/>
    <s v=""/>
    <s v=""/>
  </r>
  <r>
    <s v="Das_Herz.csv"/>
    <s v="#Man"/>
    <x v="0"/>
    <s v="adel:ritter"/>
    <x v="0"/>
    <x v="17"/>
    <x v="0"/>
    <x v="1"/>
    <x v="3"/>
    <n v="2"/>
    <n v="0"/>
    <n v="0.36363636363636398"/>
    <n v="0.68963517112689299"/>
    <x v="5"/>
    <x v="1"/>
    <s v=""/>
    <n v="2"/>
    <s v=""/>
    <s v=""/>
    <s v=""/>
  </r>
  <r>
    <s v="Das_Herz.csv"/>
    <s v="#Kneht"/>
    <x v="0"/>
    <s v="adel:knecht"/>
    <x v="0"/>
    <x v="15"/>
    <x v="1"/>
    <x v="1"/>
    <x v="3"/>
    <n v="2"/>
    <n v="0.66666666666666696"/>
    <n v="0.5"/>
    <n v="0.43259919579718198"/>
    <x v="12"/>
    <x v="1"/>
    <s v=""/>
    <s v=""/>
    <s v=""/>
    <s v=""/>
    <s v=""/>
  </r>
  <r>
    <s v="Das_Herz.csv"/>
    <s v="#Koch"/>
    <x v="0"/>
    <s v="buergerlich:koch"/>
    <x v="3"/>
    <x v="6"/>
    <x v="1"/>
    <x v="3"/>
    <x v="3"/>
    <n v="1"/>
    <n v="0.33333333333333298"/>
    <n v="0.44444444444444398"/>
    <n v="5.2873165805478697E-2"/>
    <x v="6"/>
    <x v="1"/>
    <s v=""/>
    <s v=""/>
    <s v=""/>
    <s v=""/>
    <s v=""/>
  </r>
  <r>
    <s v="Das_Nonnentunier.csv"/>
    <s v="#Ritter"/>
    <x v="0"/>
    <s v="adel:ritter"/>
    <x v="3"/>
    <x v="6"/>
    <x v="1"/>
    <x v="1"/>
    <x v="1"/>
    <n v="0.19047619047618999"/>
    <n v="0"/>
    <n v="0.15217391304347799"/>
    <n v="0.36862561854102799"/>
    <x v="6"/>
    <x v="0"/>
    <s v=""/>
    <s v=""/>
    <s v=""/>
    <s v=""/>
    <s v=""/>
  </r>
  <r>
    <s v="Das_Nonnentunier.csv"/>
    <s v="#Frauwe"/>
    <x v="1"/>
    <s v="unbekannt"/>
    <x v="3"/>
    <x v="6"/>
    <x v="1"/>
    <x v="2"/>
    <x v="1"/>
    <n v="0.19047619047618999"/>
    <n v="0"/>
    <n v="0.269230769230769"/>
    <n v="0.24088269569041801"/>
    <x v="6"/>
    <x v="0"/>
    <s v=""/>
    <s v=""/>
    <s v=""/>
    <s v=""/>
    <s v=""/>
  </r>
  <r>
    <s v="Das_Nonnentunier.csv"/>
    <s v="#Zagel"/>
    <x v="4"/>
    <s v="NA"/>
    <x v="4"/>
    <x v="3"/>
    <x v="0"/>
    <x v="0"/>
    <x v="1"/>
    <n v="1.71428571428571"/>
    <n v="0.57142857142857195"/>
    <n v="0.53846153846153799"/>
    <n v="1"/>
    <x v="3"/>
    <x v="0"/>
    <s v=""/>
    <s v=""/>
    <s v=""/>
    <s v=""/>
    <s v=""/>
  </r>
  <r>
    <s v="Das_Nonnentunier.csv"/>
    <s v="#Nunnen"/>
    <x v="2"/>
    <s v="klerus:nonne"/>
    <x v="3"/>
    <x v="3"/>
    <x v="0"/>
    <x v="4"/>
    <x v="1"/>
    <n v="1.1428571428571399"/>
    <n v="0.24960317460317499"/>
    <n v="0.4375"/>
    <n v="0.81779060142865101"/>
    <x v="3"/>
    <x v="0"/>
    <s v=""/>
    <s v=""/>
    <s v=""/>
    <s v=""/>
    <s v=""/>
  </r>
  <r>
    <s v="Das_Nonnentunier.csv"/>
    <s v="#Eine-nunne4"/>
    <x v="1"/>
    <s v="klerus:nonne"/>
    <x v="3"/>
    <x v="3"/>
    <x v="1"/>
    <x v="4"/>
    <x v="1"/>
    <n v="0.38095238095238099"/>
    <n v="2.5000000000000001E-2"/>
    <n v="0.41176470588235298"/>
    <n v="0.17153346696921101"/>
    <x v="3"/>
    <x v="0"/>
    <s v=""/>
    <s v=""/>
    <s v=""/>
    <s v=""/>
    <s v=""/>
  </r>
  <r>
    <s v="Das_Nonnentunier.csv"/>
    <s v="#Ein-nunne2"/>
    <x v="1"/>
    <s v="klerus:nonne"/>
    <x v="3"/>
    <x v="3"/>
    <x v="1"/>
    <x v="4"/>
    <x v="1"/>
    <n v="9.5238095238095205E-2"/>
    <n v="0"/>
    <n v="0.308823529411765"/>
    <n v="4.6771871787378599E-2"/>
    <x v="3"/>
    <x v="0"/>
    <s v=""/>
    <s v=""/>
    <s v=""/>
    <s v=""/>
    <s v=""/>
  </r>
  <r>
    <s v="Das_Nonnentunier.csv"/>
    <s v="#Ein-scharpfe-nunne"/>
    <x v="1"/>
    <s v="klerus:nonne"/>
    <x v="3"/>
    <x v="3"/>
    <x v="1"/>
    <x v="4"/>
    <x v="1"/>
    <n v="0.28571428571428598"/>
    <n v="2.6190476190476202E-2"/>
    <n v="0.42"/>
    <n v="0.11027159999845899"/>
    <x v="3"/>
    <x v="0"/>
    <s v=""/>
    <s v=""/>
    <s v=""/>
    <s v=""/>
    <s v=""/>
  </r>
  <r>
    <s v="Das_Nonnentunier.csv"/>
    <s v="#Ein-zarte-nunne"/>
    <x v="1"/>
    <s v="klerus:nonne"/>
    <x v="3"/>
    <x v="3"/>
    <x v="1"/>
    <x v="4"/>
    <x v="1"/>
    <n v="0.28571428571428598"/>
    <n v="2.6190476190476202E-2"/>
    <n v="0.42"/>
    <n v="0.11027159999845899"/>
    <x v="3"/>
    <x v="0"/>
    <s v=""/>
    <s v=""/>
    <s v=""/>
    <s v=""/>
    <s v=""/>
  </r>
  <r>
    <s v="Das_Nonnentunier.csv"/>
    <s v="#Ein-biederbe-nunne-frum"/>
    <x v="1"/>
    <s v="klerus:nonne"/>
    <x v="3"/>
    <x v="3"/>
    <x v="1"/>
    <x v="4"/>
    <x v="1"/>
    <n v="0.19047619047618999"/>
    <n v="3.0158730158730201E-2"/>
    <n v="0.36842105263157898"/>
    <n v="6.4154744215901102E-2"/>
    <x v="3"/>
    <x v="0"/>
    <s v=""/>
    <s v=""/>
    <s v=""/>
    <s v=""/>
    <s v=""/>
  </r>
  <r>
    <s v="Das_Nonnentunier.csv"/>
    <s v="#Die-den-segen-las-zu-tische"/>
    <x v="1"/>
    <s v="klerus:nonne"/>
    <x v="3"/>
    <x v="3"/>
    <x v="1"/>
    <x v="4"/>
    <x v="1"/>
    <n v="0.28571428571428598"/>
    <n v="2.3809523809523799E-3"/>
    <n v="0.28000000000000003"/>
    <n v="0.12172433669804"/>
    <x v="3"/>
    <x v="0"/>
    <s v=""/>
    <s v=""/>
    <s v=""/>
    <s v=""/>
    <s v=""/>
  </r>
  <r>
    <s v="Das_Nonnentunier.csv"/>
    <s v="#Ein-zarte-nunne-frische"/>
    <x v="1"/>
    <s v="klerus:nonne"/>
    <x v="3"/>
    <x v="3"/>
    <x v="1"/>
    <x v="4"/>
    <x v="1"/>
    <n v="0.19047619047618999"/>
    <n v="3.0158730158730201E-2"/>
    <n v="0.36842105263157898"/>
    <n v="6.4154744215901102E-2"/>
    <x v="3"/>
    <x v="0"/>
    <s v=""/>
    <s v=""/>
    <s v=""/>
    <s v=""/>
    <s v=""/>
  </r>
  <r>
    <s v="Das_Nonnentunier.csv"/>
    <s v="#Kuesterin"/>
    <x v="1"/>
    <s v="klerus:kuesterin"/>
    <x v="3"/>
    <x v="18"/>
    <x v="1"/>
    <x v="4"/>
    <x v="1"/>
    <n v="0.57142857142857095"/>
    <n v="6.7857142857142894E-2"/>
    <n v="0.42"/>
    <n v="0.42105361410368097"/>
    <x v="13"/>
    <x v="0"/>
    <s v=""/>
    <s v=""/>
    <s v=""/>
    <s v=""/>
    <s v=""/>
  </r>
  <r>
    <s v="Das_Nonnentunier.csv"/>
    <s v="#Eine-nunne1"/>
    <x v="1"/>
    <s v="klerus:nonne"/>
    <x v="3"/>
    <x v="3"/>
    <x v="1"/>
    <x v="4"/>
    <x v="1"/>
    <n v="0.57142857142857095"/>
    <n v="0.14285714285714299"/>
    <n v="0.47727272727272702"/>
    <n v="0.20194819966113201"/>
    <x v="3"/>
    <x v="0"/>
    <s v=""/>
    <s v=""/>
    <s v=""/>
    <s v=""/>
    <s v=""/>
  </r>
  <r>
    <s v="Das_Nonnentunier.csv"/>
    <s v="#Aptissinne"/>
    <x v="1"/>
    <s v="klerus:abt"/>
    <x v="3"/>
    <x v="3"/>
    <x v="1"/>
    <x v="4"/>
    <x v="1"/>
    <n v="0.66666666666666696"/>
    <n v="2.3015873015873E-2"/>
    <n v="0.33333333333333298"/>
    <n v="0.47947159594871502"/>
    <x v="3"/>
    <x v="0"/>
    <s v=""/>
    <s v=""/>
    <s v=""/>
    <s v=""/>
    <s v=""/>
  </r>
  <r>
    <s v="Das_Nonnentunier.csv"/>
    <s v="#Eine-nunne5"/>
    <x v="1"/>
    <s v="klerus:nonne"/>
    <x v="3"/>
    <x v="3"/>
    <x v="1"/>
    <x v="4"/>
    <x v="1"/>
    <n v="9.5238095238095205E-2"/>
    <n v="0"/>
    <n v="0.308823529411765"/>
    <n v="4.6771871787378599E-2"/>
    <x v="3"/>
    <x v="0"/>
    <s v=""/>
    <s v=""/>
    <s v=""/>
    <s v=""/>
    <s v=""/>
  </r>
  <r>
    <s v="Das_Nonnentunier.csv"/>
    <s v="#Kovent"/>
    <x v="2"/>
    <s v="klerus:nonne"/>
    <x v="3"/>
    <x v="3"/>
    <x v="1"/>
    <x v="4"/>
    <x v="1"/>
    <n v="0.28571428571428598"/>
    <n v="3.57142857142857E-3"/>
    <n v="0.328125"/>
    <n v="0.23535208348911399"/>
    <x v="3"/>
    <x v="0"/>
    <s v=""/>
    <s v=""/>
    <s v=""/>
    <s v=""/>
    <s v=""/>
  </r>
  <r>
    <s v="Das_Nonnentunier.csv"/>
    <s v="#Eine-nunne3"/>
    <x v="1"/>
    <s v="klerus:nonne"/>
    <x v="3"/>
    <x v="3"/>
    <x v="1"/>
    <x v="4"/>
    <x v="1"/>
    <n v="0.19047619047618999"/>
    <n v="2.6190476190476202E-2"/>
    <n v="0.41176470588235298"/>
    <n v="0.103964839896415"/>
    <x v="3"/>
    <x v="0"/>
    <s v=""/>
    <s v=""/>
    <s v=""/>
    <s v=""/>
    <s v=""/>
  </r>
  <r>
    <s v="Das_Nonnentunier.csv"/>
    <s v="#Dirnen"/>
    <x v="2"/>
    <s v="klerus:magd"/>
    <x v="3"/>
    <x v="18"/>
    <x v="1"/>
    <x v="4"/>
    <x v="1"/>
    <n v="0.28571428571428598"/>
    <n v="0"/>
    <n v="0.33333333333333298"/>
    <n v="0.16167614041103501"/>
    <x v="13"/>
    <x v="0"/>
    <s v=""/>
    <s v=""/>
    <s v=""/>
    <s v=""/>
    <s v=""/>
  </r>
  <r>
    <s v="Das_Nonnentunier.csv"/>
    <s v="#Eine-nunne"/>
    <x v="1"/>
    <s v="klerus:nonne"/>
    <x v="3"/>
    <x v="18"/>
    <x v="1"/>
    <x v="4"/>
    <x v="1"/>
    <n v="0.57142857142857095"/>
    <n v="3.2142857142857098E-2"/>
    <n v="0.375"/>
    <n v="0.212178515598762"/>
    <x v="13"/>
    <x v="0"/>
    <s v=""/>
    <s v=""/>
    <s v=""/>
    <s v=""/>
    <s v=""/>
  </r>
  <r>
    <s v="Das_Nonnentunier.csv"/>
    <s v="#Adelheit"/>
    <x v="1"/>
    <s v="klerus:nonne"/>
    <x v="3"/>
    <x v="18"/>
    <x v="1"/>
    <x v="4"/>
    <x v="1"/>
    <n v="0.57142857142857095"/>
    <n v="3.2142857142857098E-2"/>
    <n v="0.375"/>
    <n v="0.212178515598762"/>
    <x v="13"/>
    <x v="0"/>
    <s v=""/>
    <s v=""/>
    <s v=""/>
    <s v=""/>
    <s v=""/>
  </r>
  <r>
    <s v="Das_Nonnentunier.csv"/>
    <s v="#Margreth"/>
    <x v="1"/>
    <s v="klerus:nonne"/>
    <x v="3"/>
    <x v="18"/>
    <x v="1"/>
    <x v="4"/>
    <x v="1"/>
    <n v="0.38095238095238099"/>
    <n v="3.6904761904761899E-2"/>
    <n v="0.41176470588235298"/>
    <n v="8.6404962527457205E-2"/>
    <x v="13"/>
    <x v="0"/>
    <s v=""/>
    <s v=""/>
    <s v=""/>
    <s v=""/>
    <s v=""/>
  </r>
  <r>
    <s v="Das_Nonnentunier.csv"/>
    <s v="#Ein-alte-nunne"/>
    <x v="1"/>
    <s v="klerus:nonne"/>
    <x v="2"/>
    <x v="18"/>
    <x v="1"/>
    <x v="4"/>
    <x v="1"/>
    <n v="0.38095238095238099"/>
    <n v="3.6904761904761899E-2"/>
    <n v="0.41176470588235298"/>
    <n v="8.6404962527457205E-2"/>
    <x v="13"/>
    <x v="0"/>
    <s v=""/>
    <s v=""/>
    <s v=""/>
    <s v=""/>
    <s v=""/>
  </r>
  <r>
    <s v="Das_Raedlein.csv"/>
    <s v="#Burgaere"/>
    <x v="0"/>
    <s v="buergerlich:wirt"/>
    <x v="3"/>
    <x v="0"/>
    <x v="1"/>
    <x v="3"/>
    <x v="2"/>
    <n v="2"/>
    <n v="3.3333333333333298E-2"/>
    <n v="0.625"/>
    <n v="0.168506529429229"/>
    <x v="0"/>
    <x v="1"/>
    <s v=""/>
    <s v=""/>
    <s v=""/>
    <s v=""/>
    <s v=""/>
  </r>
  <r>
    <s v="Das_Raedlein.csv"/>
    <s v="#Vrouwe"/>
    <x v="1"/>
    <s v="buergerlich:ehefrau"/>
    <x v="3"/>
    <x v="1"/>
    <x v="1"/>
    <x v="3"/>
    <x v="2"/>
    <n v="1.6"/>
    <n v="0"/>
    <n v="0.625"/>
    <n v="0.10730849775602801"/>
    <x v="1"/>
    <x v="1"/>
    <s v=""/>
    <s v=""/>
    <s v=""/>
    <s v=""/>
    <s v=""/>
  </r>
  <r>
    <s v="Das_Raedlein.csv"/>
    <s v="#Schribaerc"/>
    <x v="0"/>
    <s v="buergerlich:schreiber"/>
    <x v="3"/>
    <x v="19"/>
    <x v="0"/>
    <x v="3"/>
    <x v="2"/>
    <n v="2"/>
    <n v="3.3333333333333298E-2"/>
    <n v="0.625"/>
    <n v="1"/>
    <x v="4"/>
    <x v="1"/>
    <n v="1"/>
    <s v=""/>
    <s v=""/>
    <s v=""/>
    <s v=""/>
  </r>
  <r>
    <s v="Das_Raedlein.csv"/>
    <s v="#Meidin"/>
    <x v="1"/>
    <s v="buergerlich:magd"/>
    <x v="3"/>
    <x v="14"/>
    <x v="0"/>
    <x v="3"/>
    <x v="2"/>
    <n v="2"/>
    <n v="0.133333333333333"/>
    <n v="0.71428571428571397"/>
    <n v="0.99560269402820301"/>
    <x v="5"/>
    <x v="1"/>
    <s v=""/>
    <n v="2"/>
    <s v=""/>
    <s v=""/>
    <s v=""/>
  </r>
  <r>
    <s v="Das_Raedlein.csv"/>
    <s v="#Geste"/>
    <x v="2"/>
    <s v="unbekannt"/>
    <x v="3"/>
    <x v="3"/>
    <x v="1"/>
    <x v="2"/>
    <x v="2"/>
    <n v="1.6"/>
    <n v="0.233333333333333"/>
    <n v="0.83333333333333304"/>
    <n v="7.1600165582172803E-2"/>
    <x v="3"/>
    <x v="1"/>
    <s v=""/>
    <s v=""/>
    <s v=""/>
    <s v=""/>
    <s v=""/>
  </r>
  <r>
    <s v="Das_Raedlein.csv"/>
    <s v="#Gesinde"/>
    <x v="2"/>
    <s v="unbekannt"/>
    <x v="3"/>
    <x v="3"/>
    <x v="1"/>
    <x v="2"/>
    <x v="2"/>
    <n v="1.2"/>
    <n v="0.133333333333333"/>
    <n v="0.71428571428571397"/>
    <n v="6.8217561785456099E-2"/>
    <x v="3"/>
    <x v="1"/>
    <s v=""/>
    <s v=""/>
    <s v=""/>
    <s v=""/>
    <s v=""/>
  </r>
  <r>
    <s v="Das_Schneekind.csv"/>
    <s v="#Koufman"/>
    <x v="0"/>
    <s v="buergerlich:kaufmann"/>
    <x v="3"/>
    <x v="0"/>
    <x v="0"/>
    <x v="3"/>
    <x v="3"/>
    <n v="2"/>
    <n v="8.3333333333333301E-2"/>
    <n v="0.5"/>
    <n v="1"/>
    <x v="0"/>
    <x v="1"/>
    <s v=""/>
    <s v=""/>
    <s v=""/>
    <s v=""/>
    <s v=""/>
  </r>
  <r>
    <s v="Das_Schneekind.csv"/>
    <s v="#Wip"/>
    <x v="1"/>
    <s v="buergerlich:ehefrau"/>
    <x v="3"/>
    <x v="1"/>
    <x v="0"/>
    <x v="3"/>
    <x v="3"/>
    <n v="1"/>
    <n v="0"/>
    <n v="0.33333333333333298"/>
    <n v="0.82263730161023896"/>
    <x v="1"/>
    <x v="1"/>
    <s v=""/>
    <s v=""/>
    <s v=""/>
    <s v=""/>
    <s v=""/>
  </r>
  <r>
    <s v="Das_Schneekind.csv"/>
    <s v="#Schneekind"/>
    <x v="0"/>
    <s v="buergerlich:NA"/>
    <x v="1"/>
    <x v="2"/>
    <x v="1"/>
    <x v="3"/>
    <x v="3"/>
    <n v="2"/>
    <n v="0.58333333333333304"/>
    <n v="0.66666666666666696"/>
    <n v="0.76761399408651498"/>
    <x v="2"/>
    <x v="1"/>
    <s v=""/>
    <s v=""/>
    <s v=""/>
    <s v=""/>
    <s v=""/>
  </r>
  <r>
    <s v="Das_Schneekind.csv"/>
    <s v="#Knehte"/>
    <x v="0"/>
    <s v="buergerlich:knecht"/>
    <x v="3"/>
    <x v="3"/>
    <x v="1"/>
    <x v="3"/>
    <x v="3"/>
    <n v="1"/>
    <n v="0.16666666666666699"/>
    <n v="0.57142857142857095"/>
    <n v="0.19297428142401599"/>
    <x v="3"/>
    <x v="1"/>
    <s v=""/>
    <s v=""/>
    <s v=""/>
    <s v=""/>
    <s v=""/>
  </r>
  <r>
    <s v="Das_Schneekind.csv"/>
    <s v="#Fremder-koufman"/>
    <x v="0"/>
    <s v="buergerlich:kaufmann"/>
    <x v="3"/>
    <x v="3"/>
    <x v="1"/>
    <x v="3"/>
    <x v="3"/>
    <n v="1"/>
    <n v="0.16666666666666699"/>
    <n v="0.57142857142857095"/>
    <n v="0.19297428142401599"/>
    <x v="3"/>
    <x v="1"/>
    <s v=""/>
    <s v=""/>
    <s v=""/>
    <s v=""/>
    <s v=""/>
  </r>
  <r>
    <s v="Das_Schraetel_und_der_Wasserbaer.csv"/>
    <s v="#Schretel"/>
    <x v="4"/>
    <s v="NA"/>
    <x v="4"/>
    <x v="11"/>
    <x v="1"/>
    <x v="0"/>
    <x v="1"/>
    <n v="0.85714285714285698"/>
    <n v="4.7619047619047603E-2"/>
    <n v="0.20588235294117599"/>
    <n v="0.65897274749892398"/>
    <x v="10"/>
    <x v="3"/>
    <s v=""/>
    <s v=""/>
    <s v=""/>
    <s v=""/>
    <n v="5"/>
  </r>
  <r>
    <s v="Das_Schraetel_und_der_Wasserbaer.csv"/>
    <s v="#Kuenige-von-Norwegen"/>
    <x v="0"/>
    <s v="adel:koenig"/>
    <x v="3"/>
    <x v="3"/>
    <x v="1"/>
    <x v="1"/>
    <x v="1"/>
    <n v="0.28571428571428598"/>
    <n v="0"/>
    <n v="0.194444444444444"/>
    <n v="3.1951668996922401E-3"/>
    <x v="3"/>
    <x v="3"/>
    <s v=""/>
    <s v=""/>
    <s v=""/>
    <s v=""/>
    <s v=""/>
  </r>
  <r>
    <s v="Das_Schraetel_und_der_Wasserbaer.csv"/>
    <s v="#Kuenige-von-Tenemarken"/>
    <x v="0"/>
    <s v="adel:koenig"/>
    <x v="3"/>
    <x v="3"/>
    <x v="1"/>
    <x v="1"/>
    <x v="1"/>
    <n v="0.85714285714285698"/>
    <n v="0.42857142857142899"/>
    <n v="0.233333333333333"/>
    <n v="7.8343427975868102E-2"/>
    <x v="3"/>
    <x v="3"/>
    <s v=""/>
    <s v=""/>
    <s v=""/>
    <s v=""/>
    <s v=""/>
  </r>
  <r>
    <s v="Das_Schraetel_und_der_Wasserbaer.csv"/>
    <s v="#Wazzer-ber"/>
    <x v="5"/>
    <s v="NA"/>
    <x v="4"/>
    <x v="6"/>
    <x v="1"/>
    <x v="0"/>
    <x v="1"/>
    <n v="1.1428571428571399"/>
    <n v="0.33333333333333298"/>
    <n v="0.233333333333333"/>
    <n v="1"/>
    <x v="6"/>
    <x v="3"/>
    <s v=""/>
    <s v=""/>
    <s v=""/>
    <s v=""/>
    <s v=""/>
  </r>
  <r>
    <s v="Das_Schraetel_und_der_Wasserbaer.csv"/>
    <s v="#Norman"/>
    <x v="0"/>
    <s v="unbekannt"/>
    <x v="3"/>
    <x v="20"/>
    <x v="0"/>
    <x v="2"/>
    <x v="1"/>
    <n v="1.1428571428571399"/>
    <n v="0.14285714285714299"/>
    <n v="0.20588235294117599"/>
    <n v="0.91773506920194703"/>
    <x v="14"/>
    <x v="3"/>
    <s v=""/>
    <s v=""/>
    <s v=""/>
    <s v=""/>
    <s v=""/>
  </r>
  <r>
    <s v="Das_Schraetel_und_der_Wasserbaer.csv"/>
    <s v="#Wirt"/>
    <x v="0"/>
    <s v="bauer"/>
    <x v="3"/>
    <x v="6"/>
    <x v="1"/>
    <x v="5"/>
    <x v="1"/>
    <n v="1.4285714285714299"/>
    <n v="0.476190476190476"/>
    <n v="0.194444444444444"/>
    <n v="0.68087615945596203"/>
    <x v="6"/>
    <x v="3"/>
    <s v=""/>
    <s v=""/>
    <s v=""/>
    <s v=""/>
    <s v=""/>
  </r>
  <r>
    <s v="Das_Schraetel_und_der_Wasserbaer.csv"/>
    <s v="#Wip"/>
    <x v="1"/>
    <s v="bauer"/>
    <x v="3"/>
    <x v="1"/>
    <x v="1"/>
    <x v="5"/>
    <x v="1"/>
    <n v="0.57142857142857095"/>
    <n v="0"/>
    <n v="0.17073170731707299"/>
    <n v="2.89496115589159E-2"/>
    <x v="1"/>
    <x v="3"/>
    <s v=""/>
    <s v=""/>
    <s v=""/>
    <s v=""/>
    <s v=""/>
  </r>
  <r>
    <s v="Das_Schraetel_und_der_Wasserbaer.csv"/>
    <s v="#Kint"/>
    <x v="2"/>
    <s v="bauer"/>
    <x v="1"/>
    <x v="2"/>
    <x v="1"/>
    <x v="5"/>
    <x v="1"/>
    <n v="0.57142857142857095"/>
    <n v="0"/>
    <n v="0.17073170731707299"/>
    <n v="2.8949611558916E-2"/>
    <x v="2"/>
    <x v="3"/>
    <s v=""/>
    <s v=""/>
    <s v=""/>
    <s v=""/>
    <s v=""/>
  </r>
  <r>
    <s v="Das_warme_Almosen.csv"/>
    <s v="#Man"/>
    <x v="0"/>
    <s v="unbekannt"/>
    <x v="3"/>
    <x v="0"/>
    <x v="0"/>
    <x v="2"/>
    <x v="3"/>
    <n v="0"/>
    <n v="0"/>
    <n v="0"/>
    <n v="0"/>
    <x v="0"/>
    <x v="1"/>
    <s v=""/>
    <s v=""/>
    <s v=""/>
    <s v=""/>
    <s v=""/>
  </r>
  <r>
    <s v="Das_warme_Almosen.csv"/>
    <s v="#Wip"/>
    <x v="1"/>
    <s v="unbekannt"/>
    <x v="3"/>
    <x v="0"/>
    <x v="0"/>
    <x v="2"/>
    <x v="3"/>
    <n v="0"/>
    <n v="0"/>
    <n v="0"/>
    <n v="0"/>
    <x v="0"/>
    <x v="1"/>
    <s v=""/>
    <s v=""/>
    <s v=""/>
    <s v=""/>
    <s v=""/>
  </r>
  <r>
    <s v="Das_warme_Almosen.csv"/>
    <s v="#Armer-man"/>
    <x v="0"/>
    <s v="unbekannt"/>
    <x v="3"/>
    <x v="6"/>
    <x v="0"/>
    <x v="2"/>
    <x v="3"/>
    <n v="0"/>
    <n v="0"/>
    <n v="0"/>
    <n v="0"/>
    <x v="6"/>
    <x v="1"/>
    <s v=""/>
    <s v=""/>
    <s v=""/>
    <s v=""/>
    <s v=""/>
  </r>
  <r>
    <s v="Der_begrabene_Ehemann.csv"/>
    <s v="#Wip"/>
    <x v="1"/>
    <s v="unbekannt"/>
    <x v="3"/>
    <x v="13"/>
    <x v="0"/>
    <x v="2"/>
    <x v="3"/>
    <n v="0"/>
    <n v="0"/>
    <n v="0"/>
    <n v="0"/>
    <x v="4"/>
    <x v="1"/>
    <n v="1"/>
    <s v=""/>
    <s v=""/>
    <s v=""/>
    <s v=""/>
  </r>
  <r>
    <s v="Der_begrabene_Ehemann.csv"/>
    <s v="#Man"/>
    <x v="0"/>
    <s v="unbekannt"/>
    <x v="3"/>
    <x v="7"/>
    <x v="0"/>
    <x v="2"/>
    <x v="3"/>
    <n v="0"/>
    <n v="0"/>
    <n v="0"/>
    <n v="0"/>
    <x v="5"/>
    <x v="1"/>
    <s v=""/>
    <n v="2"/>
    <s v=""/>
    <s v=""/>
    <s v=""/>
  </r>
  <r>
    <s v="Der_begrabene_Ehemann.csv"/>
    <s v="#Pfaffe"/>
    <x v="0"/>
    <s v="klerus:pfarrer"/>
    <x v="3"/>
    <x v="6"/>
    <x v="1"/>
    <x v="4"/>
    <x v="3"/>
    <n v="0"/>
    <n v="0"/>
    <n v="0"/>
    <n v="0"/>
    <x v="6"/>
    <x v="1"/>
    <s v=""/>
    <s v=""/>
    <s v=""/>
    <s v=""/>
    <s v=""/>
  </r>
  <r>
    <s v="Der_Bildschnitzer_von_Wuerzburg.csv"/>
    <s v="#Man"/>
    <x v="0"/>
    <s v="buergerlich:maler"/>
    <x v="3"/>
    <x v="21"/>
    <x v="0"/>
    <x v="3"/>
    <x v="3"/>
    <n v="2"/>
    <n v="0"/>
    <n v="0.6"/>
    <n v="1"/>
    <x v="4"/>
    <x v="1"/>
    <n v="1"/>
    <s v=""/>
    <s v=""/>
    <s v=""/>
    <s v=""/>
  </r>
  <r>
    <s v="Der_Bildschnitzer_von_Wuerzburg.csv"/>
    <s v="#Weib"/>
    <x v="1"/>
    <s v="buergerlich:ehefrau"/>
    <x v="3"/>
    <x v="13"/>
    <x v="0"/>
    <x v="3"/>
    <x v="3"/>
    <n v="2"/>
    <n v="0"/>
    <n v="0.6"/>
    <n v="0.96349394369014196"/>
    <x v="4"/>
    <x v="1"/>
    <n v="1"/>
    <s v=""/>
    <s v=""/>
    <s v=""/>
    <s v=""/>
  </r>
  <r>
    <s v="Der_Bildschnitzer_von_Wuerzburg.csv"/>
    <s v="#Probst"/>
    <x v="0"/>
    <s v="klerus:probst"/>
    <x v="3"/>
    <x v="14"/>
    <x v="0"/>
    <x v="4"/>
    <x v="3"/>
    <n v="2"/>
    <n v="0"/>
    <n v="0.6"/>
    <n v="0.92041396180808299"/>
    <x v="5"/>
    <x v="1"/>
    <s v=""/>
    <n v="2"/>
    <s v=""/>
    <s v=""/>
    <s v=""/>
  </r>
  <r>
    <s v="Der_Bildschnitzer_von_Wuerzburg.csv"/>
    <s v="#Meit"/>
    <x v="1"/>
    <s v="buergerlich:magd"/>
    <x v="3"/>
    <x v="15"/>
    <x v="1"/>
    <x v="3"/>
    <x v="3"/>
    <n v="2"/>
    <n v="1"/>
    <n v="1"/>
    <n v="0.17788024419939399"/>
    <x v="12"/>
    <x v="1"/>
    <s v=""/>
    <s v=""/>
    <s v=""/>
    <s v=""/>
    <s v=""/>
  </r>
  <r>
    <s v="Der_blossgestellte_Ritter.csv"/>
    <s v="#Ritter"/>
    <x v="0"/>
    <s v="adel:ritter"/>
    <x v="3"/>
    <x v="14"/>
    <x v="0"/>
    <x v="1"/>
    <x v="1"/>
    <n v="2"/>
    <n v="0.3"/>
    <n v="0.625"/>
    <n v="0.98828583836448602"/>
    <x v="5"/>
    <x v="1"/>
    <s v=""/>
    <n v="2"/>
    <s v=""/>
    <s v=""/>
    <s v=""/>
  </r>
  <r>
    <s v="Der_blossgestellte_Ritter.csv"/>
    <s v="#Wirt"/>
    <x v="0"/>
    <s v="buergerlich:wirt"/>
    <x v="3"/>
    <x v="4"/>
    <x v="0"/>
    <x v="3"/>
    <x v="1"/>
    <n v="2"/>
    <n v="0"/>
    <n v="0.55555555555555602"/>
    <n v="1"/>
    <x v="4"/>
    <x v="1"/>
    <n v="1"/>
    <s v=""/>
    <s v=""/>
    <s v=""/>
    <s v=""/>
  </r>
  <r>
    <s v="Der_blossgestellte_Ritter.csv"/>
    <s v="#Tohter"/>
    <x v="2"/>
    <s v="buergerlich:NA"/>
    <x v="3"/>
    <x v="2"/>
    <x v="1"/>
    <x v="3"/>
    <x v="1"/>
    <n v="1.6"/>
    <n v="0"/>
    <n v="0.5"/>
    <n v="0.79645360513706398"/>
    <x v="2"/>
    <x v="1"/>
    <s v=""/>
    <s v=""/>
    <s v=""/>
    <s v=""/>
    <s v=""/>
  </r>
  <r>
    <s v="Der_blossgestellte_Ritter.csv"/>
    <s v="#Vrouwe"/>
    <x v="1"/>
    <s v="buergerlich:ehefrau"/>
    <x v="3"/>
    <x v="1"/>
    <x v="1"/>
    <x v="3"/>
    <x v="1"/>
    <n v="1.6"/>
    <n v="0"/>
    <n v="0.5"/>
    <n v="0.67101642522730098"/>
    <x v="1"/>
    <x v="1"/>
    <s v=""/>
    <s v=""/>
    <s v=""/>
    <s v=""/>
    <s v=""/>
  </r>
  <r>
    <s v="Der_blossgestellte_Ritter.csv"/>
    <s v="#Koch"/>
    <x v="0"/>
    <s v="buergerlich:koch"/>
    <x v="3"/>
    <x v="3"/>
    <x v="1"/>
    <x v="3"/>
    <x v="1"/>
    <n v="1.6"/>
    <n v="0.8"/>
    <n v="0.83333333333333304"/>
    <n v="0.26891264395280701"/>
    <x v="3"/>
    <x v="1"/>
    <s v=""/>
    <s v=""/>
    <s v=""/>
    <s v=""/>
    <s v=""/>
  </r>
  <r>
    <s v="Der_blossgestellte_Ritter.csv"/>
    <s v="#Kneht"/>
    <x v="2"/>
    <s v="buergerlich:knecht"/>
    <x v="3"/>
    <x v="3"/>
    <x v="1"/>
    <x v="3"/>
    <x v="1"/>
    <n v="0.8"/>
    <n v="0"/>
    <n v="0.45454545454545497"/>
    <n v="0.23253605758236401"/>
    <x v="3"/>
    <x v="1"/>
    <s v=""/>
    <s v=""/>
    <s v=""/>
    <s v=""/>
    <s v=""/>
  </r>
  <r>
    <s v="Der_entlaufene_Hasenbraten.csv"/>
    <s v="#Ritter"/>
    <x v="0"/>
    <s v="adel:ritter"/>
    <x v="3"/>
    <x v="0"/>
    <x v="0"/>
    <x v="1"/>
    <x v="3"/>
    <n v="2"/>
    <n v="0"/>
    <n v="0.38461538461538503"/>
    <n v="1"/>
    <x v="0"/>
    <x v="1"/>
    <s v=""/>
    <s v=""/>
    <s v=""/>
    <s v=""/>
    <s v=""/>
  </r>
  <r>
    <s v="Der_entlaufene_Hasenbraten.csv"/>
    <s v="#Hus-vrouwe"/>
    <x v="1"/>
    <s v="adel:edelfrau"/>
    <x v="3"/>
    <x v="1"/>
    <x v="0"/>
    <x v="1"/>
    <x v="3"/>
    <n v="2"/>
    <n v="0"/>
    <n v="0.38461538461538503"/>
    <n v="0.922063291350257"/>
    <x v="1"/>
    <x v="1"/>
    <s v=""/>
    <s v=""/>
    <s v=""/>
    <s v=""/>
    <s v=""/>
  </r>
  <r>
    <s v="Der_entlaufene_Hasenbraten.csv"/>
    <s v="#Niftel"/>
    <x v="1"/>
    <s v="unbekannt"/>
    <x v="3"/>
    <x v="3"/>
    <x v="1"/>
    <x v="2"/>
    <x v="3"/>
    <n v="2"/>
    <n v="0.1"/>
    <n v="0.55555555555555602"/>
    <n v="0.426652358265807"/>
    <x v="3"/>
    <x v="1"/>
    <s v=""/>
    <s v=""/>
    <s v=""/>
    <s v=""/>
    <s v=""/>
  </r>
  <r>
    <s v="Der_entlaufene_Hasenbraten.csv"/>
    <s v="#Muome"/>
    <x v="1"/>
    <s v="unbekannt"/>
    <x v="3"/>
    <x v="3"/>
    <x v="1"/>
    <x v="2"/>
    <x v="3"/>
    <n v="2"/>
    <n v="0.1"/>
    <n v="0.55555555555555602"/>
    <n v="0.426652358265807"/>
    <x v="3"/>
    <x v="1"/>
    <s v=""/>
    <s v=""/>
    <s v=""/>
    <s v=""/>
    <s v=""/>
  </r>
  <r>
    <s v="Der_entlaufene_Hasenbraten.csv"/>
    <s v="#Base"/>
    <x v="1"/>
    <s v="unbekannt"/>
    <x v="3"/>
    <x v="3"/>
    <x v="1"/>
    <x v="2"/>
    <x v="3"/>
    <n v="2"/>
    <n v="0.1"/>
    <n v="0.55555555555555602"/>
    <n v="0.426652358265807"/>
    <x v="3"/>
    <x v="1"/>
    <s v=""/>
    <s v=""/>
    <s v=""/>
    <s v=""/>
    <s v=""/>
  </r>
  <r>
    <s v="Der_entlaufene_Hasenbraten.csv"/>
    <s v="#Pfaffe"/>
    <x v="0"/>
    <s v="klerus:pfarrer"/>
    <x v="3"/>
    <x v="6"/>
    <x v="1"/>
    <x v="4"/>
    <x v="3"/>
    <n v="2"/>
    <n v="0.15"/>
    <n v="0.55555555555555602"/>
    <n v="0.858133496191128"/>
    <x v="6"/>
    <x v="1"/>
    <s v=""/>
    <s v=""/>
    <s v=""/>
    <s v=""/>
    <s v=""/>
  </r>
  <r>
    <s v="Der_falsche_Blinde.csv"/>
    <s v="#Triegaere"/>
    <x v="0"/>
    <s v="unbekannt"/>
    <x v="3"/>
    <x v="4"/>
    <x v="0"/>
    <x v="2"/>
    <x v="1"/>
    <n v="2"/>
    <n v="0.83333333333333304"/>
    <n v="0.66666666666666696"/>
    <n v="1"/>
    <x v="4"/>
    <x v="1"/>
    <n v="1"/>
    <s v=""/>
    <s v=""/>
    <s v=""/>
    <s v=""/>
  </r>
  <r>
    <s v="Der_falsche_Blinde.csv"/>
    <s v="#Kinder"/>
    <x v="2"/>
    <s v="unbekannt"/>
    <x v="1"/>
    <x v="6"/>
    <x v="1"/>
    <x v="2"/>
    <x v="1"/>
    <n v="1"/>
    <n v="0"/>
    <n v="0.4"/>
    <n v="0.88682304343071905"/>
    <x v="6"/>
    <x v="1"/>
    <s v=""/>
    <s v=""/>
    <s v=""/>
    <s v=""/>
    <s v=""/>
  </r>
  <r>
    <s v="Der_falsche_Blinde.csv"/>
    <s v="#Wiben"/>
    <x v="2"/>
    <s v="unbekannt"/>
    <x v="3"/>
    <x v="3"/>
    <x v="1"/>
    <x v="2"/>
    <x v="1"/>
    <n v="1"/>
    <n v="0.5"/>
    <n v="0.57142857142857095"/>
    <n v="0.38186442808788801"/>
    <x v="3"/>
    <x v="1"/>
    <s v=""/>
    <s v=""/>
    <s v=""/>
    <s v=""/>
    <s v=""/>
  </r>
  <r>
    <s v="Der_falsche_Blinde.csv"/>
    <s v="#Liute"/>
    <x v="2"/>
    <s v="unbekannt"/>
    <x v="3"/>
    <x v="14"/>
    <x v="0"/>
    <x v="2"/>
    <x v="1"/>
    <n v="0.5"/>
    <n v="0"/>
    <n v="0.33333333333333298"/>
    <n v="0.40476973123410898"/>
    <x v="5"/>
    <x v="1"/>
    <s v=""/>
    <n v="2"/>
    <s v=""/>
    <s v=""/>
    <s v=""/>
  </r>
  <r>
    <s v="Der_falsche_Blinde.csv"/>
    <s v="#Ein-man"/>
    <x v="0"/>
    <s v="unbekannt"/>
    <x v="3"/>
    <x v="11"/>
    <x v="1"/>
    <x v="2"/>
    <x v="1"/>
    <n v="0.5"/>
    <n v="0"/>
    <n v="0.44444444444444398"/>
    <n v="0.20238486561705399"/>
    <x v="10"/>
    <x v="1"/>
    <s v=""/>
    <s v=""/>
    <s v=""/>
    <s v=""/>
    <n v="5"/>
  </r>
  <r>
    <s v="Der_Frauen_Trost.csv"/>
    <s v="#Ritter"/>
    <x v="0"/>
    <s v="adel:ritter"/>
    <x v="3"/>
    <x v="21"/>
    <x v="0"/>
    <x v="1"/>
    <x v="3"/>
    <n v="2"/>
    <n v="0.33333333333333298"/>
    <n v="0.75"/>
    <n v="0.99634281667130098"/>
    <x v="4"/>
    <x v="1"/>
    <n v="1"/>
    <s v=""/>
    <s v=""/>
    <s v=""/>
    <s v=""/>
  </r>
  <r>
    <s v="Der_Frauen_Trost.csv"/>
    <s v="#Wip"/>
    <x v="1"/>
    <s v="adel:edelfrau"/>
    <x v="3"/>
    <x v="5"/>
    <x v="0"/>
    <x v="1"/>
    <x v="3"/>
    <n v="2"/>
    <n v="0"/>
    <n v="0.6"/>
    <n v="1"/>
    <x v="5"/>
    <x v="1"/>
    <s v=""/>
    <n v="2"/>
    <s v=""/>
    <s v=""/>
    <s v=""/>
  </r>
  <r>
    <s v="Der_Frauen_Trost.csv"/>
    <s v="#Knehte"/>
    <x v="2"/>
    <s v="adel:knecht"/>
    <x v="3"/>
    <x v="3"/>
    <x v="1"/>
    <x v="1"/>
    <x v="3"/>
    <n v="1.3333333333333299"/>
    <n v="0"/>
    <n v="0.6"/>
    <n v="0.14745769345937701"/>
    <x v="3"/>
    <x v="1"/>
    <s v=""/>
    <s v=""/>
    <s v=""/>
    <s v=""/>
    <s v=""/>
  </r>
  <r>
    <s v="Der_Frauen_Trost.csv"/>
    <s v="#Gesinde"/>
    <x v="2"/>
    <s v="unbekannt"/>
    <x v="3"/>
    <x v="3"/>
    <x v="1"/>
    <x v="2"/>
    <x v="3"/>
    <n v="1.3333333333333299"/>
    <n v="0.33333333333333298"/>
    <n v="0.75"/>
    <n v="9.8245135857843793E-2"/>
    <x v="3"/>
    <x v="1"/>
    <s v=""/>
    <s v=""/>
    <s v=""/>
    <s v=""/>
    <s v=""/>
  </r>
  <r>
    <s v="Der_Frauen_Turnei.csv"/>
    <s v="#Rittergruppe"/>
    <x v="2"/>
    <s v="adel:ritter"/>
    <x v="3"/>
    <x v="3"/>
    <x v="0"/>
    <x v="1"/>
    <x v="1"/>
    <n v="1.1764705882352899"/>
    <n v="0.34558823529411797"/>
    <n v="0.32692307692307698"/>
    <n v="0.63172764852622498"/>
    <x v="3"/>
    <x v="0"/>
    <s v=""/>
    <s v=""/>
    <s v=""/>
    <s v=""/>
    <s v=""/>
  </r>
  <r>
    <s v="Der_Frauen_Turnei.csv"/>
    <s v="#Houb-(e)-tman"/>
    <x v="0"/>
    <s v="adel:hauptmann"/>
    <x v="3"/>
    <x v="3"/>
    <x v="1"/>
    <x v="1"/>
    <x v="1"/>
    <n v="0.11764705882352899"/>
    <n v="0"/>
    <n v="0.25373134328358199"/>
    <n v="4.7812033481528703E-2"/>
    <x v="3"/>
    <x v="0"/>
    <s v=""/>
    <s v=""/>
    <s v=""/>
    <s v=""/>
    <s v=""/>
  </r>
  <r>
    <s v="Der_Frauen_Turnei.csv"/>
    <s v="#Frauengruppe"/>
    <x v="2"/>
    <s v="adel:edelfrau"/>
    <x v="3"/>
    <x v="3"/>
    <x v="0"/>
    <x v="1"/>
    <x v="1"/>
    <n v="1.4117647058823499"/>
    <n v="0.41911764705882398"/>
    <n v="0.34"/>
    <n v="0.99563054250221905"/>
    <x v="3"/>
    <x v="0"/>
    <s v=""/>
    <s v=""/>
    <s v=""/>
    <s v=""/>
    <s v=""/>
  </r>
  <r>
    <s v="Der_Frauen_Turnei.csv"/>
    <s v="#Fremder-ritter"/>
    <x v="0"/>
    <s v="adel:ritter"/>
    <x v="3"/>
    <x v="18"/>
    <x v="1"/>
    <x v="1"/>
    <x v="1"/>
    <n v="0.11764705882352899"/>
    <n v="0"/>
    <n v="0.207317073170732"/>
    <n v="9.5624066963057502E-2"/>
    <x v="13"/>
    <x v="0"/>
    <s v=""/>
    <s v=""/>
    <s v=""/>
    <s v=""/>
    <s v=""/>
  </r>
  <r>
    <s v="Der_Frauen_Turnei.csv"/>
    <s v="#Eine-der-vrouwen-4"/>
    <x v="1"/>
    <s v="adel:edelfrau"/>
    <x v="3"/>
    <x v="3"/>
    <x v="1"/>
    <x v="1"/>
    <x v="1"/>
    <n v="0.35294117647058798"/>
    <n v="6.25E-2"/>
    <n v="0.30909090909090903"/>
    <n v="0.12961145898764301"/>
    <x v="3"/>
    <x v="0"/>
    <s v=""/>
    <s v=""/>
    <s v=""/>
    <s v=""/>
    <s v=""/>
  </r>
  <r>
    <s v="Der_Frauen_Turnei.csv"/>
    <s v="#Eine-der-vrouwen-3"/>
    <x v="1"/>
    <s v="adel:edelfrau"/>
    <x v="3"/>
    <x v="3"/>
    <x v="1"/>
    <x v="1"/>
    <x v="1"/>
    <n v="0.23529411764705899"/>
    <n v="0"/>
    <n v="0.28333333333333299"/>
    <n v="8.5163453547691698E-2"/>
    <x v="3"/>
    <x v="0"/>
    <s v=""/>
    <s v=""/>
    <s v=""/>
    <s v=""/>
    <s v=""/>
  </r>
  <r>
    <s v="Der_Frauen_Turnei.csv"/>
    <s v="#Eine-der-vrouwen-1"/>
    <x v="1"/>
    <s v="adel:edelfrau"/>
    <x v="3"/>
    <x v="6"/>
    <x v="0"/>
    <x v="1"/>
    <x v="1"/>
    <n v="0.11764705882352899"/>
    <n v="0"/>
    <n v="0.17894736842105299"/>
    <n v="0.226061599224302"/>
    <x v="6"/>
    <x v="0"/>
    <s v=""/>
    <s v=""/>
    <s v=""/>
    <s v=""/>
    <s v=""/>
  </r>
  <r>
    <s v="Der_Frauen_Turnei.csv"/>
    <s v="#Ein-vrouwe-wol-gezogen"/>
    <x v="1"/>
    <s v="adel:edelfrau"/>
    <x v="3"/>
    <x v="3"/>
    <x v="1"/>
    <x v="1"/>
    <x v="1"/>
    <n v="0"/>
    <n v="0"/>
    <n v="5.5555555555555601E-2"/>
    <n v="9.9831087659658595E-18"/>
    <x v="3"/>
    <x v="0"/>
    <s v=""/>
    <s v=""/>
    <s v=""/>
    <s v=""/>
    <s v=""/>
  </r>
  <r>
    <s v="Der_Frauen_Turnei.csv"/>
    <s v="#Eine-der-vrouwen-2"/>
    <x v="1"/>
    <s v="adel:edelfrau"/>
    <x v="3"/>
    <x v="3"/>
    <x v="1"/>
    <x v="1"/>
    <x v="1"/>
    <n v="0.11764705882352899"/>
    <n v="0"/>
    <n v="0.21249999999999999"/>
    <n v="0.15070773281620101"/>
    <x v="3"/>
    <x v="0"/>
    <s v=""/>
    <s v=""/>
    <s v=""/>
    <s v=""/>
    <s v=""/>
  </r>
  <r>
    <s v="Der_Frauen_Turnei.csv"/>
    <s v="#Junk-vrouwe"/>
    <x v="1"/>
    <s v="adel:edelfrau"/>
    <x v="0"/>
    <x v="3"/>
    <x v="0"/>
    <x v="1"/>
    <x v="1"/>
    <n v="0.70588235294117696"/>
    <n v="3.6764705882352902E-3"/>
    <n v="0.25373134328358199"/>
    <n v="1"/>
    <x v="3"/>
    <x v="0"/>
    <s v=""/>
    <s v=""/>
    <s v=""/>
    <s v=""/>
    <s v=""/>
  </r>
  <r>
    <s v="Der_Frauen_Turnei.csv"/>
    <s v="#Vater-der-junk-vrouwe"/>
    <x v="0"/>
    <s v="adel:unbekannt"/>
    <x v="2"/>
    <x v="3"/>
    <x v="1"/>
    <x v="1"/>
    <x v="1"/>
    <n v="0.35294117647058798"/>
    <n v="1.2867647058823499E-2"/>
    <n v="0.28333333333333299"/>
    <n v="0.33483352403769701"/>
    <x v="3"/>
    <x v="0"/>
    <s v=""/>
    <s v=""/>
    <s v=""/>
    <s v=""/>
    <s v=""/>
  </r>
  <r>
    <s v="Der_Frauen_Turnei.csv"/>
    <s v="#Knechte-der-ritter"/>
    <x v="2"/>
    <s v="adel:knecht"/>
    <x v="3"/>
    <x v="6"/>
    <x v="1"/>
    <x v="1"/>
    <x v="1"/>
    <n v="0.23529411764705899"/>
    <n v="2.9411764705882401E-2"/>
    <n v="0.30357142857142899"/>
    <n v="0.123165899889629"/>
    <x v="6"/>
    <x v="0"/>
    <s v=""/>
    <s v=""/>
    <s v=""/>
    <s v=""/>
    <s v=""/>
  </r>
  <r>
    <s v="Der_Frauen_Turnei.csv"/>
    <s v="#Einer-der-ritter-3"/>
    <x v="0"/>
    <s v="adel:ritter"/>
    <x v="3"/>
    <x v="3"/>
    <x v="1"/>
    <x v="1"/>
    <x v="1"/>
    <n v="0.35294117647058798"/>
    <n v="2.9411764705882401E-2"/>
    <n v="0.30909090909090903"/>
    <n v="0.133250939538475"/>
    <x v="3"/>
    <x v="0"/>
    <s v=""/>
    <s v=""/>
    <s v=""/>
    <s v=""/>
    <s v=""/>
  </r>
  <r>
    <s v="Der_Frauen_Turnei.csv"/>
    <s v="#Einer-der-ritter-2"/>
    <x v="0"/>
    <s v="adel:ritter"/>
    <x v="3"/>
    <x v="3"/>
    <x v="1"/>
    <x v="1"/>
    <x v="1"/>
    <n v="0.35294117647058798"/>
    <n v="2.9411764705882401E-2"/>
    <n v="0.30909090909090903"/>
    <n v="0.133250939538474"/>
    <x v="3"/>
    <x v="0"/>
    <s v=""/>
    <s v=""/>
    <s v=""/>
    <s v=""/>
    <s v=""/>
  </r>
  <r>
    <s v="Der_Frauen_Turnei.csv"/>
    <s v="#Einer-der-ritter"/>
    <x v="0"/>
    <s v="adel:ritter"/>
    <x v="3"/>
    <x v="3"/>
    <x v="1"/>
    <x v="1"/>
    <x v="1"/>
    <n v="0.35294117647058798"/>
    <n v="8.2720588235294101E-2"/>
    <n v="0.29310344827586199"/>
    <n v="0.177551862296327"/>
    <x v="3"/>
    <x v="0"/>
    <s v=""/>
    <s v=""/>
    <s v=""/>
    <s v=""/>
    <s v=""/>
  </r>
  <r>
    <s v="Der_Frauen_Turnei.csv"/>
    <s v="#Herzoge-Walraben-von-Limburk"/>
    <x v="0"/>
    <s v="adel:herzog"/>
    <x v="3"/>
    <x v="6"/>
    <x v="1"/>
    <x v="1"/>
    <x v="1"/>
    <n v="0.82352941176470595"/>
    <n v="0.13602941176470601"/>
    <n v="0.28333333333333299"/>
    <n v="0.714217760870416"/>
    <x v="6"/>
    <x v="0"/>
    <s v=""/>
    <s v=""/>
    <s v=""/>
    <s v=""/>
    <s v=""/>
  </r>
  <r>
    <s v="Der_Frauen_Turnei.csv"/>
    <s v="#Knecht-des-herzogs"/>
    <x v="0"/>
    <s v="adel:knecht"/>
    <x v="3"/>
    <x v="3"/>
    <x v="1"/>
    <x v="1"/>
    <x v="1"/>
    <n v="0.11764705882352899"/>
    <n v="0"/>
    <n v="0.22666666666666699"/>
    <n v="5.4055261908362101E-2"/>
    <x v="3"/>
    <x v="0"/>
    <s v=""/>
    <s v=""/>
    <s v=""/>
    <s v=""/>
    <s v=""/>
  </r>
  <r>
    <s v="Der_Frauen_Turnei.csv"/>
    <s v="#Richer-man"/>
    <x v="0"/>
    <s v="adel:ritter"/>
    <x v="3"/>
    <x v="3"/>
    <x v="1"/>
    <x v="1"/>
    <x v="1"/>
    <n v="0.35294117647058798"/>
    <n v="6.0661764705882401E-2"/>
    <n v="0.29824561403508798"/>
    <n v="0.28077826212933499"/>
    <x v="3"/>
    <x v="0"/>
    <s v=""/>
    <s v=""/>
    <s v=""/>
    <s v=""/>
    <s v=""/>
  </r>
  <r>
    <s v="Der_geaeffte_Pfaffe.csv"/>
    <s v="#Pfaffe"/>
    <x v="0"/>
    <s v="klerus:pfarrer"/>
    <x v="3"/>
    <x v="4"/>
    <x v="1"/>
    <x v="4"/>
    <x v="3"/>
    <n v="2"/>
    <n v="0.33333333333333298"/>
    <n v="0.11111111111111099"/>
    <n v="0.68677628591208895"/>
    <x v="4"/>
    <x v="1"/>
    <n v="1"/>
    <s v=""/>
    <s v=""/>
    <s v=""/>
    <s v=""/>
  </r>
  <r>
    <s v="Der_geaeffte_Pfaffe.csv"/>
    <s v="#Man"/>
    <x v="0"/>
    <s v="bauer"/>
    <x v="3"/>
    <x v="7"/>
    <x v="0"/>
    <x v="5"/>
    <x v="3"/>
    <n v="2"/>
    <n v="0"/>
    <n v="7.3170731707317097E-2"/>
    <n v="1"/>
    <x v="5"/>
    <x v="1"/>
    <s v=""/>
    <n v="2"/>
    <s v=""/>
    <s v=""/>
    <s v=""/>
  </r>
  <r>
    <s v="Der_geaeffte_Pfaffe.csv"/>
    <s v="#Wip"/>
    <x v="1"/>
    <s v="bauer"/>
    <x v="3"/>
    <x v="13"/>
    <x v="0"/>
    <x v="5"/>
    <x v="3"/>
    <n v="2"/>
    <n v="0"/>
    <n v="7.4999999999999997E-2"/>
    <n v="0.94227047528225105"/>
    <x v="4"/>
    <x v="1"/>
    <n v="1"/>
    <s v=""/>
    <s v=""/>
    <s v=""/>
    <s v=""/>
  </r>
  <r>
    <s v="Der_geaeffte_Pfaffe.csv"/>
    <s v="#Kneht"/>
    <x v="0"/>
    <s v="bauer:knecht"/>
    <x v="3"/>
    <x v="6"/>
    <x v="0"/>
    <x v="5"/>
    <x v="3"/>
    <n v="2"/>
    <n v="0"/>
    <n v="8.3333333333333301E-2"/>
    <n v="0.93389631838573395"/>
    <x v="6"/>
    <x v="1"/>
    <s v=""/>
    <s v=""/>
    <s v=""/>
    <s v=""/>
    <s v=""/>
  </r>
  <r>
    <s v="Der_Guertel.csv"/>
    <s v="#Das-maere-selbst"/>
    <x v="4"/>
    <s v="NA"/>
    <x v="4"/>
    <x v="22"/>
    <x v="1"/>
    <x v="0"/>
    <x v="3"/>
    <n v="0.30769230769230799"/>
    <n v="1.2820512820512799E-2"/>
    <n v="0.30232558139534899"/>
    <n v="3.3950300679227503E-2"/>
    <x v="15"/>
    <x v="1"/>
    <s v=""/>
    <s v=""/>
    <s v=""/>
    <s v=""/>
    <s v=""/>
  </r>
  <r>
    <s v="Der_Guertel.csv"/>
    <s v="#Konrad"/>
    <x v="0"/>
    <s v="adel:ritter"/>
    <x v="3"/>
    <x v="7"/>
    <x v="0"/>
    <x v="1"/>
    <x v="3"/>
    <n v="0.92307692307692302"/>
    <n v="8.4401709401709393E-2"/>
    <n v="0.32500000000000001"/>
    <n v="0.82855883634683103"/>
    <x v="5"/>
    <x v="1"/>
    <s v=""/>
    <n v="2"/>
    <s v=""/>
    <s v=""/>
    <s v=""/>
  </r>
  <r>
    <s v="Der_Guertel.csv"/>
    <s v="#Wip/Heinrich"/>
    <x v="1"/>
    <s v="adel:edelfrau"/>
    <x v="0"/>
    <x v="13"/>
    <x v="0"/>
    <x v="1"/>
    <x v="3"/>
    <n v="1.84615384615385"/>
    <n v="0.67841880341880301"/>
    <n v="0.54166666666666696"/>
    <n v="1"/>
    <x v="4"/>
    <x v="1"/>
    <n v="1"/>
    <s v=""/>
    <s v=""/>
    <s v=""/>
    <s v=""/>
  </r>
  <r>
    <s v="Der_Guertel.csv"/>
    <s v="#Ritter"/>
    <x v="0"/>
    <s v="adel:ritter"/>
    <x v="3"/>
    <x v="11"/>
    <x v="1"/>
    <x v="1"/>
    <x v="3"/>
    <n v="0.61538461538461497"/>
    <n v="0.112179487179487"/>
    <n v="0.371428571428571"/>
    <n v="0.48756903861689899"/>
    <x v="10"/>
    <x v="1"/>
    <s v=""/>
    <s v=""/>
    <s v=""/>
    <s v=""/>
    <n v="5"/>
  </r>
  <r>
    <s v="Der_Guertel.csv"/>
    <s v="#Junk-vroeuwelin"/>
    <x v="1"/>
    <s v="adel:edelfrau"/>
    <x v="0"/>
    <x v="3"/>
    <x v="1"/>
    <x v="1"/>
    <x v="3"/>
    <n v="0.30769230769230799"/>
    <n v="0.17521367521367501"/>
    <n v="0.41935483870967699"/>
    <n v="5.1076691492626503E-2"/>
    <x v="3"/>
    <x v="1"/>
    <s v=""/>
    <s v=""/>
    <s v=""/>
    <s v=""/>
    <s v=""/>
  </r>
  <r>
    <s v="Der_Guertel.csv"/>
    <s v="#Magt-der-vrouwe"/>
    <x v="1"/>
    <s v="adel:magd"/>
    <x v="3"/>
    <x v="3"/>
    <x v="1"/>
    <x v="1"/>
    <x v="3"/>
    <n v="0.15384615384615399"/>
    <n v="0"/>
    <n v="0.36111111111111099"/>
    <n v="3.4335677986492799E-2"/>
    <x v="3"/>
    <x v="1"/>
    <s v=""/>
    <s v=""/>
    <s v=""/>
    <s v=""/>
    <s v=""/>
  </r>
  <r>
    <s v="Der_Guertel.csv"/>
    <s v="#Ein-knecht"/>
    <x v="0"/>
    <s v="adel:knecht"/>
    <x v="3"/>
    <x v="6"/>
    <x v="1"/>
    <x v="1"/>
    <x v="3"/>
    <n v="0.61538461538461497"/>
    <n v="8.9743589743589702E-2"/>
    <n v="0.34210526315789502"/>
    <n v="0.16021734837225601"/>
    <x v="6"/>
    <x v="1"/>
    <s v=""/>
    <s v=""/>
    <s v=""/>
    <s v=""/>
    <s v=""/>
  </r>
  <r>
    <s v="Der_Guertel.csv"/>
    <s v="#Knechte-der-vrouwe"/>
    <x v="2"/>
    <s v="adel:knecht"/>
    <x v="3"/>
    <x v="3"/>
    <x v="1"/>
    <x v="1"/>
    <x v="3"/>
    <n v="0.30769230769230799"/>
    <n v="0"/>
    <n v="0.282608695652174"/>
    <n v="7.8565988690701902E-2"/>
    <x v="3"/>
    <x v="1"/>
    <s v=""/>
    <s v=""/>
    <s v=""/>
    <s v=""/>
    <s v=""/>
  </r>
  <r>
    <s v="Der_Guertel.csv"/>
    <s v="#Wirt"/>
    <x v="0"/>
    <s v="buergerlich:wirt"/>
    <x v="3"/>
    <x v="6"/>
    <x v="1"/>
    <x v="3"/>
    <x v="3"/>
    <n v="0.46153846153846201"/>
    <n v="6.41025641025641E-3"/>
    <n v="0.29545454545454503"/>
    <n v="0.144086753166907"/>
    <x v="6"/>
    <x v="1"/>
    <s v=""/>
    <s v=""/>
    <s v=""/>
    <s v=""/>
    <s v=""/>
  </r>
  <r>
    <s v="Der_Guertel.csv"/>
    <s v="#Knechte-von-heinrich"/>
    <x v="2"/>
    <s v="adel:knecht"/>
    <x v="3"/>
    <x v="3"/>
    <x v="1"/>
    <x v="1"/>
    <x v="3"/>
    <n v="0.30769230769230799"/>
    <n v="0.141025641025641"/>
    <n v="0.38235294117647101"/>
    <n v="3.9282994345350999E-2"/>
    <x v="3"/>
    <x v="1"/>
    <s v=""/>
    <s v=""/>
    <s v=""/>
    <s v=""/>
    <s v=""/>
  </r>
  <r>
    <s v="Der_Guertel.csv"/>
    <s v="#Herzoge"/>
    <x v="0"/>
    <s v="adel:herzog"/>
    <x v="3"/>
    <x v="3"/>
    <x v="1"/>
    <x v="1"/>
    <x v="3"/>
    <n v="0.76923076923076905"/>
    <n v="9.4017094017094002E-2"/>
    <n v="0.35135135135135098"/>
    <n v="0.48929475817026402"/>
    <x v="3"/>
    <x v="1"/>
    <s v=""/>
    <s v=""/>
    <s v=""/>
    <s v=""/>
    <s v=""/>
  </r>
  <r>
    <s v="Der_Guertel.csv"/>
    <s v="#Knechte-des-herzogs"/>
    <x v="2"/>
    <s v="adel:knecht"/>
    <x v="3"/>
    <x v="3"/>
    <x v="1"/>
    <x v="1"/>
    <x v="3"/>
    <n v="0.30769230769230799"/>
    <n v="7.3717948717948706E-2"/>
    <n v="0.40625"/>
    <n v="5.1135945243505801E-2"/>
    <x v="3"/>
    <x v="1"/>
    <s v=""/>
    <s v=""/>
    <s v=""/>
    <s v=""/>
    <s v=""/>
  </r>
  <r>
    <s v="Der_Guertel.csv"/>
    <s v="#Ein-ritter"/>
    <x v="0"/>
    <s v="adel:ritter"/>
    <x v="3"/>
    <x v="3"/>
    <x v="1"/>
    <x v="1"/>
    <x v="3"/>
    <n v="0.30769230769230799"/>
    <n v="7.3717948717948706E-2"/>
    <n v="0.40625"/>
    <n v="5.1135945243505898E-2"/>
    <x v="3"/>
    <x v="1"/>
    <s v=""/>
    <s v=""/>
    <s v=""/>
    <s v=""/>
    <s v=""/>
  </r>
  <r>
    <s v="Der_Guertel.csv"/>
    <s v="#Ein-brite"/>
    <x v="0"/>
    <s v="adel:ritter"/>
    <x v="3"/>
    <x v="18"/>
    <x v="1"/>
    <x v="1"/>
    <x v="3"/>
    <n v="0.46153846153846201"/>
    <n v="4.2735042735042701E-2"/>
    <n v="0.30952380952380998"/>
    <n v="0.176705560011827"/>
    <x v="13"/>
    <x v="1"/>
    <s v=""/>
    <s v=""/>
    <s v=""/>
    <s v=""/>
    <s v=""/>
  </r>
  <r>
    <s v="Der_junge_Ratgeber.csv"/>
    <s v="#Kunic"/>
    <x v="0"/>
    <s v="adel:koenig"/>
    <x v="3"/>
    <x v="3"/>
    <x v="0"/>
    <x v="1"/>
    <x v="1"/>
    <n v="2"/>
    <n v="0.05"/>
    <n v="0.55555555555555602"/>
    <n v="1"/>
    <x v="3"/>
    <x v="1"/>
    <s v=""/>
    <s v=""/>
    <s v=""/>
    <s v=""/>
    <s v=""/>
  </r>
  <r>
    <s v="Der_junge_Ratgeber.csv"/>
    <s v="#Alter-ratgeben"/>
    <x v="0"/>
    <s v="adel:ratgeber"/>
    <x v="2"/>
    <x v="8"/>
    <x v="1"/>
    <x v="1"/>
    <x v="1"/>
    <n v="1.6"/>
    <n v="0.25"/>
    <n v="0.625"/>
    <n v="0.81844232581321796"/>
    <x v="7"/>
    <x v="1"/>
    <s v=""/>
    <s v=""/>
    <s v=""/>
    <s v=""/>
    <s v=""/>
  </r>
  <r>
    <s v="Der_junge_Ratgeber.csv"/>
    <s v="#Sun-(neuer-ratgeben)"/>
    <x v="0"/>
    <s v="adel:ratgeber"/>
    <x v="0"/>
    <x v="23"/>
    <x v="0"/>
    <x v="1"/>
    <x v="1"/>
    <n v="2"/>
    <n v="0"/>
    <n v="0.45454545454545497"/>
    <n v="0.896398856114894"/>
    <x v="16"/>
    <x v="1"/>
    <s v=""/>
    <s v=""/>
    <s v=""/>
    <s v=""/>
    <s v=""/>
  </r>
  <r>
    <s v="Der_junge_Ratgeber.csv"/>
    <s v="#Bote"/>
    <x v="0"/>
    <s v="buergerlich:bote"/>
    <x v="3"/>
    <x v="15"/>
    <x v="1"/>
    <x v="3"/>
    <x v="1"/>
    <n v="1.2"/>
    <n v="0.4"/>
    <n v="0.625"/>
    <n v="0.19434459280845101"/>
    <x v="12"/>
    <x v="1"/>
    <s v=""/>
    <s v=""/>
    <s v=""/>
    <s v=""/>
    <s v=""/>
  </r>
  <r>
    <s v="Der_junge_Ratgeber.csv"/>
    <s v="#Besten-von-dem-lande"/>
    <x v="2"/>
    <s v="unbekannt"/>
    <x v="3"/>
    <x v="3"/>
    <x v="1"/>
    <x v="2"/>
    <x v="1"/>
    <n v="1.6"/>
    <n v="0.15"/>
    <n v="0.55555555555555602"/>
    <n v="0.54945473053465199"/>
    <x v="3"/>
    <x v="1"/>
    <s v=""/>
    <s v=""/>
    <s v=""/>
    <s v=""/>
    <s v=""/>
  </r>
  <r>
    <s v="Der_junge_Ratgeber.csv"/>
    <s v="#Nidaere"/>
    <x v="2"/>
    <s v="unbekannt"/>
    <x v="3"/>
    <x v="11"/>
    <x v="1"/>
    <x v="2"/>
    <x v="1"/>
    <n v="1.2"/>
    <n v="0"/>
    <n v="0.45454545454545497"/>
    <n v="0.37501403777258802"/>
    <x v="10"/>
    <x v="1"/>
    <s v=""/>
    <s v=""/>
    <s v=""/>
    <s v=""/>
    <n v="5"/>
  </r>
  <r>
    <s v="Der_kluge_Knecht.csv"/>
    <s v="#Man"/>
    <x v="0"/>
    <s v="unbekannt"/>
    <x v="3"/>
    <x v="7"/>
    <x v="0"/>
    <x v="2"/>
    <x v="3"/>
    <n v="2"/>
    <n v="0"/>
    <n v="8.5714285714285701E-2"/>
    <n v="1"/>
    <x v="5"/>
    <x v="1"/>
    <s v=""/>
    <n v="2"/>
    <s v=""/>
    <s v=""/>
    <s v=""/>
  </r>
  <r>
    <s v="Der_kluge_Knecht.csv"/>
    <s v="#Wip"/>
    <x v="1"/>
    <s v="unbekannt"/>
    <x v="3"/>
    <x v="13"/>
    <x v="0"/>
    <x v="2"/>
    <x v="3"/>
    <n v="2"/>
    <n v="0"/>
    <n v="8.5714285714285701E-2"/>
    <n v="0.93521875234554497"/>
    <x v="4"/>
    <x v="1"/>
    <n v="1"/>
    <s v=""/>
    <s v=""/>
    <s v=""/>
    <s v=""/>
  </r>
  <r>
    <s v="Der_kluge_Knecht.csv"/>
    <s v="#Kneht"/>
    <x v="0"/>
    <s v="unbekannt:knecht"/>
    <x v="3"/>
    <x v="6"/>
    <x v="0"/>
    <x v="2"/>
    <x v="3"/>
    <n v="2"/>
    <n v="0"/>
    <n v="0.12"/>
    <n v="0.88656582522251803"/>
    <x v="6"/>
    <x v="1"/>
    <s v=""/>
    <s v=""/>
    <s v=""/>
    <s v=""/>
    <s v=""/>
  </r>
  <r>
    <s v="Der_kluge_Knecht.csv"/>
    <s v="#Pfarraere"/>
    <x v="0"/>
    <s v="klerus:pfarrer"/>
    <x v="3"/>
    <x v="4"/>
    <x v="1"/>
    <x v="4"/>
    <x v="3"/>
    <n v="2"/>
    <n v="1"/>
    <n v="0.157894736842105"/>
    <n v="0.49375060358839501"/>
    <x v="4"/>
    <x v="1"/>
    <n v="1"/>
    <s v=""/>
    <s v=""/>
    <s v=""/>
    <s v=""/>
  </r>
  <r>
    <s v="Der_nackte_Bote.csv"/>
    <s v="#Kneht"/>
    <x v="0"/>
    <s v="adel:knecht"/>
    <x v="3"/>
    <x v="14"/>
    <x v="0"/>
    <x v="1"/>
    <x v="1"/>
    <n v="2"/>
    <n v="9.5238095238095205E-2"/>
    <n v="0.58333333333333304"/>
    <n v="1"/>
    <x v="5"/>
    <x v="1"/>
    <s v=""/>
    <n v="2"/>
    <s v=""/>
    <s v=""/>
    <s v=""/>
  </r>
  <r>
    <s v="Der_nackte_Bote.csv"/>
    <s v="#Vrouwe"/>
    <x v="1"/>
    <s v="buergerlich:ehefrau"/>
    <x v="3"/>
    <x v="1"/>
    <x v="1"/>
    <x v="3"/>
    <x v="1"/>
    <n v="1.1428571428571399"/>
    <n v="0"/>
    <n v="0.5"/>
    <n v="0.31866831887568697"/>
    <x v="1"/>
    <x v="1"/>
    <s v=""/>
    <s v=""/>
    <s v=""/>
    <s v=""/>
    <s v=""/>
  </r>
  <r>
    <s v="Der_nackte_Bote.csv"/>
    <s v="#Tohter"/>
    <x v="2"/>
    <s v="buergerlich:NA"/>
    <x v="3"/>
    <x v="2"/>
    <x v="1"/>
    <x v="3"/>
    <x v="1"/>
    <n v="1.1428571428571399"/>
    <n v="0"/>
    <n v="0.5"/>
    <n v="0.31866831887568697"/>
    <x v="2"/>
    <x v="1"/>
    <s v=""/>
    <s v=""/>
    <s v=""/>
    <s v=""/>
    <s v=""/>
  </r>
  <r>
    <s v="Der_nackte_Bote.csv"/>
    <s v="#Herre"/>
    <x v="0"/>
    <s v="adel:ritter"/>
    <x v="3"/>
    <x v="6"/>
    <x v="1"/>
    <x v="1"/>
    <x v="1"/>
    <n v="1.1428571428571399"/>
    <n v="4.7619047619047603E-2"/>
    <n v="0.46666666666666701"/>
    <n v="0.76040883095630196"/>
    <x v="6"/>
    <x v="1"/>
    <s v=""/>
    <s v=""/>
    <s v=""/>
    <s v=""/>
    <s v=""/>
  </r>
  <r>
    <s v="Der_nackte_Bote.csv"/>
    <s v="#Kint"/>
    <x v="3"/>
    <s v="buergerlich:NA"/>
    <x v="1"/>
    <x v="2"/>
    <x v="1"/>
    <x v="3"/>
    <x v="1"/>
    <n v="1.1428571428571399"/>
    <n v="0.17460317460317501"/>
    <n v="0.58333333333333304"/>
    <n v="0.36192709358522301"/>
    <x v="2"/>
    <x v="1"/>
    <s v=""/>
    <s v=""/>
    <s v=""/>
    <s v=""/>
    <s v=""/>
  </r>
  <r>
    <s v="Der_nackte_Bote.csv"/>
    <s v="#Wirt"/>
    <x v="0"/>
    <s v="buergerlich:wirt"/>
    <x v="3"/>
    <x v="14"/>
    <x v="0"/>
    <x v="3"/>
    <x v="1"/>
    <n v="2"/>
    <n v="7.1428571428571397E-2"/>
    <n v="0.58333333333333304"/>
    <n v="0.87639159649611098"/>
    <x v="5"/>
    <x v="1"/>
    <s v=""/>
    <n v="2"/>
    <s v=""/>
    <s v=""/>
    <s v=""/>
  </r>
  <r>
    <s v="Der_nackte_Bote.csv"/>
    <s v="#Gesinde"/>
    <x v="2"/>
    <s v="unbekannt"/>
    <x v="3"/>
    <x v="3"/>
    <x v="1"/>
    <x v="2"/>
    <x v="1"/>
    <n v="1.4285714285714299"/>
    <n v="0.49206349206349198"/>
    <n v="0.77777777777777801"/>
    <n v="0.182723492296711"/>
    <x v="3"/>
    <x v="1"/>
    <s v=""/>
    <s v=""/>
    <s v=""/>
    <s v=""/>
    <s v=""/>
  </r>
  <r>
    <s v="Der_nackte_Bote.csv"/>
    <s v="#Knehten"/>
    <x v="2"/>
    <s v="buergerlich:knecht"/>
    <x v="3"/>
    <x v="3"/>
    <x v="1"/>
    <x v="3"/>
    <x v="1"/>
    <n v="0.85714285714285698"/>
    <n v="6.3492063492063502E-2"/>
    <n v="0.5"/>
    <n v="0.22323353898209999"/>
    <x v="3"/>
    <x v="1"/>
    <s v=""/>
    <s v=""/>
    <s v=""/>
    <s v=""/>
    <s v=""/>
  </r>
  <r>
    <s v="Der_nackte_Koenig.csv"/>
    <s v="#Kunik"/>
    <x v="0"/>
    <s v="adel:koenig"/>
    <x v="3"/>
    <x v="14"/>
    <x v="0"/>
    <x v="1"/>
    <x v="1"/>
    <n v="2"/>
    <n v="8.7962962962963007E-2"/>
    <n v="0.47368421052631599"/>
    <n v="1"/>
    <x v="5"/>
    <x v="1"/>
    <s v=""/>
    <n v="2"/>
    <s v=""/>
    <s v=""/>
    <s v=""/>
  </r>
  <r>
    <s v="Der_nackte_Koenig.csv"/>
    <s v="#Engel"/>
    <x v="0"/>
    <s v="NA"/>
    <x v="4"/>
    <x v="4"/>
    <x v="0"/>
    <x v="0"/>
    <x v="1"/>
    <n v="1.7777777777777799"/>
    <n v="0.24537037037036999"/>
    <n v="0.5"/>
    <n v="0.81199406616390601"/>
    <x v="4"/>
    <x v="1"/>
    <n v="1"/>
    <s v=""/>
    <s v=""/>
    <s v=""/>
    <s v=""/>
  </r>
  <r>
    <s v="Der_nackte_Koenig.csv"/>
    <s v="#Bader"/>
    <x v="0"/>
    <s v="adel:bader"/>
    <x v="3"/>
    <x v="3"/>
    <x v="1"/>
    <x v="1"/>
    <x v="1"/>
    <n v="1.1111111111111101"/>
    <n v="6.9444444444444406E-2"/>
    <n v="0.42857142857142899"/>
    <n v="0.33309027936334501"/>
    <x v="3"/>
    <x v="1"/>
    <s v=""/>
    <s v=""/>
    <s v=""/>
    <s v=""/>
    <s v=""/>
  </r>
  <r>
    <s v="Der_nackte_Koenig.csv"/>
    <s v="#Bader-gesinde"/>
    <x v="2"/>
    <s v="adel:bader"/>
    <x v="3"/>
    <x v="3"/>
    <x v="1"/>
    <x v="1"/>
    <x v="1"/>
    <n v="0.66666666666666696"/>
    <n v="1.85185185185185E-2"/>
    <n v="0.42857142857142899"/>
    <n v="0.13622536954321901"/>
    <x v="3"/>
    <x v="1"/>
    <s v=""/>
    <s v=""/>
    <s v=""/>
    <s v=""/>
    <s v=""/>
  </r>
  <r>
    <s v="Der_nackte_Koenig.csv"/>
    <s v="#Schenke"/>
    <x v="0"/>
    <s v="buergerlich:wirt"/>
    <x v="3"/>
    <x v="6"/>
    <x v="1"/>
    <x v="3"/>
    <x v="1"/>
    <n v="1.3333333333333299"/>
    <n v="0.171296296296296"/>
    <n v="0.52941176470588203"/>
    <n v="0.57925812999990201"/>
    <x v="6"/>
    <x v="1"/>
    <s v=""/>
    <s v=""/>
    <s v=""/>
    <s v=""/>
    <s v=""/>
  </r>
  <r>
    <s v="Der_nackte_Koenig.csv"/>
    <s v="#Portenaere"/>
    <x v="0"/>
    <s v="buergerlich:torwart"/>
    <x v="3"/>
    <x v="15"/>
    <x v="1"/>
    <x v="3"/>
    <x v="1"/>
    <n v="0.66666666666666696"/>
    <n v="0"/>
    <n v="0.34615384615384598"/>
    <n v="0.21736092644973701"/>
    <x v="12"/>
    <x v="1"/>
    <s v=""/>
    <s v=""/>
    <s v=""/>
    <s v=""/>
    <s v=""/>
  </r>
  <r>
    <s v="Der_nackte_Koenig.csv"/>
    <s v="#Hove-gesinde"/>
    <x v="2"/>
    <s v="adel:unbekannt"/>
    <x v="3"/>
    <x v="3"/>
    <x v="1"/>
    <x v="1"/>
    <x v="1"/>
    <n v="1.3333333333333299"/>
    <n v="0.180555555555556"/>
    <n v="0.52941176470588203"/>
    <n v="0.41989076013968601"/>
    <x v="3"/>
    <x v="1"/>
    <s v=""/>
    <s v=""/>
    <s v=""/>
    <s v=""/>
    <s v=""/>
  </r>
  <r>
    <s v="Der_nackte_Koenig.csv"/>
    <s v="#Kuenegin"/>
    <x v="1"/>
    <s v="adel:koenigin"/>
    <x v="3"/>
    <x v="1"/>
    <x v="1"/>
    <x v="1"/>
    <x v="1"/>
    <n v="1.1111111111111101"/>
    <n v="2.7777777777777801E-2"/>
    <n v="0.40909090909090901"/>
    <n v="0.37630478201439099"/>
    <x v="1"/>
    <x v="1"/>
    <s v=""/>
    <s v=""/>
    <s v=""/>
    <s v=""/>
    <s v=""/>
  </r>
  <r>
    <s v="Der_nackte_Koenig.csv"/>
    <s v="#Ritter"/>
    <x v="0"/>
    <s v="adel:ritter"/>
    <x v="3"/>
    <x v="3"/>
    <x v="1"/>
    <x v="1"/>
    <x v="1"/>
    <n v="0.66666666666666696"/>
    <n v="0.21296296296296299"/>
    <n v="0.5625"/>
    <n v="9.3655221265290703E-2"/>
    <x v="3"/>
    <x v="1"/>
    <s v=""/>
    <s v=""/>
    <s v=""/>
    <s v=""/>
    <s v=""/>
  </r>
  <r>
    <s v="Der_nackte_Koenig.csv"/>
    <s v="#Hove-riter"/>
    <x v="0"/>
    <s v="adel:ritter"/>
    <x v="2"/>
    <x v="3"/>
    <x v="1"/>
    <x v="1"/>
    <x v="1"/>
    <n v="0.44444444444444398"/>
    <n v="5.5555555555555601E-2"/>
    <n v="0.42857142857142899"/>
    <n v="5.56111076559632E-2"/>
    <x v="3"/>
    <x v="1"/>
    <s v=""/>
    <s v=""/>
    <s v=""/>
    <s v=""/>
    <s v=""/>
  </r>
  <r>
    <s v="Der_Nußberg.csv"/>
    <s v="#Ritter-von-nuzberk"/>
    <x v="0"/>
    <s v="adel:ritter"/>
    <x v="3"/>
    <x v="7"/>
    <x v="0"/>
    <x v="1"/>
    <x v="3"/>
    <n v="2"/>
    <n v="0"/>
    <n v="0.6"/>
    <n v="1"/>
    <x v="5"/>
    <x v="1"/>
    <s v=""/>
    <n v="2"/>
    <s v=""/>
    <s v=""/>
    <s v=""/>
  </r>
  <r>
    <s v="Der_Nußberg.csv"/>
    <s v="#Wip"/>
    <x v="1"/>
    <s v="adel:edelfrau"/>
    <x v="3"/>
    <x v="13"/>
    <x v="0"/>
    <x v="1"/>
    <x v="3"/>
    <n v="2"/>
    <n v="0.66666666666666696"/>
    <n v="1"/>
    <n v="0.49033010167086699"/>
    <x v="4"/>
    <x v="1"/>
    <n v="1"/>
    <s v=""/>
    <s v=""/>
    <s v=""/>
    <s v=""/>
  </r>
  <r>
    <s v="Der_Nußberg.csv"/>
    <s v="#Kuenik"/>
    <x v="0"/>
    <s v="adel:koenig"/>
    <x v="3"/>
    <x v="3"/>
    <x v="1"/>
    <x v="1"/>
    <x v="3"/>
    <n v="2"/>
    <n v="0"/>
    <n v="0.75"/>
    <n v="0.80636096254159195"/>
    <x v="3"/>
    <x v="1"/>
    <s v=""/>
    <s v=""/>
    <s v=""/>
    <s v=""/>
    <s v=""/>
  </r>
  <r>
    <s v="Der_Nußberg.csv"/>
    <s v="#Kuenik-der-heiden"/>
    <x v="0"/>
    <s v="adel:koenig"/>
    <x v="3"/>
    <x v="4"/>
    <x v="0"/>
    <x v="1"/>
    <x v="3"/>
    <n v="2"/>
    <n v="0"/>
    <n v="0.75"/>
    <n v="0.80636096254159195"/>
    <x v="4"/>
    <x v="1"/>
    <n v="1"/>
    <s v=""/>
    <s v=""/>
    <s v=""/>
    <s v=""/>
  </r>
  <r>
    <s v="Der_Pfaffe_im_Kaesekorb.csv"/>
    <s v="#Pur"/>
    <x v="0"/>
    <s v="bauer:meyer"/>
    <x v="3"/>
    <x v="7"/>
    <x v="0"/>
    <x v="5"/>
    <x v="3"/>
    <n v="0"/>
    <n v="0"/>
    <n v="0"/>
    <n v="0"/>
    <x v="5"/>
    <x v="1"/>
    <s v=""/>
    <n v="2"/>
    <s v=""/>
    <s v=""/>
    <s v=""/>
  </r>
  <r>
    <s v="Der_Pfaffe_im_Kaesekorb.csv"/>
    <s v="#Wib"/>
    <x v="1"/>
    <s v="bauer:ehefrau"/>
    <x v="3"/>
    <x v="13"/>
    <x v="0"/>
    <x v="5"/>
    <x v="3"/>
    <n v="0"/>
    <n v="0"/>
    <n v="0"/>
    <n v="0"/>
    <x v="4"/>
    <x v="1"/>
    <n v="1"/>
    <s v=""/>
    <s v=""/>
    <s v=""/>
    <s v=""/>
  </r>
  <r>
    <s v="Der_Pfaffe_im_Kaesekorb.csv"/>
    <s v="#Pfaffe"/>
    <x v="0"/>
    <s v="klerus:pfarrer"/>
    <x v="3"/>
    <x v="4"/>
    <x v="1"/>
    <x v="4"/>
    <x v="3"/>
    <n v="0"/>
    <n v="0"/>
    <n v="0"/>
    <n v="0"/>
    <x v="4"/>
    <x v="1"/>
    <n v="1"/>
    <s v=""/>
    <s v=""/>
    <s v=""/>
    <s v=""/>
  </r>
  <r>
    <s v="Der_Raubritter_und_sein_Kaemmerer.csv"/>
    <s v="#Ritter"/>
    <x v="0"/>
    <s v="adel:ritter"/>
    <x v="3"/>
    <x v="14"/>
    <x v="0"/>
    <x v="1"/>
    <x v="1"/>
    <n v="2"/>
    <n v="0.33333333333333298"/>
    <n v="0.2"/>
    <n v="0.91001080941258605"/>
    <x v="5"/>
    <x v="1"/>
    <s v=""/>
    <n v="2"/>
    <s v=""/>
    <s v=""/>
    <s v=""/>
  </r>
  <r>
    <s v="Der_Raubritter_und_sein_Kaemmerer.csv"/>
    <s v="#Muench"/>
    <x v="0"/>
    <s v="klerus:moench"/>
    <x v="3"/>
    <x v="6"/>
    <x v="0"/>
    <x v="4"/>
    <x v="1"/>
    <n v="2"/>
    <n v="0"/>
    <n v="0.16666666666666699"/>
    <n v="1"/>
    <x v="6"/>
    <x v="1"/>
    <s v=""/>
    <s v=""/>
    <s v=""/>
    <s v=""/>
    <s v=""/>
  </r>
  <r>
    <s v="Der_Raubritter_und_sein_Kaemmerer.csv"/>
    <s v="#Gesinde"/>
    <x v="2"/>
    <s v="adel:unbekannt"/>
    <x v="3"/>
    <x v="3"/>
    <x v="1"/>
    <x v="1"/>
    <x v="1"/>
    <n v="1.3333333333333299"/>
    <n v="0"/>
    <n v="0.15"/>
    <n v="0.78888576762637597"/>
    <x v="3"/>
    <x v="1"/>
    <s v=""/>
    <s v=""/>
    <s v=""/>
    <s v=""/>
    <s v=""/>
  </r>
  <r>
    <s v="Der_Raubritter_und_sein_Kaemmerer.csv"/>
    <s v="#Kamerer"/>
    <x v="0"/>
    <s v="adel:kaemmerer"/>
    <x v="3"/>
    <x v="4"/>
    <x v="0"/>
    <x v="1"/>
    <x v="1"/>
    <n v="1.3333333333333299"/>
    <n v="0.33333333333333298"/>
    <n v="0.2"/>
    <n v="0.45967116488522702"/>
    <x v="4"/>
    <x v="1"/>
    <n v="1"/>
    <s v=""/>
    <s v=""/>
    <s v=""/>
    <s v=""/>
  </r>
  <r>
    <s v="Der_Reiher.csv"/>
    <s v="#Man"/>
    <x v="0"/>
    <s v="adel:ritter"/>
    <x v="3"/>
    <x v="7"/>
    <x v="0"/>
    <x v="1"/>
    <x v="3"/>
    <n v="1.6"/>
    <n v="0.05"/>
    <n v="0.217391304347826"/>
    <n v="0.77462461884820499"/>
    <x v="5"/>
    <x v="1"/>
    <s v=""/>
    <n v="2"/>
    <s v=""/>
    <s v=""/>
    <s v=""/>
  </r>
  <r>
    <s v="Der_Reiher.csv"/>
    <s v="#Vrouwe"/>
    <x v="1"/>
    <s v="adel:edelfrau"/>
    <x v="3"/>
    <x v="13"/>
    <x v="0"/>
    <x v="1"/>
    <x v="3"/>
    <n v="2"/>
    <n v="0.3"/>
    <n v="0.29411764705882398"/>
    <n v="1"/>
    <x v="4"/>
    <x v="1"/>
    <n v="1"/>
    <s v=""/>
    <s v=""/>
    <s v=""/>
    <s v=""/>
  </r>
  <r>
    <s v="Der_Reiher.csv"/>
    <s v="#Koch"/>
    <x v="0"/>
    <s v="buergerlich:koch"/>
    <x v="3"/>
    <x v="3"/>
    <x v="1"/>
    <x v="3"/>
    <x v="3"/>
    <n v="0.8"/>
    <n v="0.15"/>
    <n v="0.238095238095238"/>
    <n v="0.13253896714941199"/>
    <x v="3"/>
    <x v="1"/>
    <s v=""/>
    <s v=""/>
    <s v=""/>
    <s v=""/>
    <s v=""/>
  </r>
  <r>
    <s v="Der_Reiher.csv"/>
    <s v="#Meit"/>
    <x v="1"/>
    <s v="adel:magd"/>
    <x v="3"/>
    <x v="15"/>
    <x v="1"/>
    <x v="1"/>
    <x v="3"/>
    <n v="0.8"/>
    <n v="0"/>
    <n v="0.18518518518518501"/>
    <n v="0.26336845883157001"/>
    <x v="12"/>
    <x v="1"/>
    <s v=""/>
    <s v=""/>
    <s v=""/>
    <s v=""/>
    <s v=""/>
  </r>
  <r>
    <s v="Der_Reiher.csv"/>
    <s v="#Gewatern"/>
    <x v="1"/>
    <s v="unbekannt"/>
    <x v="3"/>
    <x v="6"/>
    <x v="0"/>
    <x v="2"/>
    <x v="3"/>
    <n v="1.6"/>
    <n v="0.2"/>
    <n v="0.26315789473684198"/>
    <n v="0.76318014589525895"/>
    <x v="6"/>
    <x v="1"/>
    <s v=""/>
    <s v=""/>
    <s v=""/>
    <s v=""/>
    <s v=""/>
  </r>
  <r>
    <s v="Der_Reiher.csv"/>
    <s v="#Herre"/>
    <x v="0"/>
    <s v="adel:unbekannt"/>
    <x v="3"/>
    <x v="3"/>
    <x v="1"/>
    <x v="1"/>
    <x v="3"/>
    <n v="1.2"/>
    <n v="0.15"/>
    <n v="0.26315789473684198"/>
    <n v="0.285161079570807"/>
    <x v="3"/>
    <x v="1"/>
    <s v=""/>
    <s v=""/>
    <s v=""/>
    <s v=""/>
    <s v=""/>
  </r>
  <r>
    <s v="Der_Richter_und_der_Teufel.csv"/>
    <s v="#Rihter"/>
    <x v="0"/>
    <s v="buergerlich:richter"/>
    <x v="3"/>
    <x v="4"/>
    <x v="0"/>
    <x v="3"/>
    <x v="1"/>
    <n v="1.6"/>
    <n v="0.5"/>
    <n v="0.5"/>
    <n v="1"/>
    <x v="4"/>
    <x v="1"/>
    <n v="1"/>
    <s v=""/>
    <s v=""/>
    <s v=""/>
    <s v=""/>
  </r>
  <r>
    <s v="Der_Richter_und_der_Teufel.csv"/>
    <s v="#Wip-1"/>
    <x v="1"/>
    <s v="unbekannt"/>
    <x v="3"/>
    <x v="3"/>
    <x v="1"/>
    <x v="2"/>
    <x v="1"/>
    <n v="0"/>
    <n v="0"/>
    <n v="0.16666666666666699"/>
    <n v="0"/>
    <x v="3"/>
    <x v="1"/>
    <s v=""/>
    <s v=""/>
    <s v=""/>
    <s v=""/>
    <s v=""/>
  </r>
  <r>
    <s v="Der_Richter_und_der_Teufel.csv"/>
    <s v="#Wip-2"/>
    <x v="1"/>
    <s v="unbekannt"/>
    <x v="3"/>
    <x v="3"/>
    <x v="1"/>
    <x v="2"/>
    <x v="1"/>
    <n v="0.4"/>
    <n v="0"/>
    <n v="0.38461538461538503"/>
    <n v="0.42681725548354599"/>
    <x v="3"/>
    <x v="1"/>
    <s v=""/>
    <s v=""/>
    <s v=""/>
    <s v=""/>
    <s v=""/>
  </r>
  <r>
    <s v="Der_Richter_und_der_Teufel.csv"/>
    <s v="#Wip-3"/>
    <x v="1"/>
    <s v="unbekannt"/>
    <x v="3"/>
    <x v="3"/>
    <x v="1"/>
    <x v="2"/>
    <x v="1"/>
    <n v="0.8"/>
    <n v="0"/>
    <n v="0.41666666666666702"/>
    <n v="0.74464428590503995"/>
    <x v="3"/>
    <x v="1"/>
    <s v=""/>
    <s v=""/>
    <s v=""/>
    <s v=""/>
    <s v=""/>
  </r>
  <r>
    <s v="Der_Richter_und_der_Teufel.csv"/>
    <s v="#Kinde"/>
    <x v="3"/>
    <s v="unbekannt"/>
    <x v="1"/>
    <x v="2"/>
    <x v="1"/>
    <x v="2"/>
    <x v="1"/>
    <n v="0.8"/>
    <n v="0"/>
    <n v="0.41666666666666702"/>
    <n v="0.74464428590503995"/>
    <x v="2"/>
    <x v="1"/>
    <s v=""/>
    <s v=""/>
    <s v=""/>
    <s v=""/>
    <s v=""/>
  </r>
  <r>
    <s v="Der_Richter_und_der_Teufel.csv"/>
    <s v="#Witwe"/>
    <x v="1"/>
    <s v="unbekannt"/>
    <x v="2"/>
    <x v="6"/>
    <x v="1"/>
    <x v="2"/>
    <x v="1"/>
    <n v="0.4"/>
    <n v="0"/>
    <n v="0.38461538461538503"/>
    <n v="0.42681725548354599"/>
    <x v="6"/>
    <x v="1"/>
    <s v=""/>
    <s v=""/>
    <s v=""/>
    <s v=""/>
    <s v=""/>
  </r>
  <r>
    <s v="Der_Ritter_und_die_Nuesse.csv"/>
    <s v="#Ritter"/>
    <x v="0"/>
    <s v="adel:ritter"/>
    <x v="3"/>
    <x v="7"/>
    <x v="0"/>
    <x v="1"/>
    <x v="3"/>
    <n v="2"/>
    <n v="0.66666666666666696"/>
    <n v="0.14285714285714299"/>
    <n v="1"/>
    <x v="5"/>
    <x v="1"/>
    <s v=""/>
    <n v="2"/>
    <s v=""/>
    <s v=""/>
    <s v=""/>
  </r>
  <r>
    <s v="Der_Ritter_und_die_Nuesse.csv"/>
    <s v="#Vrouwe"/>
    <x v="1"/>
    <s v="adel:edelfrau"/>
    <x v="3"/>
    <x v="13"/>
    <x v="0"/>
    <x v="1"/>
    <x v="3"/>
    <n v="1.3333333333333299"/>
    <n v="0"/>
    <n v="9.375E-2"/>
    <n v="0.99244587365848402"/>
    <x v="4"/>
    <x v="1"/>
    <n v="1"/>
    <s v=""/>
    <s v=""/>
    <s v=""/>
    <s v=""/>
  </r>
  <r>
    <s v="Der_Ritter_und_die_Nuesse.csv"/>
    <s v="#Buoler"/>
    <x v="0"/>
    <s v="adel:ritter"/>
    <x v="3"/>
    <x v="4"/>
    <x v="0"/>
    <x v="1"/>
    <x v="3"/>
    <n v="1.3333333333333299"/>
    <n v="0"/>
    <n v="0.115384615384615"/>
    <n v="0.87776385500983101"/>
    <x v="4"/>
    <x v="1"/>
    <n v="1"/>
    <s v=""/>
    <s v=""/>
    <s v=""/>
    <s v=""/>
  </r>
  <r>
    <s v="Der_Ritter_und_die_Nuesse.csv"/>
    <s v="#Kint"/>
    <x v="2"/>
    <s v="unbekannt"/>
    <x v="1"/>
    <x v="6"/>
    <x v="1"/>
    <x v="2"/>
    <x v="3"/>
    <n v="0.66666666666666696"/>
    <n v="0"/>
    <n v="0.12"/>
    <n v="0.11013647429705301"/>
    <x v="6"/>
    <x v="1"/>
    <s v=""/>
    <s v=""/>
    <s v=""/>
    <s v=""/>
    <s v=""/>
  </r>
  <r>
    <s v="Der_Ritter_unterm_Zuber.csv"/>
    <s v="#Buoler"/>
    <x v="0"/>
    <s v="adel:ritter"/>
    <x v="3"/>
    <x v="4"/>
    <x v="0"/>
    <x v="1"/>
    <x v="3"/>
    <n v="2"/>
    <n v="0.36666666666666697"/>
    <n v="0.46153846153846201"/>
    <n v="0.78120374160726602"/>
    <x v="4"/>
    <x v="1"/>
    <n v="1"/>
    <s v=""/>
    <s v=""/>
    <s v=""/>
    <s v=""/>
  </r>
  <r>
    <s v="Der_Ritter_unterm_Zuber.csv"/>
    <s v="#Vrouwe"/>
    <x v="1"/>
    <s v="adel:edelfrau"/>
    <x v="3"/>
    <x v="13"/>
    <x v="0"/>
    <x v="1"/>
    <x v="3"/>
    <n v="2"/>
    <n v="0"/>
    <n v="0.375"/>
    <n v="0.96975939188064597"/>
    <x v="4"/>
    <x v="1"/>
    <n v="1"/>
    <s v=""/>
    <s v=""/>
    <s v=""/>
    <s v=""/>
  </r>
  <r>
    <s v="Der_Ritter_unterm_Zuber.csv"/>
    <s v="#Ritter"/>
    <x v="0"/>
    <s v="adel:ritter"/>
    <x v="3"/>
    <x v="7"/>
    <x v="0"/>
    <x v="1"/>
    <x v="3"/>
    <n v="1.3333333333333299"/>
    <n v="0"/>
    <n v="0.35294117647058798"/>
    <n v="1"/>
    <x v="5"/>
    <x v="1"/>
    <s v=""/>
    <n v="2"/>
    <s v=""/>
    <s v=""/>
    <s v=""/>
  </r>
  <r>
    <s v="Der_Ritter_unterm_Zuber.csv"/>
    <s v="#Brueder-dri-des-ritters"/>
    <x v="2"/>
    <s v="adel:unbekannt"/>
    <x v="3"/>
    <x v="6"/>
    <x v="1"/>
    <x v="1"/>
    <x v="3"/>
    <n v="1.3333333333333299"/>
    <n v="0"/>
    <n v="0.35294117647058798"/>
    <n v="0.74385367297630001"/>
    <x v="6"/>
    <x v="1"/>
    <s v=""/>
    <s v=""/>
    <s v=""/>
    <s v=""/>
    <s v=""/>
  </r>
  <r>
    <s v="Der_Ritter_unterm_Zuber.csv"/>
    <s v="#Einer-der-bruider"/>
    <x v="0"/>
    <s v="adel:unbekannt"/>
    <x v="3"/>
    <x v="3"/>
    <x v="1"/>
    <x v="1"/>
    <x v="3"/>
    <n v="0.66666666666666696"/>
    <n v="6.6666666666666693E-2"/>
    <n v="0.375"/>
    <n v="9.3260720348378998E-2"/>
    <x v="3"/>
    <x v="1"/>
    <s v=""/>
    <s v=""/>
    <s v=""/>
    <s v=""/>
    <s v=""/>
  </r>
  <r>
    <s v="Der_Ritter_unterm_Zuber.csv"/>
    <s v="#Brot-bekkerin"/>
    <x v="1"/>
    <s v="buergerlich:baecker"/>
    <x v="3"/>
    <x v="6"/>
    <x v="1"/>
    <x v="3"/>
    <x v="3"/>
    <n v="1.6666666666666701"/>
    <n v="0.6"/>
    <n v="0.5"/>
    <n v="0.19488398705766499"/>
    <x v="6"/>
    <x v="1"/>
    <s v=""/>
    <s v=""/>
    <s v=""/>
    <s v=""/>
    <s v=""/>
  </r>
  <r>
    <s v="Der_Ritter_unterm_Zuber.csv"/>
    <s v="#Megede-der-bekkerin"/>
    <x v="1"/>
    <s v="buergerlich:magd"/>
    <x v="3"/>
    <x v="15"/>
    <x v="1"/>
    <x v="3"/>
    <x v="3"/>
    <n v="1"/>
    <n v="0"/>
    <n v="0.35294117647058798"/>
    <n v="0.14654271480087999"/>
    <x v="12"/>
    <x v="1"/>
    <s v=""/>
    <s v=""/>
    <s v=""/>
    <s v=""/>
    <s v=""/>
  </r>
  <r>
    <s v="Der_Schlaegel.csv"/>
    <s v="#Koufman"/>
    <x v="0"/>
    <s v="buergerlich:kaufmann"/>
    <x v="2"/>
    <x v="14"/>
    <x v="0"/>
    <x v="3"/>
    <x v="1"/>
    <n v="1.5714285714285701"/>
    <n v="0.21978021978022"/>
    <n v="0.4"/>
    <n v="1"/>
    <x v="5"/>
    <x v="1"/>
    <s v=""/>
    <n v="2"/>
    <s v=""/>
    <s v=""/>
    <s v=""/>
  </r>
  <r>
    <s v="Der_Schlaegel.csv"/>
    <s v="#Zweite-tochter"/>
    <x v="1"/>
    <s v="buergerlich:ehefrau"/>
    <x v="0"/>
    <x v="4"/>
    <x v="0"/>
    <x v="3"/>
    <x v="1"/>
    <n v="1"/>
    <n v="0"/>
    <n v="0.34146341463414598"/>
    <n v="0.68258032424639303"/>
    <x v="4"/>
    <x v="1"/>
    <n v="1"/>
    <s v=""/>
    <s v=""/>
    <s v=""/>
    <s v=""/>
  </r>
  <r>
    <s v="Der_Schlaegel.csv"/>
    <s v="#Erste-tochter"/>
    <x v="1"/>
    <s v="buergerlich:ehefrau"/>
    <x v="0"/>
    <x v="4"/>
    <x v="0"/>
    <x v="3"/>
    <x v="1"/>
    <n v="1"/>
    <n v="0"/>
    <n v="0.34146341463414598"/>
    <n v="0.67361884454360299"/>
    <x v="4"/>
    <x v="1"/>
    <n v="1"/>
    <s v=""/>
    <s v=""/>
    <s v=""/>
    <s v=""/>
  </r>
  <r>
    <s v="Der_Schlaegel.csv"/>
    <s v="#Erster-sun"/>
    <x v="0"/>
    <s v="buergerlich:kaufmann"/>
    <x v="0"/>
    <x v="4"/>
    <x v="0"/>
    <x v="3"/>
    <x v="1"/>
    <n v="1.4285714285714299"/>
    <n v="0.31868131868131899"/>
    <n v="0.4"/>
    <n v="0.762272203631845"/>
    <x v="4"/>
    <x v="1"/>
    <n v="1"/>
    <s v=""/>
    <s v=""/>
    <s v=""/>
    <s v=""/>
  </r>
  <r>
    <s v="Der_Schlaegel.csv"/>
    <s v="#Zweiter-sun"/>
    <x v="0"/>
    <s v="buergerlich:kaufmann"/>
    <x v="0"/>
    <x v="4"/>
    <x v="0"/>
    <x v="3"/>
    <x v="1"/>
    <n v="1.28571428571429"/>
    <n v="0.12637362637362601"/>
    <n v="0.37837837837837801"/>
    <n v="0.74841887681967501"/>
    <x v="4"/>
    <x v="1"/>
    <n v="1"/>
    <s v=""/>
    <s v=""/>
    <s v=""/>
    <s v=""/>
  </r>
  <r>
    <s v="Der_Schlaegel.csv"/>
    <s v="#Dritter-sun"/>
    <x v="0"/>
    <s v="buergerlich:kaufmann"/>
    <x v="0"/>
    <x v="4"/>
    <x v="0"/>
    <x v="3"/>
    <x v="1"/>
    <n v="1.28571428571429"/>
    <n v="0.20329670329670299"/>
    <n v="0.38888888888888901"/>
    <n v="0.77167261148359301"/>
    <x v="4"/>
    <x v="1"/>
    <n v="1"/>
    <s v=""/>
    <s v=""/>
    <s v=""/>
    <s v=""/>
  </r>
  <r>
    <s v="Der_Schlaegel.csv"/>
    <s v="#Wip-des-koufmans"/>
    <x v="1"/>
    <s v="buergerlich:ehefrau"/>
    <x v="5"/>
    <x v="1"/>
    <x v="1"/>
    <x v="3"/>
    <x v="1"/>
    <n v="0.85714285714285698"/>
    <n v="0.63736263736263699"/>
    <n v="0.48275862068965503"/>
    <n v="5.00985771977304E-2"/>
    <x v="1"/>
    <x v="1"/>
    <s v=""/>
    <s v=""/>
    <s v=""/>
    <s v=""/>
    <s v=""/>
  </r>
  <r>
    <s v="Der_Schlaegel.csv"/>
    <s v="#Wip-des-zweiten"/>
    <x v="1"/>
    <s v="buergerlich:ehefrau"/>
    <x v="3"/>
    <x v="1"/>
    <x v="1"/>
    <x v="3"/>
    <x v="1"/>
    <n v="0.28571428571428598"/>
    <n v="0"/>
    <n v="0.29787234042553201"/>
    <n v="2.96841671453658E-2"/>
    <x v="1"/>
    <x v="1"/>
    <s v=""/>
    <s v=""/>
    <s v=""/>
    <s v=""/>
    <s v=""/>
  </r>
  <r>
    <s v="Der_Schlaegel.csv"/>
    <s v="#Wip-des-ersten"/>
    <x v="1"/>
    <s v="buergerlich:ehefrau"/>
    <x v="3"/>
    <x v="1"/>
    <x v="1"/>
    <x v="3"/>
    <x v="1"/>
    <n v="0.28571428571428598"/>
    <n v="0"/>
    <n v="0.20895522388059701"/>
    <n v="5.71000109438616E-2"/>
    <x v="1"/>
    <x v="1"/>
    <s v=""/>
    <s v=""/>
    <s v=""/>
    <s v=""/>
    <s v=""/>
  </r>
  <r>
    <s v="Der_Schlaegel.csv"/>
    <s v="#Wip-des-dritten"/>
    <x v="1"/>
    <s v="buergerlich:ehefrau"/>
    <x v="3"/>
    <x v="1"/>
    <x v="1"/>
    <x v="3"/>
    <x v="1"/>
    <n v="0.28571428571428598"/>
    <n v="0"/>
    <n v="0.20588235294117599"/>
    <n v="5.7404596915373501E-2"/>
    <x v="1"/>
    <x v="1"/>
    <s v=""/>
    <s v=""/>
    <s v=""/>
    <s v=""/>
    <s v=""/>
  </r>
  <r>
    <s v="Der_Schlaegel.csv"/>
    <s v="#Burgaer"/>
    <x v="0"/>
    <s v="buergerlich:kaufmann"/>
    <x v="3"/>
    <x v="6"/>
    <x v="1"/>
    <x v="3"/>
    <x v="1"/>
    <n v="0.85714285714285698"/>
    <n v="0"/>
    <n v="0.18181818181818199"/>
    <n v="0.33127928152897801"/>
    <x v="6"/>
    <x v="1"/>
    <s v=""/>
    <s v=""/>
    <s v=""/>
    <s v=""/>
    <s v=""/>
  </r>
  <r>
    <s v="Der_Schlaegel.csv"/>
    <s v="#Torwertel"/>
    <x v="0"/>
    <s v="buergerlich:torwaechter"/>
    <x v="3"/>
    <x v="3"/>
    <x v="1"/>
    <x v="3"/>
    <x v="1"/>
    <n v="0.14285714285714299"/>
    <n v="0"/>
    <n v="0.29166666666666702"/>
    <n v="8.2328846209414903E-3"/>
    <x v="3"/>
    <x v="1"/>
    <s v=""/>
    <s v=""/>
    <s v=""/>
    <s v=""/>
    <s v=""/>
  </r>
  <r>
    <s v="Der_Schlaegel.csv"/>
    <s v="#Kneht-des-ersten"/>
    <x v="0"/>
    <s v="buergerlich:knecht"/>
    <x v="3"/>
    <x v="3"/>
    <x v="1"/>
    <x v="3"/>
    <x v="1"/>
    <n v="0.14285714285714299"/>
    <n v="0"/>
    <n v="0.29166666666666702"/>
    <n v="8.2328846209414903E-3"/>
    <x v="3"/>
    <x v="1"/>
    <s v=""/>
    <s v=""/>
    <s v=""/>
    <s v=""/>
    <s v=""/>
  </r>
  <r>
    <s v="Der_Schlaegel.csv"/>
    <s v="#Knecht-des-zweiten"/>
    <x v="0"/>
    <s v="buergerlich:knecht"/>
    <x v="3"/>
    <x v="3"/>
    <x v="1"/>
    <x v="3"/>
    <x v="1"/>
    <n v="0.28571428571428598"/>
    <n v="0"/>
    <n v="0.30434782608695699"/>
    <n v="2.69669772096944E-2"/>
    <x v="3"/>
    <x v="1"/>
    <s v=""/>
    <s v=""/>
    <s v=""/>
    <s v=""/>
    <s v=""/>
  </r>
  <r>
    <s v="Der_Schlaegel.csv"/>
    <s v="#Magd-des-dritten"/>
    <x v="1"/>
    <s v="buergerlich:magd"/>
    <x v="3"/>
    <x v="3"/>
    <x v="1"/>
    <x v="3"/>
    <x v="1"/>
    <n v="0.14285714285714299"/>
    <n v="0"/>
    <n v="0.28571428571428598"/>
    <n v="8.3344132781121207E-3"/>
    <x v="3"/>
    <x v="1"/>
    <s v=""/>
    <s v=""/>
    <s v=""/>
    <s v=""/>
    <s v=""/>
  </r>
  <r>
    <s v="Der_Schueler_zu_Paris.csv"/>
    <s v="#Burgaere"/>
    <x v="0"/>
    <s v="buergerlich:buerger"/>
    <x v="2"/>
    <x v="3"/>
    <x v="1"/>
    <x v="3"/>
    <x v="2"/>
    <n v="0.22222222222222199"/>
    <n v="0"/>
    <n v="0.26470588235294101"/>
    <n v="1.8317626889649701E-2"/>
    <x v="3"/>
    <x v="2"/>
    <s v=""/>
    <s v=""/>
    <s v=""/>
    <s v=""/>
    <s v=""/>
  </r>
  <r>
    <s v="Der_Schueler_zu_Paris.csv"/>
    <s v="#Junc-vrouwe"/>
    <x v="1"/>
    <s v="buergerlich:unbekannt"/>
    <x v="0"/>
    <x v="12"/>
    <x v="0"/>
    <x v="3"/>
    <x v="2"/>
    <n v="1.7777777777777799"/>
    <n v="0.22222222222222199"/>
    <n v="0.34615384615384598"/>
    <n v="1"/>
    <x v="11"/>
    <x v="2"/>
    <s v=""/>
    <s v=""/>
    <s v=""/>
    <n v="4"/>
    <s v=""/>
  </r>
  <r>
    <s v="Der_Schueler_zu_Paris.csv"/>
    <s v="#Schuoler"/>
    <x v="0"/>
    <s v="buergerlich:schueler"/>
    <x v="0"/>
    <x v="10"/>
    <x v="0"/>
    <x v="3"/>
    <x v="2"/>
    <n v="1.55555555555556"/>
    <n v="0.194444444444444"/>
    <n v="0.375"/>
    <n v="0.97695490369002602"/>
    <x v="9"/>
    <x v="2"/>
    <s v=""/>
    <s v=""/>
    <n v="3"/>
    <s v=""/>
    <s v=""/>
  </r>
  <r>
    <s v="Der_Schueler_zu_Paris.csv"/>
    <s v="#Vater-der-vrouwe"/>
    <x v="0"/>
    <s v="buergerlich:unbekannt"/>
    <x v="2"/>
    <x v="11"/>
    <x v="1"/>
    <x v="3"/>
    <x v="2"/>
    <n v="1.3333333333333299"/>
    <n v="0.43518518518518501"/>
    <n v="0.45"/>
    <n v="0.352728361443373"/>
    <x v="10"/>
    <x v="2"/>
    <s v=""/>
    <s v=""/>
    <s v=""/>
    <s v=""/>
    <n v="5"/>
  </r>
  <r>
    <s v="Der_Schueler_zu_Paris.csv"/>
    <s v="#Megede-dri"/>
    <x v="2"/>
    <s v="buergerlich:magd"/>
    <x v="3"/>
    <x v="3"/>
    <x v="1"/>
    <x v="3"/>
    <x v="2"/>
    <n v="0.88888888888888895"/>
    <n v="0.17592592592592601"/>
    <n v="0.45"/>
    <n v="0.117864473744484"/>
    <x v="3"/>
    <x v="2"/>
    <s v=""/>
    <s v=""/>
    <s v=""/>
    <s v=""/>
    <s v=""/>
  </r>
  <r>
    <s v="Der_Schueler_zu_Paris.csv"/>
    <s v="#Kellaerin"/>
    <x v="1"/>
    <s v="buergerlich:magd"/>
    <x v="3"/>
    <x v="6"/>
    <x v="1"/>
    <x v="3"/>
    <x v="2"/>
    <n v="1.1111111111111101"/>
    <n v="0.22222222222222199"/>
    <n v="0.375"/>
    <n v="0.127845645839436"/>
    <x v="6"/>
    <x v="2"/>
    <s v=""/>
    <s v=""/>
    <s v=""/>
    <s v=""/>
    <s v=""/>
  </r>
  <r>
    <s v="Der_Schueler_zu_Paris.csv"/>
    <s v="#Barvuoz"/>
    <x v="0"/>
    <s v="klerus:priester"/>
    <x v="3"/>
    <x v="6"/>
    <x v="1"/>
    <x v="4"/>
    <x v="2"/>
    <n v="0.66666666666666696"/>
    <n v="0"/>
    <n v="0.28125"/>
    <n v="0.20214719872273099"/>
    <x v="6"/>
    <x v="2"/>
    <s v=""/>
    <s v=""/>
    <s v=""/>
    <s v=""/>
    <s v=""/>
  </r>
  <r>
    <s v="Der_Schueler_zu_Paris.csv"/>
    <s v="#Knecht-des-schuelers"/>
    <x v="0"/>
    <s v="buergerlich:knecht"/>
    <x v="0"/>
    <x v="3"/>
    <x v="1"/>
    <x v="3"/>
    <x v="2"/>
    <n v="0.44444444444444398"/>
    <n v="0"/>
    <n v="0.28125"/>
    <n v="9.1166002972406304E-2"/>
    <x v="3"/>
    <x v="2"/>
    <s v=""/>
    <s v=""/>
    <s v=""/>
    <s v=""/>
    <s v=""/>
  </r>
  <r>
    <s v="Der_Schueler_zu_Paris.csv"/>
    <s v="#Wirt-des-schuelers"/>
    <x v="0"/>
    <s v="buergerlich:wirt"/>
    <x v="3"/>
    <x v="3"/>
    <x v="1"/>
    <x v="3"/>
    <x v="2"/>
    <n v="0.66666666666666696"/>
    <n v="0.37962962962962998"/>
    <n v="0.45"/>
    <n v="6.0569764235582003E-2"/>
    <x v="3"/>
    <x v="2"/>
    <s v=""/>
    <s v=""/>
    <s v=""/>
    <s v=""/>
    <s v=""/>
  </r>
  <r>
    <s v="Der_Schueler_zu_Paris.csv"/>
    <s v="#Vriund-des-vaters"/>
    <x v="2"/>
    <s v="unbekannt"/>
    <x v="3"/>
    <x v="3"/>
    <x v="1"/>
    <x v="2"/>
    <x v="2"/>
    <n v="0.22222222222222199"/>
    <n v="0"/>
    <n v="0.32142857142857101"/>
    <n v="6.4611465183172E-3"/>
    <x v="3"/>
    <x v="2"/>
    <s v=""/>
    <s v=""/>
    <s v=""/>
    <s v=""/>
    <s v=""/>
  </r>
  <r>
    <s v="Der_schwangere_Moench.csv"/>
    <s v="#Muench"/>
    <x v="0"/>
    <s v="klerus:moench"/>
    <x v="0"/>
    <x v="14"/>
    <x v="0"/>
    <x v="4"/>
    <x v="1"/>
    <n v="2"/>
    <n v="0.125"/>
    <n v="0.38095238095238099"/>
    <n v="1"/>
    <x v="5"/>
    <x v="1"/>
    <s v=""/>
    <n v="2"/>
    <s v=""/>
    <s v=""/>
    <s v=""/>
  </r>
  <r>
    <s v="Der_schwangere_Moench.csv"/>
    <s v="#Apt"/>
    <x v="0"/>
    <s v="klerus:abt"/>
    <x v="3"/>
    <x v="3"/>
    <x v="1"/>
    <x v="4"/>
    <x v="1"/>
    <n v="1.75"/>
    <n v="0.33928571428571402"/>
    <n v="0.44444444444444398"/>
    <n v="0.51638670399931397"/>
    <x v="3"/>
    <x v="1"/>
    <s v=""/>
    <s v=""/>
    <s v=""/>
    <s v=""/>
    <s v=""/>
  </r>
  <r>
    <s v="Der_schwangere_Moench.csv"/>
    <s v="#Kneht[e-]"/>
    <x v="0"/>
    <s v="unbekannt:knecht"/>
    <x v="3"/>
    <x v="6"/>
    <x v="1"/>
    <x v="2"/>
    <x v="1"/>
    <n v="1"/>
    <n v="0"/>
    <n v="0.34782608695652201"/>
    <n v="0.61883230205109196"/>
    <x v="6"/>
    <x v="1"/>
    <s v=""/>
    <s v=""/>
    <s v=""/>
    <s v=""/>
    <s v=""/>
  </r>
  <r>
    <s v="Der_schwangere_Moench.csv"/>
    <s v="#Vrouwe"/>
    <x v="1"/>
    <s v="unbekannt"/>
    <x v="3"/>
    <x v="4"/>
    <x v="1"/>
    <x v="2"/>
    <x v="1"/>
    <n v="1.25"/>
    <n v="0.26785714285714302"/>
    <n v="0.47058823529411797"/>
    <n v="0.68992518323229102"/>
    <x v="4"/>
    <x v="1"/>
    <n v="1"/>
    <s v=""/>
    <s v=""/>
    <s v=""/>
    <s v=""/>
  </r>
  <r>
    <s v="Der_schwangere_Moench.csv"/>
    <s v="#Man-der-vrouwe"/>
    <x v="0"/>
    <s v="unbekannt"/>
    <x v="3"/>
    <x v="0"/>
    <x v="1"/>
    <x v="2"/>
    <x v="1"/>
    <n v="0.75"/>
    <n v="0.30357142857142899"/>
    <n v="0.44444444444444398"/>
    <n v="6.88296229739426E-2"/>
    <x v="0"/>
    <x v="1"/>
    <s v=""/>
    <s v=""/>
    <s v=""/>
    <s v=""/>
    <s v=""/>
  </r>
  <r>
    <s v="Der_schwangere_Moench.csv"/>
    <s v="#Muenche"/>
    <x v="2"/>
    <s v="klerus:moench"/>
    <x v="3"/>
    <x v="3"/>
    <x v="1"/>
    <x v="4"/>
    <x v="1"/>
    <n v="1"/>
    <n v="0.107142857142857"/>
    <n v="0.4"/>
    <n v="0.327618125355643"/>
    <x v="3"/>
    <x v="1"/>
    <s v=""/>
    <s v=""/>
    <s v=""/>
    <s v=""/>
    <s v=""/>
  </r>
  <r>
    <s v="Der_schwangere_Moench.csv"/>
    <s v="#Hof-man"/>
    <x v="0"/>
    <s v="bauer"/>
    <x v="3"/>
    <x v="3"/>
    <x v="1"/>
    <x v="5"/>
    <x v="1"/>
    <n v="0.5"/>
    <n v="8.9285714285714302E-2"/>
    <n v="0.36363636363636398"/>
    <n v="6.0601872719788299E-2"/>
    <x v="3"/>
    <x v="1"/>
    <s v=""/>
    <s v=""/>
    <s v=""/>
    <s v=""/>
    <s v=""/>
  </r>
  <r>
    <s v="Der_schwangere_Moench.csv"/>
    <s v="#Witwen-sun"/>
    <x v="0"/>
    <s v="unbekannt"/>
    <x v="3"/>
    <x v="3"/>
    <x v="1"/>
    <x v="2"/>
    <x v="1"/>
    <n v="0.5"/>
    <n v="0"/>
    <n v="0.25"/>
    <n v="0.20966391889111699"/>
    <x v="3"/>
    <x v="1"/>
    <s v=""/>
    <s v=""/>
    <s v=""/>
    <s v=""/>
    <s v=""/>
  </r>
  <r>
    <s v="Der_schwangere_Moench.csv"/>
    <s v="#Alter-muench"/>
    <x v="0"/>
    <s v="klerus:moench"/>
    <x v="2"/>
    <x v="15"/>
    <x v="1"/>
    <x v="4"/>
    <x v="1"/>
    <n v="0.75"/>
    <n v="8.9285714285714302E-2"/>
    <n v="0.38095238095238099"/>
    <n v="0.23384868200828701"/>
    <x v="12"/>
    <x v="1"/>
    <s v=""/>
    <s v=""/>
    <s v=""/>
    <s v=""/>
    <s v=""/>
  </r>
  <r>
    <s v="Der_Sperber.csv"/>
    <s v="#Nonnen"/>
    <x v="2"/>
    <s v="klerus:nonne"/>
    <x v="3"/>
    <x v="3"/>
    <x v="1"/>
    <x v="4"/>
    <x v="2"/>
    <n v="2"/>
    <n v="0.66666666666666696"/>
    <n v="0.75"/>
    <n v="0.20164722966590601"/>
    <x v="3"/>
    <x v="1"/>
    <s v=""/>
    <s v=""/>
    <s v=""/>
    <s v=""/>
    <s v=""/>
  </r>
  <r>
    <s v="Der_Sperber.csv"/>
    <s v="#Schuole-meisterin"/>
    <x v="1"/>
    <s v="klerus:nonne"/>
    <x v="3"/>
    <x v="6"/>
    <x v="1"/>
    <x v="4"/>
    <x v="2"/>
    <n v="2"/>
    <n v="0"/>
    <n v="0.6"/>
    <n v="0.37344680002823999"/>
    <x v="6"/>
    <x v="1"/>
    <s v=""/>
    <s v=""/>
    <s v=""/>
    <s v=""/>
    <s v=""/>
  </r>
  <r>
    <s v="Der_Sperber.csv"/>
    <s v="#Junk-vrouwe"/>
    <x v="1"/>
    <s v="klerus:nonne"/>
    <x v="0"/>
    <x v="14"/>
    <x v="0"/>
    <x v="4"/>
    <x v="2"/>
    <n v="2"/>
    <n v="0"/>
    <n v="0.375"/>
    <n v="1"/>
    <x v="5"/>
    <x v="1"/>
    <s v=""/>
    <n v="2"/>
    <s v=""/>
    <s v=""/>
    <s v=""/>
  </r>
  <r>
    <s v="Der_Sperber.csv"/>
    <s v="#Ritter"/>
    <x v="0"/>
    <s v="adel:ritter"/>
    <x v="3"/>
    <x v="4"/>
    <x v="1"/>
    <x v="1"/>
    <x v="2"/>
    <n v="2"/>
    <n v="0"/>
    <n v="0.6"/>
    <n v="0.946112034569356"/>
    <x v="4"/>
    <x v="1"/>
    <n v="1"/>
    <s v=""/>
    <s v=""/>
    <s v=""/>
    <s v=""/>
  </r>
  <r>
    <s v="Der_unbelehrbare_Zecher.csv"/>
    <s v="#Wines-slunt"/>
    <x v="0"/>
    <s v="unbekannt"/>
    <x v="3"/>
    <x v="3"/>
    <x v="0"/>
    <x v="2"/>
    <x v="1"/>
    <n v="0"/>
    <n v="0"/>
    <n v="0"/>
    <n v="0"/>
    <x v="3"/>
    <x v="1"/>
    <s v=""/>
    <s v=""/>
    <s v=""/>
    <s v=""/>
    <s v=""/>
  </r>
  <r>
    <s v="Der_unbelehrbare_Zecher.csv"/>
    <s v="#Freunt"/>
    <x v="0"/>
    <s v="unbekannt"/>
    <x v="3"/>
    <x v="11"/>
    <x v="0"/>
    <x v="2"/>
    <x v="1"/>
    <n v="0"/>
    <n v="0"/>
    <n v="0"/>
    <n v="0"/>
    <x v="10"/>
    <x v="1"/>
    <s v=""/>
    <s v=""/>
    <s v=""/>
    <s v=""/>
    <n v="5"/>
  </r>
  <r>
    <s v="Der_verkehrte_Wirt.csv"/>
    <s v="#Ritter"/>
    <x v="0"/>
    <s v="adel:ritter"/>
    <x v="2"/>
    <x v="7"/>
    <x v="0"/>
    <x v="1"/>
    <x v="3"/>
    <n v="1.5"/>
    <n v="0"/>
    <n v="0.16"/>
    <n v="1"/>
    <x v="5"/>
    <x v="1"/>
    <s v=""/>
    <n v="2"/>
    <s v=""/>
    <s v=""/>
    <s v=""/>
  </r>
  <r>
    <s v="Der_verkehrte_Wirt.csv"/>
    <s v="#Wip"/>
    <x v="1"/>
    <s v="adel:edelfrau"/>
    <x v="3"/>
    <x v="13"/>
    <x v="0"/>
    <x v="1"/>
    <x v="3"/>
    <n v="2"/>
    <n v="0.33333333333333298"/>
    <n v="0.25"/>
    <n v="0.99954369641468699"/>
    <x v="4"/>
    <x v="1"/>
    <n v="1"/>
    <s v=""/>
    <s v=""/>
    <s v=""/>
    <s v=""/>
  </r>
  <r>
    <s v="Der_verkehrte_Wirt.csv"/>
    <s v="#Buoler"/>
    <x v="0"/>
    <s v="adel:ritter"/>
    <x v="3"/>
    <x v="4"/>
    <x v="1"/>
    <x v="1"/>
    <x v="3"/>
    <n v="1.5"/>
    <n v="0.33333333333333298"/>
    <n v="0.25"/>
    <n v="0.44449245889201999"/>
    <x v="4"/>
    <x v="1"/>
    <n v="1"/>
    <s v=""/>
    <s v=""/>
    <s v=""/>
    <s v=""/>
  </r>
  <r>
    <s v="Der_verkehrte_Wirt.csv"/>
    <s v="#Bote"/>
    <x v="0"/>
    <s v="unbekannt"/>
    <x v="3"/>
    <x v="15"/>
    <x v="1"/>
    <x v="2"/>
    <x v="3"/>
    <n v="1"/>
    <n v="0.5"/>
    <n v="0.266666666666667"/>
    <n v="5.8059205976879698E-2"/>
    <x v="12"/>
    <x v="1"/>
    <s v=""/>
    <s v=""/>
    <s v=""/>
    <s v=""/>
    <s v=""/>
  </r>
  <r>
    <s v="Der_verkehrte_Wirt.csv"/>
    <s v="#Gevaterin"/>
    <x v="1"/>
    <s v="unbekannt"/>
    <x v="3"/>
    <x v="6"/>
    <x v="1"/>
    <x v="2"/>
    <x v="3"/>
    <n v="1"/>
    <n v="0"/>
    <n v="0.14285714285714299"/>
    <n v="0.52257051818489497"/>
    <x v="6"/>
    <x v="1"/>
    <s v=""/>
    <s v=""/>
    <s v=""/>
    <s v=""/>
    <s v=""/>
  </r>
  <r>
    <s v="Der_wahrsagende_Baum.csv"/>
    <s v="#Man"/>
    <x v="0"/>
    <s v="unbekannt"/>
    <x v="3"/>
    <x v="0"/>
    <x v="0"/>
    <x v="2"/>
    <x v="3"/>
    <n v="0"/>
    <n v="0"/>
    <n v="0"/>
    <n v="0"/>
    <x v="0"/>
    <x v="1"/>
    <s v=""/>
    <s v=""/>
    <s v=""/>
    <s v=""/>
    <s v=""/>
  </r>
  <r>
    <s v="Der_wahrsagende_Baum.csv"/>
    <s v="#Wip"/>
    <x v="1"/>
    <s v="unbekannt"/>
    <x v="3"/>
    <x v="1"/>
    <x v="0"/>
    <x v="2"/>
    <x v="3"/>
    <n v="0"/>
    <n v="0"/>
    <n v="0"/>
    <n v="0"/>
    <x v="1"/>
    <x v="1"/>
    <s v=""/>
    <s v=""/>
    <s v=""/>
    <s v=""/>
    <s v=""/>
  </r>
  <r>
    <s v="Der_weiße_Rosendorn.csv"/>
    <s v="#Junk-vrouw"/>
    <x v="1"/>
    <s v="unbekannt"/>
    <x v="3"/>
    <x v="11"/>
    <x v="0"/>
    <x v="2"/>
    <x v="1"/>
    <n v="0"/>
    <n v="0"/>
    <n v="0"/>
    <n v="0"/>
    <x v="10"/>
    <x v="3"/>
    <s v=""/>
    <s v=""/>
    <s v=""/>
    <s v=""/>
    <n v="5"/>
  </r>
  <r>
    <s v="Der_weiße_Rosendorn.csv"/>
    <s v="#Vut"/>
    <x v="4"/>
    <s v="NA"/>
    <x v="4"/>
    <x v="11"/>
    <x v="0"/>
    <x v="0"/>
    <x v="1"/>
    <n v="0"/>
    <n v="0"/>
    <n v="0"/>
    <n v="0"/>
    <x v="10"/>
    <x v="3"/>
    <s v=""/>
    <s v=""/>
    <s v=""/>
    <s v=""/>
    <n v="5"/>
  </r>
  <r>
    <s v="Der_weiße_Rosendorn.csv"/>
    <s v="#Schuoler"/>
    <x v="0"/>
    <s v="buergerlich:schueler"/>
    <x v="3"/>
    <x v="3"/>
    <x v="1"/>
    <x v="3"/>
    <x v="1"/>
    <n v="0"/>
    <n v="0"/>
    <n v="0"/>
    <n v="0"/>
    <x v="3"/>
    <x v="3"/>
    <s v=""/>
    <s v=""/>
    <s v=""/>
    <s v=""/>
    <s v=""/>
  </r>
  <r>
    <s v="Der_Welt_Lohn.csv"/>
    <s v="#Her-Wirent-da-von-Gravenberk"/>
    <x v="0"/>
    <s v="adel:ritter"/>
    <x v="3"/>
    <x v="3"/>
    <x v="0"/>
    <x v="1"/>
    <x v="1"/>
    <n v="0"/>
    <n v="0"/>
    <n v="0"/>
    <n v="0"/>
    <x v="3"/>
    <x v="0"/>
    <s v=""/>
    <s v=""/>
    <s v=""/>
    <s v=""/>
    <s v=""/>
  </r>
  <r>
    <s v="Der_Welt_Lohn.csv"/>
    <s v="#Werlt"/>
    <x v="1"/>
    <s v="NA"/>
    <x v="4"/>
    <x v="3"/>
    <x v="0"/>
    <x v="0"/>
    <x v="1"/>
    <n v="0"/>
    <n v="0"/>
    <n v="0"/>
    <n v="0"/>
    <x v="3"/>
    <x v="0"/>
    <s v=""/>
    <s v=""/>
    <s v=""/>
    <s v=""/>
    <s v=""/>
  </r>
  <r>
    <s v="Der_Weltheilige.csv"/>
    <s v="#Luoderaere"/>
    <x v="0"/>
    <s v="unbekannt"/>
    <x v="3"/>
    <x v="4"/>
    <x v="0"/>
    <x v="2"/>
    <x v="1"/>
    <n v="2"/>
    <n v="0.7"/>
    <n v="0.45454545454545497"/>
    <n v="1"/>
    <x v="4"/>
    <x v="1"/>
    <n v="1"/>
    <s v=""/>
    <s v=""/>
    <s v=""/>
    <s v=""/>
  </r>
  <r>
    <s v="Der_Weltheilige.csv"/>
    <s v="#Vriunden"/>
    <x v="2"/>
    <s v="unbekannt"/>
    <x v="3"/>
    <x v="3"/>
    <x v="1"/>
    <x v="2"/>
    <x v="1"/>
    <n v="0.8"/>
    <n v="0"/>
    <n v="0.217391304347826"/>
    <n v="0.67150236807641095"/>
    <x v="3"/>
    <x v="1"/>
    <s v=""/>
    <s v=""/>
    <s v=""/>
    <s v=""/>
    <s v=""/>
  </r>
  <r>
    <s v="Der_Weltheilige.csv"/>
    <s v="#Pfaffe"/>
    <x v="0"/>
    <s v="klerus:pfarrer"/>
    <x v="3"/>
    <x v="3"/>
    <x v="1"/>
    <x v="4"/>
    <x v="1"/>
    <n v="0.8"/>
    <n v="0.4"/>
    <n v="0.33333333333333298"/>
    <n v="0.29570716340551501"/>
    <x v="3"/>
    <x v="1"/>
    <s v=""/>
    <s v=""/>
    <s v=""/>
    <s v=""/>
    <s v=""/>
  </r>
  <r>
    <s v="Der_Weltheilige.csv"/>
    <s v="#Wip-1"/>
    <x v="1"/>
    <s v="unbekannt"/>
    <x v="3"/>
    <x v="6"/>
    <x v="1"/>
    <x v="2"/>
    <x v="1"/>
    <n v="1.2"/>
    <n v="0"/>
    <n v="0.3125"/>
    <n v="0.73116852160074197"/>
    <x v="6"/>
    <x v="1"/>
    <s v=""/>
    <s v=""/>
    <s v=""/>
    <s v=""/>
    <s v=""/>
  </r>
  <r>
    <s v="Der_Weltheilige.csv"/>
    <s v="#Knecht-von-wip-1"/>
    <x v="0"/>
    <s v="unbekannt:knecht"/>
    <x v="3"/>
    <x v="20"/>
    <x v="1"/>
    <x v="2"/>
    <x v="1"/>
    <n v="0.8"/>
    <n v="0.3"/>
    <n v="0.38461538461538503"/>
    <n v="0.15313138128802001"/>
    <x v="14"/>
    <x v="1"/>
    <s v=""/>
    <s v=""/>
    <s v=""/>
    <s v=""/>
    <s v=""/>
  </r>
  <r>
    <s v="Der_Weltheilige.csv"/>
    <s v="#Wip-2"/>
    <x v="1"/>
    <s v="unbekannt"/>
    <x v="3"/>
    <x v="3"/>
    <x v="1"/>
    <x v="2"/>
    <x v="1"/>
    <n v="0.8"/>
    <n v="0"/>
    <n v="0.27777777777777801"/>
    <n v="0.37093864148094902"/>
    <x v="3"/>
    <x v="1"/>
    <s v=""/>
    <s v=""/>
    <s v=""/>
    <s v=""/>
    <s v=""/>
  </r>
  <r>
    <s v="Der_Wiener_Meerfahrt.csv"/>
    <s v="#Burgaere"/>
    <x v="2"/>
    <s v="buergerlich:unbekannt"/>
    <x v="3"/>
    <x v="4"/>
    <x v="0"/>
    <x v="3"/>
    <x v="1"/>
    <n v="1.6923076923076901"/>
    <n v="0.354700854700855"/>
    <n v="0.29545454545454503"/>
    <n v="1"/>
    <x v="4"/>
    <x v="1"/>
    <n v="1"/>
    <s v=""/>
    <s v=""/>
    <s v=""/>
    <s v=""/>
  </r>
  <r>
    <s v="Der_Wiener_Meerfahrt.csv"/>
    <s v="#Wirt"/>
    <x v="0"/>
    <s v="buergerlich:wirt"/>
    <x v="3"/>
    <x v="3"/>
    <x v="1"/>
    <x v="3"/>
    <x v="1"/>
    <n v="0.46153846153846201"/>
    <n v="0"/>
    <n v="0.22807017543859601"/>
    <n v="0.171088408347843"/>
    <x v="3"/>
    <x v="1"/>
    <s v=""/>
    <s v=""/>
    <s v=""/>
    <s v=""/>
    <s v=""/>
  </r>
  <r>
    <s v="Der_Wiener_Meerfahrt.csv"/>
    <s v="#Einer"/>
    <x v="0"/>
    <s v="buergerlich:unbekannt"/>
    <x v="3"/>
    <x v="3"/>
    <x v="1"/>
    <x v="3"/>
    <x v="1"/>
    <n v="0.76923076923076905"/>
    <n v="2.6068376068376101E-2"/>
    <n v="0.245283018867925"/>
    <n v="0.53880985936399495"/>
    <x v="3"/>
    <x v="1"/>
    <s v=""/>
    <s v=""/>
    <s v=""/>
    <s v=""/>
    <s v=""/>
  </r>
  <r>
    <s v="Der_Wiener_Meerfahrt.csv"/>
    <s v="#Ein-ander"/>
    <x v="0"/>
    <s v="buergerlich:unbekannt"/>
    <x v="3"/>
    <x v="3"/>
    <x v="1"/>
    <x v="3"/>
    <x v="1"/>
    <n v="0.92307692307692302"/>
    <n v="4.6153846153846101E-2"/>
    <n v="0.25490196078431399"/>
    <n v="0.442325029869159"/>
    <x v="3"/>
    <x v="1"/>
    <s v=""/>
    <s v=""/>
    <s v=""/>
    <s v=""/>
    <s v=""/>
  </r>
  <r>
    <s v="Der_Wiener_Meerfahrt.csv"/>
    <s v="#Schribaere"/>
    <x v="0"/>
    <s v="buergerlich:schreiber"/>
    <x v="3"/>
    <x v="3"/>
    <x v="1"/>
    <x v="3"/>
    <x v="1"/>
    <n v="0.76923076923076905"/>
    <n v="6.7307692307692304E-2"/>
    <n v="0.26"/>
    <n v="0.33076300976294698"/>
    <x v="3"/>
    <x v="1"/>
    <s v=""/>
    <s v=""/>
    <s v=""/>
    <s v=""/>
    <s v=""/>
  </r>
  <r>
    <s v="Der_Wiener_Meerfahrt.csv"/>
    <s v="#Ein-burger"/>
    <x v="0"/>
    <s v="buergerlich:unbekannt"/>
    <x v="3"/>
    <x v="3"/>
    <x v="1"/>
    <x v="3"/>
    <x v="1"/>
    <n v="0.30769230769230799"/>
    <n v="4.48717948717949E-2"/>
    <n v="0.25490196078431399"/>
    <n v="9.2309779935597094E-2"/>
    <x v="3"/>
    <x v="1"/>
    <s v=""/>
    <s v=""/>
    <s v=""/>
    <s v=""/>
    <s v=""/>
  </r>
  <r>
    <s v="Der_Wiener_Meerfahrt.csv"/>
    <s v="#Einer-2"/>
    <x v="0"/>
    <s v="buergerlich:unbekannt"/>
    <x v="3"/>
    <x v="3"/>
    <x v="1"/>
    <x v="3"/>
    <x v="1"/>
    <n v="0.15384615384615399"/>
    <n v="0"/>
    <n v="7.69230769230769E-2"/>
    <n v="4.0528826699823401E-17"/>
    <x v="3"/>
    <x v="1"/>
    <s v=""/>
    <s v=""/>
    <s v=""/>
    <s v=""/>
    <s v=""/>
  </r>
  <r>
    <s v="Der_Wiener_Meerfahrt.csv"/>
    <s v="#Dri-buerger"/>
    <x v="2"/>
    <s v="buergerlich:unbekannt"/>
    <x v="3"/>
    <x v="3"/>
    <x v="1"/>
    <x v="3"/>
    <x v="1"/>
    <n v="0.15384615384615399"/>
    <n v="0"/>
    <n v="7.69230769230769E-2"/>
    <n v="4.5273225956579E-17"/>
    <x v="3"/>
    <x v="1"/>
    <s v=""/>
    <s v=""/>
    <s v=""/>
    <s v=""/>
    <s v=""/>
  </r>
  <r>
    <s v="Der_Wiener_Meerfahrt.csv"/>
    <s v="#Richer-burger"/>
    <x v="0"/>
    <s v="buergerlich:unbekannt"/>
    <x v="3"/>
    <x v="14"/>
    <x v="0"/>
    <x v="3"/>
    <x v="1"/>
    <n v="1.07692307692308"/>
    <n v="6.41025641025641E-3"/>
    <n v="0.25"/>
    <n v="0.83713576155104497"/>
    <x v="5"/>
    <x v="1"/>
    <s v=""/>
    <n v="2"/>
    <s v=""/>
    <s v=""/>
    <s v=""/>
  </r>
  <r>
    <s v="Der_Wiener_Meerfahrt.csv"/>
    <s v="#Dritte"/>
    <x v="0"/>
    <s v="buergerlich:unbekannt"/>
    <x v="3"/>
    <x v="3"/>
    <x v="1"/>
    <x v="3"/>
    <x v="1"/>
    <n v="0.61538461538461497"/>
    <n v="4.6367521367521397E-2"/>
    <n v="0.27083333333333298"/>
    <n v="0.145465960922014"/>
    <x v="3"/>
    <x v="1"/>
    <s v=""/>
    <s v=""/>
    <s v=""/>
    <s v=""/>
    <s v=""/>
  </r>
  <r>
    <s v="Der_Wiener_Meerfahrt.csv"/>
    <s v="#Vierde"/>
    <x v="0"/>
    <s v="buergerlich:unbekannt"/>
    <x v="3"/>
    <x v="3"/>
    <x v="1"/>
    <x v="3"/>
    <x v="1"/>
    <n v="0.61538461538461497"/>
    <n v="4.6367521367521397E-2"/>
    <n v="0.27083333333333298"/>
    <n v="0.145465960922014"/>
    <x v="3"/>
    <x v="1"/>
    <s v=""/>
    <s v=""/>
    <s v=""/>
    <s v=""/>
    <s v=""/>
  </r>
  <r>
    <s v="Der_Wiener_Meerfahrt.csv"/>
    <s v="#Vijnfte"/>
    <x v="0"/>
    <s v="buergerlich:unbekannt"/>
    <x v="3"/>
    <x v="3"/>
    <x v="1"/>
    <x v="3"/>
    <x v="1"/>
    <n v="0.15384615384615399"/>
    <n v="0"/>
    <n v="0.240740740740741"/>
    <n v="5.9987775210739502E-2"/>
    <x v="3"/>
    <x v="1"/>
    <s v=""/>
    <s v=""/>
    <s v=""/>
    <s v=""/>
    <s v=""/>
  </r>
  <r>
    <s v="Der_Wiener_Meerfahrt.csv"/>
    <s v="#Nuechterne"/>
    <x v="2"/>
    <s v="buergerlich:unbekannt"/>
    <x v="3"/>
    <x v="3"/>
    <x v="1"/>
    <x v="3"/>
    <x v="1"/>
    <n v="0.61538461538461497"/>
    <n v="0.111538461538462"/>
    <n v="0.27659574468085102"/>
    <n v="0.19052854903915101"/>
    <x v="3"/>
    <x v="1"/>
    <s v=""/>
    <s v=""/>
    <s v=""/>
    <s v=""/>
    <s v=""/>
  </r>
  <r>
    <s v="Der_Wiener_Meerfahrt.csv"/>
    <s v="#Vriunde-des-richen"/>
    <x v="2"/>
    <s v="buergerlich:unbekannt"/>
    <x v="3"/>
    <x v="11"/>
    <x v="1"/>
    <x v="3"/>
    <x v="1"/>
    <n v="0.30769230769230799"/>
    <n v="0"/>
    <n v="0.245283018867925"/>
    <n v="0.16042359898033001"/>
    <x v="10"/>
    <x v="1"/>
    <s v=""/>
    <s v=""/>
    <s v=""/>
    <s v=""/>
    <n v="5"/>
  </r>
  <r>
    <s v="Des_Bruders_Felix_Verzueckung.csv"/>
    <s v="#Felix"/>
    <x v="0"/>
    <s v="klerus:moench"/>
    <x v="3"/>
    <x v="3"/>
    <x v="0"/>
    <x v="4"/>
    <x v="1"/>
    <n v="2"/>
    <n v="0"/>
    <n v="0.44444444444444398"/>
    <n v="1"/>
    <x v="3"/>
    <x v="0"/>
    <s v=""/>
    <s v=""/>
    <s v=""/>
    <s v=""/>
    <s v=""/>
  </r>
  <r>
    <s v="Des_Bruders_Felix_Verzueckung.csv"/>
    <s v="#Pfortenaere"/>
    <x v="0"/>
    <s v="klerus:pfortner"/>
    <x v="3"/>
    <x v="11"/>
    <x v="1"/>
    <x v="4"/>
    <x v="1"/>
    <n v="1"/>
    <n v="0"/>
    <n v="0.4"/>
    <n v="0.46203707670192201"/>
    <x v="10"/>
    <x v="0"/>
    <s v=""/>
    <s v=""/>
    <s v=""/>
    <s v=""/>
    <n v="5"/>
  </r>
  <r>
    <s v="Des_Bruders_Felix_Verzueckung.csv"/>
    <s v="#Apt"/>
    <x v="0"/>
    <s v="klerus:abt"/>
    <x v="3"/>
    <x v="3"/>
    <x v="1"/>
    <x v="4"/>
    <x v="1"/>
    <n v="2"/>
    <n v="0.33333333333333298"/>
    <n v="0.5"/>
    <n v="0.96406043082997095"/>
    <x v="3"/>
    <x v="0"/>
    <s v=""/>
    <s v=""/>
    <s v=""/>
    <s v=""/>
    <s v=""/>
  </r>
  <r>
    <s v="Des_Bruders_Felix_Verzueckung.csv"/>
    <s v="#Eldisten"/>
    <x v="2"/>
    <s v="klerus:moench"/>
    <x v="3"/>
    <x v="3"/>
    <x v="1"/>
    <x v="4"/>
    <x v="1"/>
    <n v="1.5"/>
    <n v="0"/>
    <n v="0.5"/>
    <n v="0.50448143521806499"/>
    <x v="3"/>
    <x v="0"/>
    <s v=""/>
    <s v=""/>
    <s v=""/>
    <s v=""/>
    <s v=""/>
  </r>
  <r>
    <s v="Des_Bruders_Felix_Verzueckung.csv"/>
    <s v="#Muench"/>
    <x v="0"/>
    <s v="klerus:moench"/>
    <x v="2"/>
    <x v="6"/>
    <x v="1"/>
    <x v="4"/>
    <x v="1"/>
    <n v="1.5"/>
    <n v="0.25"/>
    <n v="0.57142857142857095"/>
    <n v="0.400092167716463"/>
    <x v="6"/>
    <x v="0"/>
    <s v=""/>
    <s v=""/>
    <s v=""/>
    <s v=""/>
    <s v=""/>
  </r>
  <r>
    <s v="Die_alte_Mutter_und_Kaiser_Friedrich.csv"/>
    <s v="#Keiser-Vridrich"/>
    <x v="0"/>
    <s v="adel:kaiser"/>
    <x v="3"/>
    <x v="6"/>
    <x v="1"/>
    <x v="1"/>
    <x v="1"/>
    <n v="1.1111111111111101"/>
    <n v="7.6388888888888895E-2"/>
    <n v="0.33333333333333298"/>
    <n v="0.68078474513314302"/>
    <x v="6"/>
    <x v="1"/>
    <s v=""/>
    <s v=""/>
    <s v=""/>
    <s v=""/>
    <s v=""/>
  </r>
  <r>
    <s v="Die_alte_Mutter_und_Kaiser_Friedrich.csv"/>
    <s v="#Fremder-ritter"/>
    <x v="0"/>
    <s v="adel:ritter"/>
    <x v="3"/>
    <x v="14"/>
    <x v="0"/>
    <x v="1"/>
    <x v="1"/>
    <n v="1.55555555555556"/>
    <n v="5.7870370370370398E-2"/>
    <n v="0.36"/>
    <n v="0.88699304273590596"/>
    <x v="5"/>
    <x v="1"/>
    <s v=""/>
    <n v="2"/>
    <s v=""/>
    <s v=""/>
    <s v=""/>
  </r>
  <r>
    <s v="Die_alte_Mutter_und_Kaiser_Friedrich.csv"/>
    <s v="#Muoter"/>
    <x v="1"/>
    <s v="adel:edelfrau"/>
    <x v="2"/>
    <x v="14"/>
    <x v="0"/>
    <x v="1"/>
    <x v="1"/>
    <n v="1.7777777777777799"/>
    <n v="0.26388888888888901"/>
    <n v="0.39130434782608697"/>
    <n v="1"/>
    <x v="5"/>
    <x v="1"/>
    <s v=""/>
    <n v="2"/>
    <s v=""/>
    <s v=""/>
    <s v=""/>
  </r>
  <r>
    <s v="Die_alte_Mutter_und_Kaiser_Friedrich.csv"/>
    <s v="#Ein-ritter"/>
    <x v="0"/>
    <s v="adel:ritter"/>
    <x v="3"/>
    <x v="3"/>
    <x v="1"/>
    <x v="1"/>
    <x v="1"/>
    <n v="0"/>
    <n v="0"/>
    <n v="0.1"/>
    <n v="0"/>
    <x v="3"/>
    <x v="1"/>
    <s v=""/>
    <s v=""/>
    <s v=""/>
    <s v=""/>
    <s v=""/>
  </r>
  <r>
    <s v="Die_alte_Mutter_und_Kaiser_Friedrich.csv"/>
    <s v="#Liute"/>
    <x v="2"/>
    <s v="unbekannt"/>
    <x v="3"/>
    <x v="3"/>
    <x v="1"/>
    <x v="2"/>
    <x v="1"/>
    <n v="0.88888888888888895"/>
    <n v="0"/>
    <n v="0.3"/>
    <n v="0.27620196624966498"/>
    <x v="3"/>
    <x v="1"/>
    <s v=""/>
    <s v=""/>
    <s v=""/>
    <s v=""/>
    <s v=""/>
  </r>
  <r>
    <s v="Die_alte_Mutter_und_Kaiser_Friedrich.csv"/>
    <s v="#Man-der-muoter"/>
    <x v="0"/>
    <s v="adel:unbekannt"/>
    <x v="5"/>
    <x v="3"/>
    <x v="1"/>
    <x v="1"/>
    <x v="1"/>
    <n v="0.44444444444444398"/>
    <n v="3.4722222222222203E-2"/>
    <n v="0.33333333333333298"/>
    <n v="5.0943220616632798E-2"/>
    <x v="3"/>
    <x v="1"/>
    <s v=""/>
    <s v=""/>
    <s v=""/>
    <s v=""/>
    <s v=""/>
  </r>
  <r>
    <s v="Die_alte_Mutter_und_Kaiser_Friedrich.csv"/>
    <s v="#Sun"/>
    <x v="0"/>
    <s v="adel:ritter"/>
    <x v="0"/>
    <x v="4"/>
    <x v="0"/>
    <x v="1"/>
    <x v="1"/>
    <n v="1.3333333333333299"/>
    <n v="8.7962962962963007E-2"/>
    <n v="0.34615384615384598"/>
    <n v="0.59414139280215195"/>
    <x v="4"/>
    <x v="1"/>
    <n v="1"/>
    <s v=""/>
    <s v=""/>
    <s v=""/>
    <s v=""/>
  </r>
  <r>
    <s v="Die_alte_Mutter_und_Kaiser_Friedrich.csv"/>
    <s v="#Herre"/>
    <x v="0"/>
    <s v="unbekannt"/>
    <x v="3"/>
    <x v="3"/>
    <x v="1"/>
    <x v="2"/>
    <x v="1"/>
    <n v="0.66666666666666696"/>
    <n v="0.101851851851852"/>
    <n v="0.36"/>
    <n v="7.928843670947E-2"/>
    <x v="3"/>
    <x v="1"/>
    <s v=""/>
    <s v=""/>
    <s v=""/>
    <s v=""/>
    <s v=""/>
  </r>
  <r>
    <s v="Die_alte_Mutter_und_Kaiser_Friedrich.csv"/>
    <s v="#Ein-ritter-2"/>
    <x v="0"/>
    <s v="adel:ritter"/>
    <x v="3"/>
    <x v="3"/>
    <x v="1"/>
    <x v="1"/>
    <x v="1"/>
    <n v="0.66666666666666696"/>
    <n v="0.180555555555556"/>
    <n v="0.375"/>
    <n v="8.2057257237367898E-2"/>
    <x v="3"/>
    <x v="1"/>
    <s v=""/>
    <s v=""/>
    <s v=""/>
    <s v=""/>
    <s v=""/>
  </r>
  <r>
    <s v="Die_alte_Mutter_und_Kaiser_Friedrich.csv"/>
    <s v="#Schar-des-suns"/>
    <x v="2"/>
    <s v="unbekannt"/>
    <x v="3"/>
    <x v="3"/>
    <x v="1"/>
    <x v="2"/>
    <x v="1"/>
    <n v="0.44444444444444398"/>
    <n v="0"/>
    <n v="0.31034482758620702"/>
    <n v="8.8646958028771594E-2"/>
    <x v="3"/>
    <x v="1"/>
    <s v=""/>
    <s v=""/>
    <s v=""/>
    <s v=""/>
    <s v=""/>
  </r>
  <r>
    <s v="Die_Beichte.csv"/>
    <s v="#Man"/>
    <x v="0"/>
    <s v="unbekannt"/>
    <x v="3"/>
    <x v="17"/>
    <x v="0"/>
    <x v="2"/>
    <x v="3"/>
    <n v="0"/>
    <n v="0"/>
    <n v="0"/>
    <n v="0"/>
    <x v="5"/>
    <x v="1"/>
    <s v=""/>
    <n v="2"/>
    <s v=""/>
    <s v=""/>
    <s v=""/>
  </r>
  <r>
    <s v="Die_Beichte.csv"/>
    <s v="#Vrouwe"/>
    <x v="1"/>
    <s v="unbekannt"/>
    <x v="3"/>
    <x v="16"/>
    <x v="0"/>
    <x v="2"/>
    <x v="3"/>
    <n v="0"/>
    <n v="0"/>
    <n v="0"/>
    <n v="0"/>
    <x v="5"/>
    <x v="1"/>
    <s v=""/>
    <n v="2"/>
    <s v=""/>
    <s v=""/>
    <s v=""/>
  </r>
  <r>
    <s v="Die_drei_Moenche_von_Kolmar.csv"/>
    <s v="#Man"/>
    <x v="0"/>
    <s v="unbekannt"/>
    <x v="3"/>
    <x v="21"/>
    <x v="0"/>
    <x v="2"/>
    <x v="1"/>
    <n v="1.6666666666666701"/>
    <n v="0"/>
    <n v="0.12765957446808501"/>
    <n v="0.95661262941960301"/>
    <x v="4"/>
    <x v="1"/>
    <n v="1"/>
    <s v=""/>
    <s v=""/>
    <s v=""/>
    <s v=""/>
  </r>
  <r>
    <s v="Die_drei_Moenche_von_Kolmar.csv"/>
    <s v="#Vrouwe"/>
    <x v="1"/>
    <s v="unbekannt"/>
    <x v="0"/>
    <x v="13"/>
    <x v="0"/>
    <x v="2"/>
    <x v="1"/>
    <n v="1.3333333333333299"/>
    <n v="0"/>
    <n v="0.11764705882352899"/>
    <n v="1"/>
    <x v="4"/>
    <x v="1"/>
    <n v="1"/>
    <s v=""/>
    <s v=""/>
    <s v=""/>
    <s v=""/>
  </r>
  <r>
    <s v="Die_drei_Moenche_von_Kolmar.csv"/>
    <s v="#Bruoder-TetiÃ "/>
    <x v="0"/>
    <s v="klerus:moench"/>
    <x v="3"/>
    <x v="14"/>
    <x v="1"/>
    <x v="4"/>
    <x v="1"/>
    <n v="2"/>
    <n v="5.5555555555555601E-2"/>
    <n v="0.25"/>
    <n v="0.95222085104804999"/>
    <x v="5"/>
    <x v="1"/>
    <s v=""/>
    <n v="2"/>
    <s v=""/>
    <s v=""/>
    <s v=""/>
  </r>
  <r>
    <s v="Die_drei_Moenche_von_Kolmar.csv"/>
    <s v="#Muench"/>
    <x v="0"/>
    <s v="klerus:moench"/>
    <x v="3"/>
    <x v="14"/>
    <x v="1"/>
    <x v="4"/>
    <x v="1"/>
    <n v="2"/>
    <n v="0"/>
    <n v="0.230769230769231"/>
    <n v="0.87113382517415705"/>
    <x v="5"/>
    <x v="1"/>
    <s v=""/>
    <n v="2"/>
    <s v=""/>
    <s v=""/>
    <s v=""/>
  </r>
  <r>
    <s v="Die_drei_Moenche_von_Kolmar.csv"/>
    <s v="#Augustiner-muench"/>
    <x v="0"/>
    <s v="klerus:moench"/>
    <x v="3"/>
    <x v="14"/>
    <x v="1"/>
    <x v="4"/>
    <x v="1"/>
    <n v="2"/>
    <n v="0.53333333333333299"/>
    <n v="0.28571428571428598"/>
    <n v="0.67807182041540304"/>
    <x v="5"/>
    <x v="1"/>
    <s v=""/>
    <n v="2"/>
    <s v=""/>
    <s v=""/>
    <s v=""/>
  </r>
  <r>
    <s v="Die_drei_Moenche_von_Kolmar.csv"/>
    <s v="#Schuoler"/>
    <x v="0"/>
    <s v="buergerlich:schueler"/>
    <x v="3"/>
    <x v="6"/>
    <x v="1"/>
    <x v="3"/>
    <x v="1"/>
    <n v="1.6666666666666701"/>
    <n v="0"/>
    <n v="0.1875"/>
    <n v="0.37870162876688301"/>
    <x v="6"/>
    <x v="1"/>
    <s v=""/>
    <s v=""/>
    <s v=""/>
    <s v=""/>
    <s v=""/>
  </r>
  <r>
    <s v="Die_drei_Moenche_von_Kolmar.csv"/>
    <s v="#Ein-bruoder"/>
    <x v="0"/>
    <s v="klerus:moench"/>
    <x v="3"/>
    <x v="14"/>
    <x v="1"/>
    <x v="4"/>
    <x v="1"/>
    <n v="1.3333333333333299"/>
    <n v="0.51111111111111096"/>
    <n v="0.28571428571428598"/>
    <n v="9.4801868264653699E-2"/>
    <x v="5"/>
    <x v="1"/>
    <s v=""/>
    <n v="2"/>
    <s v=""/>
    <s v=""/>
    <s v=""/>
  </r>
  <r>
    <s v="Die_drei_Wuensche.csv"/>
    <s v="#Man"/>
    <x v="0"/>
    <s v="bauer"/>
    <x v="3"/>
    <x v="0"/>
    <x v="0"/>
    <x v="5"/>
    <x v="3"/>
    <n v="0"/>
    <n v="0"/>
    <n v="0"/>
    <n v="0"/>
    <x v="0"/>
    <x v="1"/>
    <s v=""/>
    <s v=""/>
    <s v=""/>
    <s v=""/>
    <s v=""/>
  </r>
  <r>
    <s v="Die_drei_Wuensche.csv"/>
    <s v="#Wibe"/>
    <x v="1"/>
    <s v="bauer"/>
    <x v="3"/>
    <x v="24"/>
    <x v="0"/>
    <x v="5"/>
    <x v="3"/>
    <n v="0"/>
    <n v="0"/>
    <n v="0"/>
    <n v="0"/>
    <x v="17"/>
    <x v="1"/>
    <s v=""/>
    <s v=""/>
    <s v=""/>
    <s v=""/>
    <s v=""/>
  </r>
  <r>
    <s v="Die_drei_Wuensche.csv"/>
    <s v="#Vriund-der-vrouwe"/>
    <x v="2"/>
    <s v="unbekannt"/>
    <x v="3"/>
    <x v="6"/>
    <x v="1"/>
    <x v="2"/>
    <x v="3"/>
    <n v="0"/>
    <n v="0"/>
    <n v="0"/>
    <n v="0"/>
    <x v="6"/>
    <x v="1"/>
    <s v=""/>
    <s v=""/>
    <s v=""/>
    <s v=""/>
    <s v=""/>
  </r>
  <r>
    <s v="Die_eingemauerte_Frau.csv"/>
    <s v="#Ritter"/>
    <x v="0"/>
    <s v="adel:ritter"/>
    <x v="3"/>
    <x v="0"/>
    <x v="0"/>
    <x v="1"/>
    <x v="3"/>
    <n v="1.71428571428571"/>
    <n v="0.119047619047619"/>
    <n v="0.5"/>
    <n v="0.92679401514459703"/>
    <x v="0"/>
    <x v="1"/>
    <s v=""/>
    <s v=""/>
    <s v=""/>
    <s v=""/>
    <s v=""/>
  </r>
  <r>
    <s v="Die_eingemauerte_Frau.csv"/>
    <s v="#Wip"/>
    <x v="1"/>
    <s v="adel:edelfrau"/>
    <x v="3"/>
    <x v="1"/>
    <x v="0"/>
    <x v="1"/>
    <x v="3"/>
    <n v="2"/>
    <n v="0.15079365079365101"/>
    <n v="0.53846153846153799"/>
    <n v="1"/>
    <x v="1"/>
    <x v="1"/>
    <s v=""/>
    <s v=""/>
    <s v=""/>
    <s v=""/>
    <s v=""/>
  </r>
  <r>
    <s v="Die_eingemauerte_Frau.csv"/>
    <s v="#Ein-Wip"/>
    <x v="1"/>
    <s v="unbekannt"/>
    <x v="3"/>
    <x v="3"/>
    <x v="1"/>
    <x v="2"/>
    <x v="3"/>
    <n v="0.57142857142857095"/>
    <n v="2.3809523809523801E-2"/>
    <n v="0.41176470588235298"/>
    <n v="0.102434267109328"/>
    <x v="3"/>
    <x v="1"/>
    <s v=""/>
    <s v=""/>
    <s v=""/>
    <s v=""/>
    <s v=""/>
  </r>
  <r>
    <s v="Die_eingemauerte_Frau.csv"/>
    <s v="#Ire-mage"/>
    <x v="2"/>
    <s v="unbekannt"/>
    <x v="3"/>
    <x v="3"/>
    <x v="1"/>
    <x v="2"/>
    <x v="3"/>
    <n v="0.85714285714285698"/>
    <n v="0"/>
    <n v="0.38888888888888901"/>
    <n v="0.26679899506945498"/>
    <x v="3"/>
    <x v="1"/>
    <s v=""/>
    <s v=""/>
    <s v=""/>
    <s v=""/>
    <s v=""/>
  </r>
  <r>
    <s v="Die_eingemauerte_Frau.csv"/>
    <s v="#Ire-vriunden"/>
    <x v="2"/>
    <s v="unbekannt"/>
    <x v="3"/>
    <x v="3"/>
    <x v="1"/>
    <x v="2"/>
    <x v="3"/>
    <n v="1.71428571428571"/>
    <n v="0.40476190476190499"/>
    <n v="0.58333333333333304"/>
    <n v="0.58245763204958501"/>
    <x v="3"/>
    <x v="1"/>
    <s v=""/>
    <s v=""/>
    <s v=""/>
    <s v=""/>
    <s v=""/>
  </r>
  <r>
    <s v="Die_eingemauerte_Frau.csv"/>
    <s v="#Ein-friunt"/>
    <x v="3"/>
    <s v="unbekannt"/>
    <x v="3"/>
    <x v="3"/>
    <x v="1"/>
    <x v="2"/>
    <x v="3"/>
    <n v="0.85714285714285698"/>
    <n v="0.317460317460317"/>
    <n v="0.58333333333333304"/>
    <n v="0.13339949753472699"/>
    <x v="3"/>
    <x v="1"/>
    <s v=""/>
    <s v=""/>
    <s v=""/>
    <s v=""/>
    <s v=""/>
  </r>
  <r>
    <s v="Die_eingemauerte_Frau.csv"/>
    <s v="#Pfaffe"/>
    <x v="0"/>
    <s v="klerus:pfarrer"/>
    <x v="3"/>
    <x v="6"/>
    <x v="1"/>
    <x v="4"/>
    <x v="3"/>
    <n v="0.85714285714285698"/>
    <n v="0"/>
    <n v="0.38888888888888901"/>
    <n v="0.44459415307636202"/>
    <x v="6"/>
    <x v="1"/>
    <s v=""/>
    <s v=""/>
    <s v=""/>
    <s v=""/>
    <s v=""/>
  </r>
  <r>
    <s v="Die_eingemauerte_Frau.csv"/>
    <s v="#Sumliche"/>
    <x v="2"/>
    <s v="unbekannt"/>
    <x v="3"/>
    <x v="3"/>
    <x v="1"/>
    <x v="2"/>
    <x v="3"/>
    <n v="0.57142857142857095"/>
    <n v="0"/>
    <n v="0.4375"/>
    <n v="0.137291351748379"/>
    <x v="3"/>
    <x v="1"/>
    <s v=""/>
    <s v=""/>
    <s v=""/>
    <s v=""/>
    <s v=""/>
  </r>
  <r>
    <s v="Die_halbe_Birn.csv"/>
    <s v="#Kuenig"/>
    <x v="0"/>
    <s v="adel:koenig"/>
    <x v="2"/>
    <x v="8"/>
    <x v="1"/>
    <x v="1"/>
    <x v="2"/>
    <n v="0.72727272727272696"/>
    <n v="0.118181818181818"/>
    <n v="0.36666666666666697"/>
    <n v="0.11230244846644601"/>
    <x v="7"/>
    <x v="1"/>
    <s v=""/>
    <s v=""/>
    <s v=""/>
    <s v=""/>
    <s v=""/>
  </r>
  <r>
    <s v="Die_halbe_Birn.csv"/>
    <s v="#Koenigin"/>
    <x v="1"/>
    <s v="adel:koenigin"/>
    <x v="2"/>
    <x v="9"/>
    <x v="1"/>
    <x v="1"/>
    <x v="2"/>
    <n v="0.36363636363636398"/>
    <n v="2.27272727272727E-2"/>
    <n v="0.35483870967741898"/>
    <n v="4.05085057459025E-2"/>
    <x v="8"/>
    <x v="1"/>
    <s v=""/>
    <s v=""/>
    <s v=""/>
    <s v=""/>
    <s v=""/>
  </r>
  <r>
    <s v="Die_halbe_Birn.csv"/>
    <s v="#Tohter-des-kuniks"/>
    <x v="1"/>
    <s v="adel:koenigstochter"/>
    <x v="0"/>
    <x v="25"/>
    <x v="0"/>
    <x v="1"/>
    <x v="2"/>
    <n v="1.8181818181818199"/>
    <n v="0.49545454545454498"/>
    <n v="0.44"/>
    <n v="0.99658329577265603"/>
    <x v="4"/>
    <x v="1"/>
    <n v="1"/>
    <s v=""/>
    <s v=""/>
    <s v=""/>
    <s v=""/>
  </r>
  <r>
    <s v="Die_halbe_Birn.csv"/>
    <s v="#Vuersten"/>
    <x v="0"/>
    <s v="adel:fuerst"/>
    <x v="3"/>
    <x v="3"/>
    <x v="1"/>
    <x v="1"/>
    <x v="2"/>
    <n v="0.36363636363636398"/>
    <n v="2.27272727272727E-2"/>
    <n v="0.35483870967741898"/>
    <n v="4.05085057459025E-2"/>
    <x v="3"/>
    <x v="1"/>
    <s v=""/>
    <s v=""/>
    <s v=""/>
    <s v=""/>
    <s v=""/>
  </r>
  <r>
    <s v="Die_halbe_Birn.csv"/>
    <s v="#Ritter-Arnolt"/>
    <x v="0"/>
    <s v="adel:ritter"/>
    <x v="3"/>
    <x v="25"/>
    <x v="0"/>
    <x v="1"/>
    <x v="2"/>
    <n v="1.4545454545454499"/>
    <n v="0.35"/>
    <n v="0.407407407407407"/>
    <n v="1"/>
    <x v="4"/>
    <x v="1"/>
    <n v="1"/>
    <s v=""/>
    <s v=""/>
    <s v=""/>
    <s v=""/>
  </r>
  <r>
    <s v="Die_halbe_Birn.csv"/>
    <s v="#Heinrich-der-kneht"/>
    <x v="0"/>
    <s v="adel:knecht"/>
    <x v="3"/>
    <x v="6"/>
    <x v="1"/>
    <x v="1"/>
    <x v="2"/>
    <n v="0.36363636363636398"/>
    <n v="0"/>
    <n v="0.2"/>
    <n v="0.29187211658206402"/>
    <x v="6"/>
    <x v="1"/>
    <s v=""/>
    <s v=""/>
    <s v=""/>
    <s v=""/>
    <s v=""/>
  </r>
  <r>
    <s v="Die_halbe_Birn.csv"/>
    <s v="#Liute"/>
    <x v="2"/>
    <s v="unbekannt"/>
    <x v="3"/>
    <x v="3"/>
    <x v="1"/>
    <x v="2"/>
    <x v="2"/>
    <n v="0.18181818181818199"/>
    <n v="0"/>
    <n v="0.23404255319148901"/>
    <n v="7.3061640401371905E-2"/>
    <x v="3"/>
    <x v="1"/>
    <s v=""/>
    <s v=""/>
    <s v=""/>
    <s v=""/>
    <s v=""/>
  </r>
  <r>
    <s v="Die_halbe_Birn.csv"/>
    <s v="#junk-vrouwen-der-tohter"/>
    <x v="2"/>
    <s v="adel:hofstaat"/>
    <x v="3"/>
    <x v="3"/>
    <x v="1"/>
    <x v="1"/>
    <x v="2"/>
    <n v="0.36363636363636398"/>
    <n v="0"/>
    <n v="0.25581395348837199"/>
    <n v="0.18240447098781401"/>
    <x v="3"/>
    <x v="1"/>
    <s v=""/>
    <s v=""/>
    <s v=""/>
    <s v=""/>
    <s v=""/>
  </r>
  <r>
    <s v="Die_halbe_Birn.csv"/>
    <s v="#Eine-vrouwe"/>
    <x v="1"/>
    <s v="adel:hofstaat"/>
    <x v="3"/>
    <x v="6"/>
    <x v="1"/>
    <x v="1"/>
    <x v="2"/>
    <n v="0.36363636363636398"/>
    <n v="9.0909090909090898E-2"/>
    <n v="0.39285714285714302"/>
    <n v="7.2936825393563803E-2"/>
    <x v="6"/>
    <x v="1"/>
    <s v=""/>
    <s v=""/>
    <s v=""/>
    <s v=""/>
    <s v=""/>
  </r>
  <r>
    <s v="Die_halbe_Birn.csv"/>
    <s v="#Eine-kamerruze"/>
    <x v="1"/>
    <s v="adel:kammerzofe"/>
    <x v="3"/>
    <x v="3"/>
    <x v="1"/>
    <x v="1"/>
    <x v="2"/>
    <n v="0.18181818181818199"/>
    <n v="0"/>
    <n v="0.314285714285714"/>
    <n v="3.6406005192877899E-2"/>
    <x v="3"/>
    <x v="1"/>
    <s v=""/>
    <s v=""/>
    <s v=""/>
    <s v=""/>
    <s v=""/>
  </r>
  <r>
    <s v="Die_halbe_Birn.csv"/>
    <s v="#Zwei-vroeuwelin"/>
    <x v="2"/>
    <s v="adel:hofstaat"/>
    <x v="3"/>
    <x v="3"/>
    <x v="1"/>
    <x v="1"/>
    <x v="2"/>
    <n v="0.36363636363636398"/>
    <n v="0"/>
    <n v="0.32352941176470601"/>
    <n v="0.10934283058644199"/>
    <x v="3"/>
    <x v="1"/>
    <s v=""/>
    <s v=""/>
    <s v=""/>
    <s v=""/>
    <s v=""/>
  </r>
  <r>
    <s v="Die_halbe_Birn.csv"/>
    <s v="#Kamer-wip-Irmegart"/>
    <x v="1"/>
    <s v="adel:kammerzofe"/>
    <x v="2"/>
    <x v="6"/>
    <x v="1"/>
    <x v="1"/>
    <x v="2"/>
    <n v="0.36363636363636398"/>
    <n v="0"/>
    <n v="0.14864864864864899"/>
    <n v="0.401090132160697"/>
    <x v="6"/>
    <x v="1"/>
    <s v=""/>
    <s v=""/>
    <s v=""/>
    <s v=""/>
    <s v=""/>
  </r>
  <r>
    <s v="Die_halbe_Decke.csv"/>
    <s v="#Burgaer"/>
    <x v="0"/>
    <s v="buergerlich:unbekannt"/>
    <x v="2"/>
    <x v="14"/>
    <x v="0"/>
    <x v="3"/>
    <x v="1"/>
    <n v="2"/>
    <n v="0.4"/>
    <n v="0.33333333333333298"/>
    <n v="1"/>
    <x v="5"/>
    <x v="1"/>
    <s v=""/>
    <n v="2"/>
    <s v=""/>
    <s v=""/>
    <s v=""/>
  </r>
  <r>
    <s v="Die_halbe_Decke.csv"/>
    <s v="#Wip-des-alten"/>
    <x v="1"/>
    <s v="buergerlich:ehefrau"/>
    <x v="5"/>
    <x v="1"/>
    <x v="1"/>
    <x v="3"/>
    <x v="1"/>
    <n v="0.4"/>
    <n v="0"/>
    <n v="0.26315789473684198"/>
    <n v="5.3215731250487702E-2"/>
    <x v="1"/>
    <x v="1"/>
    <s v=""/>
    <s v=""/>
    <s v=""/>
    <s v=""/>
    <s v=""/>
  </r>
  <r>
    <s v="Die_halbe_Decke.csv"/>
    <s v="#Sun-des-buergers"/>
    <x v="0"/>
    <s v="buergerlich:unbekannt"/>
    <x v="0"/>
    <x v="4"/>
    <x v="0"/>
    <x v="3"/>
    <x v="1"/>
    <n v="1.2"/>
    <n v="0"/>
    <n v="0.217391304347826"/>
    <n v="0.79493345639628898"/>
    <x v="4"/>
    <x v="1"/>
    <n v="1"/>
    <s v=""/>
    <s v=""/>
    <s v=""/>
    <s v=""/>
  </r>
  <r>
    <s v="Die_halbe_Decke.csv"/>
    <s v="#Kindelin"/>
    <x v="0"/>
    <s v="buergerlich:NA"/>
    <x v="1"/>
    <x v="6"/>
    <x v="0"/>
    <x v="3"/>
    <x v="1"/>
    <n v="1.6"/>
    <n v="0.2"/>
    <n v="0.29411764705882398"/>
    <n v="0.85354916609651099"/>
    <x v="6"/>
    <x v="1"/>
    <s v=""/>
    <s v=""/>
    <s v=""/>
    <s v=""/>
    <s v=""/>
  </r>
  <r>
    <s v="Die_halbe_Decke.csv"/>
    <s v="#Vrouwe-des-jungen"/>
    <x v="1"/>
    <s v="buergerlich:ehefrau"/>
    <x v="0"/>
    <x v="1"/>
    <x v="1"/>
    <x v="3"/>
    <x v="1"/>
    <n v="1.2"/>
    <n v="0.4"/>
    <n v="0.33333333333333298"/>
    <n v="0.33509761017081602"/>
    <x v="1"/>
    <x v="1"/>
    <s v=""/>
    <s v=""/>
    <s v=""/>
    <s v=""/>
    <s v=""/>
  </r>
  <r>
    <s v="Die_halbe_Decke.csv"/>
    <s v="#Kneh?"/>
    <x v="2"/>
    <s v="buergerlich:knecht"/>
    <x v="3"/>
    <x v="3"/>
    <x v="1"/>
    <x v="3"/>
    <x v="1"/>
    <n v="0.8"/>
    <n v="0.2"/>
    <n v="0.29411764705882398"/>
    <n v="0.19727594856511499"/>
    <x v="3"/>
    <x v="1"/>
    <s v=""/>
    <s v=""/>
    <s v=""/>
    <s v=""/>
    <s v=""/>
  </r>
  <r>
    <s v="Die_Heidin.csv"/>
    <s v="#Koenig-der-heiden"/>
    <x v="0"/>
    <s v="adel:koenig"/>
    <x v="3"/>
    <x v="0"/>
    <x v="0"/>
    <x v="1"/>
    <x v="3"/>
    <n v="0.91666666666666696"/>
    <n v="8.4194559466298599E-2"/>
    <n v="0.42857142857142899"/>
    <n v="0.63811100899106199"/>
    <x v="0"/>
    <x v="1"/>
    <s v=""/>
    <s v=""/>
    <s v=""/>
    <s v=""/>
    <s v=""/>
  </r>
  <r>
    <s v="Die_Heidin.csv"/>
    <s v="#Kuenegin-Demuot"/>
    <x v="1"/>
    <s v="adel:koenigin"/>
    <x v="0"/>
    <x v="1"/>
    <x v="0"/>
    <x v="1"/>
    <x v="3"/>
    <n v="1.0833333333333299"/>
    <n v="0.14272271106510201"/>
    <n v="0.46153846153846201"/>
    <n v="0.96755371858738204"/>
    <x v="1"/>
    <x v="1"/>
    <s v=""/>
    <s v=""/>
    <s v=""/>
    <s v=""/>
    <s v=""/>
  </r>
  <r>
    <s v="Die_Heidin.csv"/>
    <s v="#Grave-Alpharius"/>
    <x v="0"/>
    <s v="adel:graf"/>
    <x v="3"/>
    <x v="4"/>
    <x v="0"/>
    <x v="1"/>
    <x v="3"/>
    <n v="1.5833333333333299"/>
    <n v="0.51665947780078203"/>
    <n v="0.57142857142857095"/>
    <n v="1"/>
    <x v="4"/>
    <x v="1"/>
    <n v="1"/>
    <s v=""/>
    <s v=""/>
    <s v=""/>
    <s v=""/>
  </r>
  <r>
    <s v="Die_Heidin.csv"/>
    <s v="#Ritter-des-graven"/>
    <x v="2"/>
    <s v="adel:ritter"/>
    <x v="3"/>
    <x v="20"/>
    <x v="1"/>
    <x v="1"/>
    <x v="3"/>
    <n v="0.58333333333333304"/>
    <n v="6.9760754543363196E-2"/>
    <n v="0.34782608695652201"/>
    <n v="0.265179101006282"/>
    <x v="14"/>
    <x v="1"/>
    <s v=""/>
    <s v=""/>
    <s v=""/>
    <s v=""/>
    <s v=""/>
  </r>
  <r>
    <s v="Die_Heidin.csv"/>
    <s v="#Knehte-des-graven"/>
    <x v="2"/>
    <s v="adel:knecht"/>
    <x v="3"/>
    <x v="20"/>
    <x v="1"/>
    <x v="1"/>
    <x v="3"/>
    <n v="0.5"/>
    <n v="2.1128076834598601E-2"/>
    <n v="0.28571428571428598"/>
    <n v="0.25548775811783703"/>
    <x v="14"/>
    <x v="1"/>
    <s v=""/>
    <s v=""/>
    <s v=""/>
    <s v=""/>
    <s v=""/>
  </r>
  <r>
    <s v="Die_Heidin.csv"/>
    <s v="#Ratman"/>
    <x v="0"/>
    <s v="adel:berater"/>
    <x v="3"/>
    <x v="3"/>
    <x v="1"/>
    <x v="1"/>
    <x v="3"/>
    <n v="0.16666666666666699"/>
    <n v="8.6697722567287798E-3"/>
    <n v="0.266666666666667"/>
    <n v="6.0060240748399099E-3"/>
    <x v="3"/>
    <x v="1"/>
    <s v=""/>
    <s v=""/>
    <s v=""/>
    <s v=""/>
    <s v=""/>
  </r>
  <r>
    <s v="Die_Heidin.csv"/>
    <s v="#Hou(b)-est-dienst-man"/>
    <x v="0"/>
    <s v="adel:hauptmann"/>
    <x v="3"/>
    <x v="3"/>
    <x v="1"/>
    <x v="1"/>
    <x v="3"/>
    <n v="0.16666666666666699"/>
    <n v="7.8821601104209799E-2"/>
    <n v="0.40677966101694901"/>
    <n v="1.4594161326900701E-2"/>
    <x v="3"/>
    <x v="1"/>
    <s v=""/>
    <s v=""/>
    <s v=""/>
    <s v=""/>
    <s v=""/>
  </r>
  <r>
    <s v="Die_Heidin.csv"/>
    <s v="#Ein-bote-1"/>
    <x v="0"/>
    <s v="buergerlich:bote"/>
    <x v="3"/>
    <x v="15"/>
    <x v="1"/>
    <x v="3"/>
    <x v="3"/>
    <n v="8.3333333333333301E-2"/>
    <n v="0"/>
    <n v="0.36923076923076897"/>
    <n v="1.15352532422429E-2"/>
    <x v="12"/>
    <x v="1"/>
    <s v=""/>
    <s v=""/>
    <s v=""/>
    <s v=""/>
    <s v=""/>
  </r>
  <r>
    <s v="Die_Heidin.csv"/>
    <s v="#Herren-von-den-vesten"/>
    <x v="2"/>
    <s v="unbekannt"/>
    <x v="3"/>
    <x v="3"/>
    <x v="1"/>
    <x v="2"/>
    <x v="3"/>
    <n v="0.25"/>
    <n v="0"/>
    <n v="0.233009708737864"/>
    <n v="5.2623831951248597E-2"/>
    <x v="3"/>
    <x v="1"/>
    <s v=""/>
    <s v=""/>
    <s v=""/>
    <s v=""/>
    <s v=""/>
  </r>
  <r>
    <s v="Die_Heidin.csv"/>
    <s v="#Ein-bote-2"/>
    <x v="0"/>
    <s v="buergerlich:bote"/>
    <x v="3"/>
    <x v="15"/>
    <x v="1"/>
    <x v="3"/>
    <x v="3"/>
    <n v="0.25"/>
    <n v="1.1214630779848201E-3"/>
    <n v="0.36363636363636398"/>
    <n v="4.1592255739240198E-2"/>
    <x v="12"/>
    <x v="1"/>
    <s v=""/>
    <s v=""/>
    <s v=""/>
    <s v=""/>
    <s v=""/>
  </r>
  <r>
    <s v="Die_Heidin.csv"/>
    <s v="#Heren-des-heiden"/>
    <x v="2"/>
    <s v="unbekannt"/>
    <x v="3"/>
    <x v="3"/>
    <x v="1"/>
    <x v="2"/>
    <x v="3"/>
    <n v="0.25"/>
    <n v="7.1325051759834293E-2"/>
    <n v="0.4"/>
    <n v="1.8796943947652502E-2"/>
    <x v="3"/>
    <x v="1"/>
    <s v=""/>
    <s v=""/>
    <s v=""/>
    <s v=""/>
    <s v=""/>
  </r>
  <r>
    <s v="Die_Heidin.csv"/>
    <s v="#Ritter-Ringelolt"/>
    <x v="0"/>
    <s v="adel:ritter"/>
    <x v="3"/>
    <x v="18"/>
    <x v="1"/>
    <x v="1"/>
    <x v="3"/>
    <n v="0.66666666666666696"/>
    <n v="8.9447463768115895E-2"/>
    <n v="0.38095238095238099"/>
    <n v="2.38568401680475E-2"/>
    <x v="13"/>
    <x v="1"/>
    <s v=""/>
    <s v=""/>
    <s v=""/>
    <s v=""/>
    <s v=""/>
  </r>
  <r>
    <s v="Die_Heidin.csv"/>
    <s v="#Helde-dri"/>
    <x v="2"/>
    <s v="adel:ritter"/>
    <x v="3"/>
    <x v="18"/>
    <x v="1"/>
    <x v="1"/>
    <x v="3"/>
    <n v="0.33333333333333298"/>
    <n v="1.8115942028985501E-3"/>
    <n v="0.34782608695652201"/>
    <n v="4.2457017268458401E-4"/>
    <x v="13"/>
    <x v="1"/>
    <s v=""/>
    <s v=""/>
    <s v=""/>
    <s v=""/>
    <s v=""/>
  </r>
  <r>
    <s v="Die_Heidin.csv"/>
    <s v="#Ritter-Wolfart"/>
    <x v="0"/>
    <s v="adel:ritter"/>
    <x v="3"/>
    <x v="18"/>
    <x v="1"/>
    <x v="1"/>
    <x v="3"/>
    <n v="0.33333333333333298"/>
    <n v="1.8115942028985501E-3"/>
    <n v="0.34782608695652201"/>
    <n v="4.2457017268464998E-4"/>
    <x v="13"/>
    <x v="1"/>
    <s v=""/>
    <s v=""/>
    <s v=""/>
    <s v=""/>
    <s v=""/>
  </r>
  <r>
    <s v="Die_Heidin.csv"/>
    <s v="#Ritter-Tituban"/>
    <x v="0"/>
    <s v="adel:ritter"/>
    <x v="3"/>
    <x v="18"/>
    <x v="1"/>
    <x v="1"/>
    <x v="3"/>
    <n v="0.33333333333333298"/>
    <n v="1.8115942028985501E-3"/>
    <n v="0.34782608695652201"/>
    <n v="4.24570172684562E-4"/>
    <x v="13"/>
    <x v="1"/>
    <s v=""/>
    <s v=""/>
    <s v=""/>
    <s v=""/>
    <s v=""/>
  </r>
  <r>
    <s v="Die_Heidin.csv"/>
    <s v="#Ritter-Kuonrich"/>
    <x v="0"/>
    <s v="adel:ritter"/>
    <x v="3"/>
    <x v="18"/>
    <x v="1"/>
    <x v="1"/>
    <x v="3"/>
    <n v="0.41666666666666702"/>
    <n v="0.14492753623188401"/>
    <n v="0.42105263157894701"/>
    <n v="1.21003352014222E-2"/>
    <x v="13"/>
    <x v="1"/>
    <s v=""/>
    <s v=""/>
    <s v=""/>
    <s v=""/>
    <s v=""/>
  </r>
  <r>
    <s v="Die_Heidin.csv"/>
    <s v="#Genoz-des-Ringlelolt"/>
    <x v="0"/>
    <s v="adel:ritter"/>
    <x v="3"/>
    <x v="18"/>
    <x v="1"/>
    <x v="1"/>
    <x v="3"/>
    <n v="0.25"/>
    <n v="1.24532723717506E-2"/>
    <n v="0.42105263157894701"/>
    <n v="1.19482743050577E-2"/>
    <x v="13"/>
    <x v="1"/>
    <s v=""/>
    <s v=""/>
    <s v=""/>
    <s v=""/>
    <s v=""/>
  </r>
  <r>
    <s v="Die_Heidin.csv"/>
    <s v="#Vierter-ritter"/>
    <x v="0"/>
    <s v="adel:ritter"/>
    <x v="3"/>
    <x v="18"/>
    <x v="1"/>
    <x v="1"/>
    <x v="3"/>
    <n v="0.25"/>
    <n v="1.24532723717506E-2"/>
    <n v="0.42105263157894701"/>
    <n v="1.19482743050577E-2"/>
    <x v="13"/>
    <x v="1"/>
    <s v=""/>
    <s v=""/>
    <s v=""/>
    <s v=""/>
    <s v=""/>
  </r>
  <r>
    <s v="Die_Heidin.csv"/>
    <s v="#Fuenfter-ritter"/>
    <x v="0"/>
    <s v="adel:ritter"/>
    <x v="3"/>
    <x v="18"/>
    <x v="1"/>
    <x v="1"/>
    <x v="3"/>
    <n v="0.58333333333333304"/>
    <n v="1.4783183804922899E-2"/>
    <n v="0.46153846153846201"/>
    <n v="3.1510949632662502E-2"/>
    <x v="13"/>
    <x v="1"/>
    <s v=""/>
    <s v=""/>
    <s v=""/>
    <s v=""/>
    <s v=""/>
  </r>
  <r>
    <s v="Die_Heidin.csv"/>
    <s v="#Sehster-ritter"/>
    <x v="0"/>
    <s v="adel:ritter"/>
    <x v="3"/>
    <x v="18"/>
    <x v="1"/>
    <x v="1"/>
    <x v="3"/>
    <n v="0.58333333333333304"/>
    <n v="1.4783183804922899E-2"/>
    <n v="0.46153846153846201"/>
    <n v="3.1510949632662599E-2"/>
    <x v="13"/>
    <x v="1"/>
    <s v=""/>
    <s v=""/>
    <s v=""/>
    <s v=""/>
    <s v=""/>
  </r>
  <r>
    <s v="Die_Heidin.csv"/>
    <s v="#Sibender-ritter"/>
    <x v="0"/>
    <s v="adel:ritter"/>
    <x v="3"/>
    <x v="18"/>
    <x v="1"/>
    <x v="1"/>
    <x v="3"/>
    <n v="0.58333333333333304"/>
    <n v="1.4783183804922899E-2"/>
    <n v="0.46153846153846201"/>
    <n v="3.1510949632662599E-2"/>
    <x v="13"/>
    <x v="1"/>
    <s v=""/>
    <s v=""/>
    <s v=""/>
    <s v=""/>
    <s v=""/>
  </r>
  <r>
    <s v="Die_Heidin.csv"/>
    <s v="#Ahter-ritter"/>
    <x v="0"/>
    <s v="adel:ritter"/>
    <x v="3"/>
    <x v="18"/>
    <x v="1"/>
    <x v="1"/>
    <x v="3"/>
    <n v="0.58333333333333304"/>
    <n v="1.4783183804922899E-2"/>
    <n v="0.46153846153846201"/>
    <n v="3.1510949632662502E-2"/>
    <x v="13"/>
    <x v="1"/>
    <s v=""/>
    <s v=""/>
    <s v=""/>
    <s v=""/>
    <s v=""/>
  </r>
  <r>
    <s v="Die_Heidin.csv"/>
    <s v="#Niunder-ritter"/>
    <x v="0"/>
    <s v="adel:ritter"/>
    <x v="3"/>
    <x v="18"/>
    <x v="1"/>
    <x v="1"/>
    <x v="3"/>
    <n v="0.58333333333333304"/>
    <n v="1.4783183804922899E-2"/>
    <n v="0.46153846153846201"/>
    <n v="3.1510949632662599E-2"/>
    <x v="13"/>
    <x v="1"/>
    <s v=""/>
    <s v=""/>
    <s v=""/>
    <s v=""/>
    <s v=""/>
  </r>
  <r>
    <s v="Die_Heidin.csv"/>
    <s v="#Die-heidenschaft"/>
    <x v="2"/>
    <s v="unbekannt"/>
    <x v="3"/>
    <x v="3"/>
    <x v="1"/>
    <x v="2"/>
    <x v="3"/>
    <n v="0.16666666666666699"/>
    <n v="6.1860190936277896E-3"/>
    <n v="0.41379310344827602"/>
    <n v="2.2696230411622199E-2"/>
    <x v="3"/>
    <x v="1"/>
    <s v=""/>
    <s v=""/>
    <s v=""/>
    <s v=""/>
    <s v=""/>
  </r>
  <r>
    <s v="Die_Heidin.csv"/>
    <s v="#Ein-bote-3"/>
    <x v="0"/>
    <s v="buergerlich:bote"/>
    <x v="3"/>
    <x v="15"/>
    <x v="1"/>
    <x v="3"/>
    <x v="3"/>
    <n v="0.16666666666666699"/>
    <n v="0"/>
    <n v="0.296296296296296"/>
    <n v="4.5392460823244503E-2"/>
    <x v="12"/>
    <x v="1"/>
    <s v=""/>
    <s v=""/>
    <s v=""/>
    <s v=""/>
    <s v=""/>
  </r>
  <r>
    <s v="Die_Katze_als_Nonne.csv"/>
    <s v="#Katz"/>
    <x v="5"/>
    <s v="NA"/>
    <x v="4"/>
    <x v="3"/>
    <x v="0"/>
    <x v="0"/>
    <x v="1"/>
    <n v="0"/>
    <n v="0"/>
    <n v="0"/>
    <n v="0"/>
    <x v="3"/>
    <x v="0"/>
    <s v=""/>
    <s v=""/>
    <s v=""/>
    <s v=""/>
    <s v=""/>
  </r>
  <r>
    <s v="Die_Katze_als_Nonne.csv"/>
    <s v="#Ein-muÃŸ"/>
    <x v="5"/>
    <s v="NA"/>
    <x v="4"/>
    <x v="18"/>
    <x v="1"/>
    <x v="0"/>
    <x v="1"/>
    <n v="0"/>
    <n v="0"/>
    <n v="0"/>
    <n v="0"/>
    <x v="13"/>
    <x v="0"/>
    <s v=""/>
    <s v=""/>
    <s v=""/>
    <s v=""/>
    <s v=""/>
  </r>
  <r>
    <s v="Die_Katze_als_Nonne.csv"/>
    <s v="#Nunnen"/>
    <x v="2"/>
    <s v="klerus:nonne"/>
    <x v="3"/>
    <x v="11"/>
    <x v="1"/>
    <x v="4"/>
    <x v="1"/>
    <n v="0"/>
    <n v="0"/>
    <n v="0"/>
    <n v="0"/>
    <x v="10"/>
    <x v="0"/>
    <s v=""/>
    <s v=""/>
    <s v=""/>
    <s v=""/>
    <n v="5"/>
  </r>
  <r>
    <s v="Die_Koenigin_von_Frankreich_und_der_ungetreue_Marschall.csv"/>
    <s v="#Kuenik-von-Frankreich"/>
    <x v="0"/>
    <s v="adel:koenig"/>
    <x v="0"/>
    <x v="7"/>
    <x v="0"/>
    <x v="1"/>
    <x v="3"/>
    <n v="2"/>
    <n v="0.52752525252525295"/>
    <n v="0.375"/>
    <n v="1"/>
    <x v="5"/>
    <x v="1"/>
    <s v=""/>
    <n v="2"/>
    <s v=""/>
    <s v=""/>
    <s v=""/>
  </r>
  <r>
    <s v="Die_Koenigin_von_Frankreich_und_der_ungetreue_Marschall.csv"/>
    <s v="#Koenigin-von-Frankreich"/>
    <x v="1"/>
    <s v="adel:koenigin"/>
    <x v="0"/>
    <x v="5"/>
    <x v="0"/>
    <x v="1"/>
    <x v="3"/>
    <n v="1.5"/>
    <n v="5.5303030303030298E-2"/>
    <n v="0.22222222222222199"/>
    <n v="0.99170278756153496"/>
    <x v="5"/>
    <x v="1"/>
    <s v=""/>
    <n v="2"/>
    <s v=""/>
    <s v=""/>
    <s v=""/>
  </r>
  <r>
    <s v="Die_Koenigin_von_Frankreich_und_der_ungetreue_Marschall.csv"/>
    <s v="#Marschal"/>
    <x v="0"/>
    <s v="adel:marschall"/>
    <x v="3"/>
    <x v="4"/>
    <x v="0"/>
    <x v="1"/>
    <x v="3"/>
    <n v="1.3333333333333299"/>
    <n v="0.117676767676768"/>
    <n v="0.27906976744186002"/>
    <n v="0.70018176391376896"/>
    <x v="4"/>
    <x v="1"/>
    <n v="1"/>
    <s v=""/>
    <s v=""/>
    <s v=""/>
    <s v=""/>
  </r>
  <r>
    <s v="Die_Koenigin_von_Frankreich_und_der_ungetreue_Marschall.csv"/>
    <s v="#Twerig"/>
    <x v="6"/>
    <s v="unbekannt"/>
    <x v="3"/>
    <x v="14"/>
    <x v="1"/>
    <x v="2"/>
    <x v="3"/>
    <n v="0.5"/>
    <n v="2.5757575757575799E-2"/>
    <n v="0.21052631578947401"/>
    <n v="0.22666581876425701"/>
    <x v="5"/>
    <x v="1"/>
    <s v=""/>
    <n v="2"/>
    <s v=""/>
    <s v=""/>
    <s v=""/>
  </r>
  <r>
    <s v="Die_Koenigin_von_Frankreich_und_der_ungetreue_Marschall.csv"/>
    <s v="#Herzoge-Liupolt"/>
    <x v="0"/>
    <s v="adel:herzog"/>
    <x v="3"/>
    <x v="6"/>
    <x v="1"/>
    <x v="1"/>
    <x v="3"/>
    <n v="1.1666666666666701"/>
    <n v="3.8383838383838402E-2"/>
    <n v="0.27906976744186002"/>
    <n v="0.48045950198083498"/>
    <x v="6"/>
    <x v="1"/>
    <s v=""/>
    <s v=""/>
    <s v=""/>
    <s v=""/>
    <s v=""/>
  </r>
  <r>
    <s v="Die_Koenigin_von_Frankreich_und_der_ungetreue_Marschall.csv"/>
    <s v="#Ritter"/>
    <x v="0"/>
    <s v="adel:ritter"/>
    <x v="3"/>
    <x v="3"/>
    <x v="1"/>
    <x v="1"/>
    <x v="3"/>
    <n v="0.83333333333333304"/>
    <n v="0.114646464646465"/>
    <n v="0.33333333333333298"/>
    <n v="0.28987206203439903"/>
    <x v="3"/>
    <x v="1"/>
    <s v=""/>
    <s v=""/>
    <s v=""/>
    <s v=""/>
    <s v=""/>
  </r>
  <r>
    <s v="Die_Koenigin_von_Frankreich_und_der_ungetreue_Marschall.csv"/>
    <s v="#Koler"/>
    <x v="0"/>
    <s v="buergerlich:koler"/>
    <x v="3"/>
    <x v="6"/>
    <x v="1"/>
    <x v="3"/>
    <x v="3"/>
    <n v="0.83333333333333304"/>
    <n v="3.03030303030303E-2"/>
    <n v="0.22222222222222199"/>
    <n v="0.51888118596430899"/>
    <x v="6"/>
    <x v="1"/>
    <s v=""/>
    <s v=""/>
    <s v=""/>
    <s v=""/>
    <s v=""/>
  </r>
  <r>
    <s v="Die_Koenigin_von_Frankreich_und_der_ungetreue_Marschall.csv"/>
    <s v="#Kint"/>
    <x v="0"/>
    <s v="adel:koenigssohn"/>
    <x v="1"/>
    <x v="3"/>
    <x v="1"/>
    <x v="1"/>
    <x v="3"/>
    <n v="0.5"/>
    <n v="0"/>
    <n v="0.1875"/>
    <n v="0.31141074098357902"/>
    <x v="3"/>
    <x v="1"/>
    <s v=""/>
    <s v=""/>
    <s v=""/>
    <s v=""/>
    <s v=""/>
  </r>
  <r>
    <s v="Die_Koenigin_von_Frankreich_und_der_ungetreue_Marschall.csv"/>
    <s v="#Hunt"/>
    <x v="5"/>
    <s v="NA"/>
    <x v="4"/>
    <x v="6"/>
    <x v="1"/>
    <x v="0"/>
    <x v="3"/>
    <n v="0.83333333333333304"/>
    <n v="5.8080808080808101E-2"/>
    <n v="0.230769230769231"/>
    <n v="0.33027665177238302"/>
    <x v="6"/>
    <x v="1"/>
    <s v=""/>
    <s v=""/>
    <s v=""/>
    <s v=""/>
    <s v=""/>
  </r>
  <r>
    <s v="Die_Koenigin_von_Frankreich_und_der_ungetreue_Marschall.csv"/>
    <s v="#Alter-ritter"/>
    <x v="0"/>
    <s v="adel:ritter"/>
    <x v="2"/>
    <x v="3"/>
    <x v="1"/>
    <x v="1"/>
    <x v="3"/>
    <n v="0.33333333333333298"/>
    <n v="7.6010101010101E-2"/>
    <n v="0.30769230769230799"/>
    <n v="4.6012104942066603E-2"/>
    <x v="3"/>
    <x v="1"/>
    <s v=""/>
    <s v=""/>
    <s v=""/>
    <s v=""/>
    <s v=""/>
  </r>
  <r>
    <s v="Die_Koenigin_von_Frankreich_und_der_ungetreue_Marschall.csv"/>
    <s v="#Henker"/>
    <x v="0"/>
    <s v="buergerlich:henker"/>
    <x v="3"/>
    <x v="3"/>
    <x v="1"/>
    <x v="3"/>
    <x v="3"/>
    <n v="0.33333333333333298"/>
    <n v="7.6010101010101E-2"/>
    <n v="0.30769230769230799"/>
    <n v="4.6012104942066499E-2"/>
    <x v="3"/>
    <x v="1"/>
    <s v=""/>
    <s v=""/>
    <s v=""/>
    <s v=""/>
    <s v=""/>
  </r>
  <r>
    <s v="Die_Koenigin_von_Frankreich_und_der_ungetreue_Marschall.csv"/>
    <s v="#Kramerin"/>
    <x v="1"/>
    <s v="buergerlich:kraemer"/>
    <x v="3"/>
    <x v="15"/>
    <x v="1"/>
    <x v="3"/>
    <x v="3"/>
    <n v="0.66666666666666696"/>
    <n v="0.115656565656566"/>
    <n v="0.3"/>
    <n v="0.18873202389641"/>
    <x v="12"/>
    <x v="1"/>
    <s v=""/>
    <s v=""/>
    <s v=""/>
    <s v=""/>
    <s v=""/>
  </r>
  <r>
    <s v="Die_Koenigin_von_Frankreich_und_der_ungetreue_Marschall.csv"/>
    <s v="#Herren"/>
    <x v="2"/>
    <s v="unbekannt"/>
    <x v="3"/>
    <x v="3"/>
    <x v="1"/>
    <x v="2"/>
    <x v="3"/>
    <n v="0.16666666666666699"/>
    <n v="0"/>
    <n v="0.27906976744186002"/>
    <n v="2.7063050503581501E-2"/>
    <x v="3"/>
    <x v="1"/>
    <s v=""/>
    <s v=""/>
    <s v=""/>
    <s v=""/>
    <s v=""/>
  </r>
  <r>
    <s v="Die_Meierin_mit_der_Geiß.csv"/>
    <s v="#Meir"/>
    <x v="0"/>
    <s v="bauer:meyer"/>
    <x v="3"/>
    <x v="7"/>
    <x v="0"/>
    <x v="5"/>
    <x v="3"/>
    <n v="1.1428571428571399"/>
    <n v="4.7619047619047603E-2"/>
    <n v="0.41176470588235298"/>
    <n v="0.47837768827359201"/>
    <x v="5"/>
    <x v="1"/>
    <s v=""/>
    <n v="2"/>
    <s v=""/>
    <s v=""/>
    <s v=""/>
  </r>
  <r>
    <s v="Die_Meierin_mit_der_Geiß.csv"/>
    <s v="#Wip"/>
    <x v="1"/>
    <s v="bauer:meyer"/>
    <x v="0"/>
    <x v="13"/>
    <x v="0"/>
    <x v="5"/>
    <x v="3"/>
    <n v="2"/>
    <n v="0.22222222222222199"/>
    <n v="0.53846153846153799"/>
    <n v="1"/>
    <x v="4"/>
    <x v="1"/>
    <n v="1"/>
    <s v=""/>
    <s v=""/>
    <s v=""/>
    <s v=""/>
  </r>
  <r>
    <s v="Die_Meierin_mit_der_Geiß.csv"/>
    <s v="#Swester-des-mannes"/>
    <x v="1"/>
    <s v="unbekannt"/>
    <x v="3"/>
    <x v="3"/>
    <x v="1"/>
    <x v="2"/>
    <x v="3"/>
    <n v="0.85714285714285698"/>
    <n v="0.158730158730159"/>
    <n v="0.5"/>
    <n v="0.18107133974885001"/>
    <x v="3"/>
    <x v="1"/>
    <s v=""/>
    <s v=""/>
    <s v=""/>
    <s v=""/>
    <s v=""/>
  </r>
  <r>
    <s v="Die_Meierin_mit_der_Geiß.csv"/>
    <s v="#Ritter"/>
    <x v="0"/>
    <s v="adel:ritter"/>
    <x v="3"/>
    <x v="4"/>
    <x v="0"/>
    <x v="1"/>
    <x v="3"/>
    <n v="2"/>
    <n v="0.25396825396825401"/>
    <n v="0.53846153846153799"/>
    <n v="0.95738655250610305"/>
    <x v="4"/>
    <x v="1"/>
    <n v="1"/>
    <s v=""/>
    <s v=""/>
    <s v=""/>
    <s v=""/>
  </r>
  <r>
    <s v="Die_Meierin_mit_der_Geiß.csv"/>
    <s v="#Werberin"/>
    <x v="1"/>
    <s v="bauer:weber"/>
    <x v="3"/>
    <x v="3"/>
    <x v="1"/>
    <x v="5"/>
    <x v="3"/>
    <n v="0.57142857142857095"/>
    <n v="0"/>
    <n v="0.30434782608695699"/>
    <n v="0.29101881005955599"/>
    <x v="3"/>
    <x v="1"/>
    <s v=""/>
    <s v=""/>
    <s v=""/>
    <s v=""/>
    <s v=""/>
  </r>
  <r>
    <s v="Die_Meierin_mit_der_Geiß.csv"/>
    <s v="#Bote"/>
    <x v="1"/>
    <s v="unbekannt"/>
    <x v="2"/>
    <x v="15"/>
    <x v="1"/>
    <x v="2"/>
    <x v="3"/>
    <n v="0.57142857142857095"/>
    <n v="0"/>
    <n v="0.24137931034482801"/>
    <n v="0.43652821508933498"/>
    <x v="12"/>
    <x v="1"/>
    <s v=""/>
    <s v=""/>
    <s v=""/>
    <s v=""/>
    <s v=""/>
  </r>
  <r>
    <s v="Die_Meierin_mit_der_Geiß.csv"/>
    <s v="#Schuoler-des-ritters"/>
    <x v="0"/>
    <s v="adel:schueler"/>
    <x v="3"/>
    <x v="6"/>
    <x v="1"/>
    <x v="1"/>
    <x v="3"/>
    <n v="1.1428571428571399"/>
    <n v="4.7619047619047603E-2"/>
    <n v="0.41176470588235298"/>
    <n v="0.33927261075889498"/>
    <x v="6"/>
    <x v="1"/>
    <s v=""/>
    <s v=""/>
    <s v=""/>
    <s v=""/>
    <s v=""/>
  </r>
  <r>
    <s v="Die_Meierin_mit_der_Geiß.csv"/>
    <s v="#Kneht-des-ritter"/>
    <x v="0"/>
    <s v="adel:knecht"/>
    <x v="3"/>
    <x v="3"/>
    <x v="1"/>
    <x v="1"/>
    <x v="3"/>
    <n v="0.85714285714285698"/>
    <n v="0.119047619047619"/>
    <n v="0.5"/>
    <n v="0.17073046096848399"/>
    <x v="3"/>
    <x v="1"/>
    <s v=""/>
    <s v=""/>
    <s v=""/>
    <s v=""/>
    <s v=""/>
  </r>
  <r>
    <s v="Die_Nachtigall.csv"/>
    <s v="#Vater-der-vrouwe"/>
    <x v="0"/>
    <s v="adel:ritter"/>
    <x v="2"/>
    <x v="8"/>
    <x v="1"/>
    <x v="1"/>
    <x v="2"/>
    <n v="2"/>
    <n v="0.4"/>
    <n v="0.55555555555555602"/>
    <n v="0.77702982441856205"/>
    <x v="7"/>
    <x v="2"/>
    <s v=""/>
    <s v=""/>
    <s v=""/>
    <s v=""/>
    <s v=""/>
  </r>
  <r>
    <s v="Die_Nachtigall.csv"/>
    <s v="#Tohter"/>
    <x v="1"/>
    <s v="adel:edelfrau"/>
    <x v="0"/>
    <x v="12"/>
    <x v="0"/>
    <x v="1"/>
    <x v="2"/>
    <n v="2"/>
    <n v="0.1"/>
    <n v="0.45454545454545497"/>
    <n v="1"/>
    <x v="11"/>
    <x v="2"/>
    <s v=""/>
    <s v=""/>
    <s v=""/>
    <n v="4"/>
    <s v=""/>
  </r>
  <r>
    <s v="Die_Nachtigall.csv"/>
    <s v="#Vater-des-jungen"/>
    <x v="0"/>
    <s v="adel:ritter"/>
    <x v="2"/>
    <x v="8"/>
    <x v="1"/>
    <x v="1"/>
    <x v="2"/>
    <n v="1.2"/>
    <n v="0.4"/>
    <n v="0.55555555555555602"/>
    <n v="0.16654704276367199"/>
    <x v="7"/>
    <x v="2"/>
    <s v=""/>
    <s v=""/>
    <s v=""/>
    <s v=""/>
    <s v=""/>
  </r>
  <r>
    <s v="Die_Nachtigall.csv"/>
    <s v="#Sun"/>
    <x v="0"/>
    <s v="adel:unbekannt"/>
    <x v="0"/>
    <x v="10"/>
    <x v="0"/>
    <x v="1"/>
    <x v="2"/>
    <n v="1.6"/>
    <n v="0"/>
    <n v="0.35714285714285698"/>
    <n v="0.85433040660473902"/>
    <x v="9"/>
    <x v="2"/>
    <s v=""/>
    <s v=""/>
    <n v="3"/>
    <s v=""/>
    <s v=""/>
  </r>
  <r>
    <s v="Die_Nachtigall.csv"/>
    <s v="#Bote"/>
    <x v="0"/>
    <s v="unbekannt"/>
    <x v="3"/>
    <x v="15"/>
    <x v="1"/>
    <x v="2"/>
    <x v="2"/>
    <n v="0.8"/>
    <n v="0.1"/>
    <n v="0.45454545454545497"/>
    <n v="8.4906864357060297E-2"/>
    <x v="12"/>
    <x v="2"/>
    <s v=""/>
    <s v=""/>
    <s v=""/>
    <s v=""/>
    <s v=""/>
  </r>
  <r>
    <s v="Die_Nachtigall.csv"/>
    <s v="#Muoter-der-vrouwe"/>
    <x v="1"/>
    <s v="adel:edelfrau"/>
    <x v="2"/>
    <x v="9"/>
    <x v="1"/>
    <x v="1"/>
    <x v="2"/>
    <n v="1.2"/>
    <n v="0"/>
    <n v="0.35714285714285698"/>
    <n v="0.44257476100925203"/>
    <x v="8"/>
    <x v="2"/>
    <s v=""/>
    <s v=""/>
    <s v=""/>
    <s v=""/>
    <s v=""/>
  </r>
  <r>
    <s v="Die_Teufelsacht.csv"/>
    <s v="#Vrouwe"/>
    <x v="1"/>
    <s v="unbekannt"/>
    <x v="0"/>
    <x v="5"/>
    <x v="0"/>
    <x v="2"/>
    <x v="3"/>
    <n v="1.6666666666666701"/>
    <n v="0.33333333333333298"/>
    <n v="0.66666666666666696"/>
    <n v="1"/>
    <x v="5"/>
    <x v="1"/>
    <s v=""/>
    <n v="2"/>
    <s v=""/>
    <s v=""/>
    <s v=""/>
  </r>
  <r>
    <s v="Die_Teufelsacht.csv"/>
    <s v="#Man"/>
    <x v="0"/>
    <s v="unbekannt"/>
    <x v="0"/>
    <x v="21"/>
    <x v="0"/>
    <x v="2"/>
    <x v="3"/>
    <n v="1.3333333333333299"/>
    <n v="0"/>
    <n v="0.54545454545454497"/>
    <n v="0.96261356875522597"/>
    <x v="4"/>
    <x v="1"/>
    <n v="1"/>
    <s v=""/>
    <s v=""/>
    <s v=""/>
    <s v=""/>
  </r>
  <r>
    <s v="Die_Teufelsacht.csv"/>
    <s v="#Muoter-der-vrouwe"/>
    <x v="1"/>
    <s v="unbekannt"/>
    <x v="3"/>
    <x v="6"/>
    <x v="1"/>
    <x v="2"/>
    <x v="3"/>
    <n v="1.3333333333333299"/>
    <n v="0"/>
    <n v="0.54545454545454497"/>
    <n v="0.64191747675994204"/>
    <x v="6"/>
    <x v="1"/>
    <s v=""/>
    <s v=""/>
    <s v=""/>
    <s v=""/>
    <s v=""/>
  </r>
  <r>
    <s v="Die_Teufelsacht.csv"/>
    <s v="#Swester-des-mans"/>
    <x v="1"/>
    <s v="unbekannt"/>
    <x v="3"/>
    <x v="3"/>
    <x v="1"/>
    <x v="2"/>
    <x v="3"/>
    <n v="0.33333333333333298"/>
    <n v="0"/>
    <n v="0.42857142857142899"/>
    <n v="3.3992095868854003E-2"/>
    <x v="3"/>
    <x v="1"/>
    <s v=""/>
    <s v=""/>
    <s v=""/>
    <s v=""/>
    <s v=""/>
  </r>
  <r>
    <s v="Die_Teufelsacht.csv"/>
    <s v="#Knehte-und-man"/>
    <x v="2"/>
    <s v="unbekannt"/>
    <x v="3"/>
    <x v="3"/>
    <x v="1"/>
    <x v="2"/>
    <x v="3"/>
    <n v="1.3333333333333299"/>
    <n v="0.16666666666666699"/>
    <n v="0.75"/>
    <n v="9.1652411912467494E-2"/>
    <x v="3"/>
    <x v="1"/>
    <s v=""/>
    <s v=""/>
    <s v=""/>
    <s v=""/>
    <s v=""/>
  </r>
  <r>
    <s v="Die_Teufelsacht.csv"/>
    <s v="#Vrouwen"/>
    <x v="2"/>
    <s v="unbekannt"/>
    <x v="3"/>
    <x v="3"/>
    <x v="1"/>
    <x v="2"/>
    <x v="3"/>
    <n v="1.6666666666666701"/>
    <n v="0.5"/>
    <n v="0.85714285714285698"/>
    <n v="9.1754945971641397E-2"/>
    <x v="3"/>
    <x v="1"/>
    <s v=""/>
    <s v=""/>
    <s v=""/>
    <s v=""/>
    <s v=""/>
  </r>
  <r>
    <s v="Die_Teufelsacht.csv"/>
    <s v="#Bote"/>
    <x v="0"/>
    <s v="unbekannt"/>
    <x v="3"/>
    <x v="15"/>
    <x v="1"/>
    <x v="2"/>
    <x v="3"/>
    <n v="0.33333333333333298"/>
    <n v="0"/>
    <n v="0.5"/>
    <n v="3.1189429199095799E-3"/>
    <x v="12"/>
    <x v="1"/>
    <s v=""/>
    <s v=""/>
    <s v=""/>
    <s v=""/>
    <s v=""/>
  </r>
  <r>
    <s v="Drei_listige_Frauen.csv"/>
    <s v="#Frau-Maechilt"/>
    <x v="1"/>
    <s v="unbekannt"/>
    <x v="3"/>
    <x v="13"/>
    <x v="0"/>
    <x v="2"/>
    <x v="3"/>
    <n v="1.55555555555556"/>
    <n v="6.9444444444444406E-2"/>
    <n v="0.39130434782608697"/>
    <n v="0.68723480271770299"/>
    <x v="4"/>
    <x v="1"/>
    <n v="1"/>
    <s v=""/>
    <s v=""/>
    <s v=""/>
    <s v=""/>
  </r>
  <r>
    <s v="Drei_listige_Frauen.csv"/>
    <s v="#Frau-Juet"/>
    <x v="1"/>
    <s v="unbekannt"/>
    <x v="3"/>
    <x v="13"/>
    <x v="0"/>
    <x v="2"/>
    <x v="3"/>
    <n v="1.55555555555556"/>
    <n v="0.33055555555555499"/>
    <n v="0.47368421052631599"/>
    <n v="0.811734277068903"/>
    <x v="4"/>
    <x v="1"/>
    <n v="1"/>
    <s v=""/>
    <s v=""/>
    <s v=""/>
    <s v=""/>
  </r>
  <r>
    <s v="Drei_listige_Frauen.csv"/>
    <s v="#Frau-Hiltgart"/>
    <x v="1"/>
    <s v="unbekannt"/>
    <x v="3"/>
    <x v="13"/>
    <x v="0"/>
    <x v="2"/>
    <x v="3"/>
    <n v="1.55555555555556"/>
    <n v="0.20092592592592601"/>
    <n v="0.42857142857142899"/>
    <n v="1"/>
    <x v="4"/>
    <x v="1"/>
    <n v="1"/>
    <s v=""/>
    <s v=""/>
    <s v=""/>
    <s v=""/>
  </r>
  <r>
    <s v="Drei_listige_Frauen.csv"/>
    <s v="#Mair-Perchtold"/>
    <x v="0"/>
    <s v="unbekannt"/>
    <x v="3"/>
    <x v="7"/>
    <x v="0"/>
    <x v="2"/>
    <x v="3"/>
    <n v="2"/>
    <n v="9.0740740740740705E-2"/>
    <n v="0.39130434782608697"/>
    <n v="0.96558739483465805"/>
    <x v="5"/>
    <x v="1"/>
    <s v=""/>
    <n v="2"/>
    <s v=""/>
    <s v=""/>
    <s v=""/>
  </r>
  <r>
    <s v="Drei_listige_Frauen.csv"/>
    <s v="#Knecht-Heinz-von-Mair-Perchtold"/>
    <x v="0"/>
    <s v="unbekannt:knecht"/>
    <x v="3"/>
    <x v="6"/>
    <x v="1"/>
    <x v="2"/>
    <x v="3"/>
    <n v="0.88888888888888895"/>
    <n v="4.1666666666666699E-2"/>
    <n v="0.36"/>
    <n v="0.44119177254382003"/>
    <x v="6"/>
    <x v="1"/>
    <s v=""/>
    <s v=""/>
    <s v=""/>
    <s v=""/>
    <s v=""/>
  </r>
  <r>
    <s v="Drei_listige_Frauen.csv"/>
    <s v="#Pfarrer"/>
    <x v="0"/>
    <s v="klerus:pfarrer"/>
    <x v="3"/>
    <x v="3"/>
    <x v="1"/>
    <x v="4"/>
    <x v="3"/>
    <n v="0.44444444444444398"/>
    <n v="0"/>
    <n v="0.25714285714285701"/>
    <n v="0.113415250393356"/>
    <x v="3"/>
    <x v="1"/>
    <s v=""/>
    <s v=""/>
    <s v=""/>
    <s v=""/>
    <s v=""/>
  </r>
  <r>
    <s v="Drei_listige_Frauen.csv"/>
    <s v="#Nachpuerin"/>
    <x v="1"/>
    <s v="unbekannt"/>
    <x v="3"/>
    <x v="3"/>
    <x v="1"/>
    <x v="2"/>
    <x v="3"/>
    <n v="0.88888888888888895"/>
    <n v="0.483333333333333"/>
    <n v="0.52941176470588203"/>
    <n v="9.9953210196523798E-2"/>
    <x v="3"/>
    <x v="1"/>
    <s v=""/>
    <s v=""/>
    <s v=""/>
    <s v=""/>
    <s v=""/>
  </r>
  <r>
    <s v="Drei_listige_Frauen.csv"/>
    <s v="#Mair-Cuonrat"/>
    <x v="0"/>
    <s v="unbekannt"/>
    <x v="3"/>
    <x v="7"/>
    <x v="0"/>
    <x v="2"/>
    <x v="3"/>
    <n v="1.3333333333333299"/>
    <n v="1.94444444444444E-2"/>
    <n v="0.29032258064516098"/>
    <n v="0.65431990766178705"/>
    <x v="5"/>
    <x v="1"/>
    <s v=""/>
    <n v="2"/>
    <s v=""/>
    <s v=""/>
    <s v=""/>
  </r>
  <r>
    <s v="Drei_listige_Frauen.csv"/>
    <s v="#Mair-Seifrid"/>
    <x v="0"/>
    <s v="unbekannt"/>
    <x v="3"/>
    <x v="7"/>
    <x v="0"/>
    <x v="2"/>
    <x v="3"/>
    <n v="1.1111111111111101"/>
    <n v="0.181018518518518"/>
    <n v="0.39130434782608697"/>
    <n v="0.38444313996726798"/>
    <x v="5"/>
    <x v="1"/>
    <s v=""/>
    <n v="2"/>
    <s v=""/>
    <s v=""/>
    <s v=""/>
  </r>
  <r>
    <s v="Drei_listige_Frauen.csv"/>
    <s v="#Volk"/>
    <x v="2"/>
    <s v="unbekannt"/>
    <x v="3"/>
    <x v="3"/>
    <x v="1"/>
    <x v="2"/>
    <x v="3"/>
    <n v="0.66666666666666696"/>
    <n v="4.8611111111111098E-2"/>
    <n v="0.31034482758620702"/>
    <n v="0.16027544071918401"/>
    <x v="3"/>
    <x v="1"/>
    <s v=""/>
    <s v=""/>
    <s v=""/>
    <s v=""/>
    <s v=""/>
  </r>
  <r>
    <s v="Edelmann_und_Pferdehaendler.csv"/>
    <s v="#Man"/>
    <x v="0"/>
    <s v="unbekannt"/>
    <x v="3"/>
    <x v="4"/>
    <x v="0"/>
    <x v="2"/>
    <x v="1"/>
    <n v="2"/>
    <n v="0"/>
    <n v="0.5"/>
    <n v="1"/>
    <x v="4"/>
    <x v="1"/>
    <n v="1"/>
    <s v=""/>
    <s v=""/>
    <s v=""/>
    <s v=""/>
  </r>
  <r>
    <s v="Edelmann_und_Pferdehaendler.csv"/>
    <s v="#Rosteuscher"/>
    <x v="0"/>
    <s v="buergerlich:pferdehaendler"/>
    <x v="3"/>
    <x v="14"/>
    <x v="0"/>
    <x v="3"/>
    <x v="1"/>
    <n v="2"/>
    <n v="0"/>
    <n v="0.5"/>
    <n v="0.97376888933608796"/>
    <x v="5"/>
    <x v="1"/>
    <s v=""/>
    <n v="2"/>
    <s v=""/>
    <s v=""/>
    <s v=""/>
  </r>
  <r>
    <s v="Edelmann_und_Pferdehaendler.csv"/>
    <s v="#Sine-magen"/>
    <x v="2"/>
    <s v="unbekannt"/>
    <x v="3"/>
    <x v="6"/>
    <x v="1"/>
    <x v="2"/>
    <x v="1"/>
    <n v="2"/>
    <n v="0"/>
    <n v="0.375"/>
    <n v="0.76755963250737502"/>
    <x v="6"/>
    <x v="1"/>
    <s v=""/>
    <s v=""/>
    <s v=""/>
    <s v=""/>
    <s v=""/>
  </r>
  <r>
    <s v="Edelmann_und_Pferdehaendler.csv"/>
    <s v="#Einer-der-magen"/>
    <x v="0"/>
    <s v="unbekannt"/>
    <x v="3"/>
    <x v="3"/>
    <x v="1"/>
    <x v="2"/>
    <x v="1"/>
    <n v="2"/>
    <n v="1"/>
    <n v="0.75"/>
    <n v="0.203279190560956"/>
    <x v="3"/>
    <x v="1"/>
    <s v=""/>
    <s v=""/>
    <s v=""/>
    <s v=""/>
    <s v=""/>
  </r>
  <r>
    <s v="Ehe_im_Leben_und_Tode.csv"/>
    <s v="#Man"/>
    <x v="0"/>
    <s v="unbekannt"/>
    <x v="3"/>
    <x v="7"/>
    <x v="0"/>
    <x v="2"/>
    <x v="3"/>
    <n v="2"/>
    <n v="0.3"/>
    <n v="0.3125"/>
    <n v="1"/>
    <x v="5"/>
    <x v="1"/>
    <s v=""/>
    <n v="2"/>
    <s v=""/>
    <s v=""/>
    <s v=""/>
  </r>
  <r>
    <s v="Ehe_im_Leben_und_Tode.csv"/>
    <s v="#Wip"/>
    <x v="1"/>
    <s v="unbekannt"/>
    <x v="3"/>
    <x v="13"/>
    <x v="0"/>
    <x v="2"/>
    <x v="3"/>
    <n v="2"/>
    <n v="0"/>
    <n v="0.29411764705882398"/>
    <n v="0.98923123871989205"/>
    <x v="4"/>
    <x v="1"/>
    <n v="1"/>
    <s v=""/>
    <s v=""/>
    <s v=""/>
    <s v=""/>
  </r>
  <r>
    <s v="Ehe_im_Leben_und_Tode.csv"/>
    <s v="#Gevatern"/>
    <x v="1"/>
    <s v="unbekannt"/>
    <x v="3"/>
    <x v="6"/>
    <x v="1"/>
    <x v="2"/>
    <x v="3"/>
    <n v="0.8"/>
    <n v="0.1"/>
    <n v="0.27777777777777801"/>
    <n v="0.12875531469443099"/>
    <x v="6"/>
    <x v="1"/>
    <s v=""/>
    <s v=""/>
    <s v=""/>
    <s v=""/>
    <s v=""/>
  </r>
  <r>
    <s v="Ehe_im_Leben_und_Tode.csv"/>
    <s v="#Vriunt-und-onch"/>
    <x v="2"/>
    <s v="unbekannt"/>
    <x v="3"/>
    <x v="3"/>
    <x v="1"/>
    <x v="2"/>
    <x v="3"/>
    <n v="1.6"/>
    <n v="0.25"/>
    <n v="0.35714285714285698"/>
    <n v="0.345080753859143"/>
    <x v="3"/>
    <x v="1"/>
    <s v=""/>
    <s v=""/>
    <s v=""/>
    <s v=""/>
    <s v=""/>
  </r>
  <r>
    <s v="Ehe_im_Leben_und_Tode.csv"/>
    <s v="#Ihre-magen"/>
    <x v="2"/>
    <s v="unbekannt:magd"/>
    <x v="3"/>
    <x v="3"/>
    <x v="1"/>
    <x v="2"/>
    <x v="3"/>
    <n v="1.6"/>
    <n v="0"/>
    <n v="0.238095238095238"/>
    <n v="0.56093514929539601"/>
    <x v="3"/>
    <x v="1"/>
    <s v=""/>
    <s v=""/>
    <s v=""/>
    <s v=""/>
    <s v=""/>
  </r>
  <r>
    <s v="Ehe_im_Leben_und_Tode.csv"/>
    <s v="#Seine-magen"/>
    <x v="2"/>
    <s v="unbekannt:magd"/>
    <x v="3"/>
    <x v="3"/>
    <x v="1"/>
    <x v="2"/>
    <x v="3"/>
    <n v="1.6"/>
    <n v="0"/>
    <n v="0.27777777777777801"/>
    <n v="0.44654867864479197"/>
    <x v="3"/>
    <x v="1"/>
    <s v=""/>
    <s v=""/>
    <s v=""/>
    <s v=""/>
    <s v=""/>
  </r>
  <r>
    <s v="Ehefrau_und_Buhlerin.csv"/>
    <s v="#Man"/>
    <x v="0"/>
    <s v="unbekannt"/>
    <x v="3"/>
    <x v="17"/>
    <x v="0"/>
    <x v="2"/>
    <x v="3"/>
    <n v="2"/>
    <n v="0.58796296296296302"/>
    <n v="0.47368421052631599"/>
    <n v="1"/>
    <x v="5"/>
    <x v="1"/>
    <s v=""/>
    <n v="2"/>
    <s v=""/>
    <s v=""/>
    <s v=""/>
  </r>
  <r>
    <s v="Ehefrau_und_Buhlerin.csv"/>
    <s v="#Wip"/>
    <x v="1"/>
    <s v="unbekannt"/>
    <x v="3"/>
    <x v="5"/>
    <x v="0"/>
    <x v="2"/>
    <x v="3"/>
    <n v="0.66666666666666696"/>
    <n v="4.6296296296296301E-2"/>
    <n v="0.33333333333333298"/>
    <n v="0.577589939030275"/>
    <x v="5"/>
    <x v="1"/>
    <s v=""/>
    <n v="2"/>
    <s v=""/>
    <s v=""/>
    <s v=""/>
  </r>
  <r>
    <s v="Ehefrau_und_Buhlerin.csv"/>
    <s v="#Buhlerin-1"/>
    <x v="1"/>
    <s v="unbekannt"/>
    <x v="3"/>
    <x v="4"/>
    <x v="0"/>
    <x v="2"/>
    <x v="3"/>
    <n v="1.1111111111111101"/>
    <n v="0.29166666666666702"/>
    <n v="0.39130434782608697"/>
    <n v="0.53929299768885397"/>
    <x v="4"/>
    <x v="1"/>
    <n v="1"/>
    <s v=""/>
    <s v=""/>
    <s v=""/>
    <s v=""/>
  </r>
  <r>
    <s v="Ehefrau_und_Buhlerin.csv"/>
    <s v="#Buhlerin-2"/>
    <x v="1"/>
    <s v="unbekannt"/>
    <x v="3"/>
    <x v="4"/>
    <x v="0"/>
    <x v="2"/>
    <x v="3"/>
    <n v="1.1111111111111101"/>
    <n v="0.148148148148148"/>
    <n v="0.39130434782608697"/>
    <n v="0.66598735349279603"/>
    <x v="4"/>
    <x v="1"/>
    <n v="1"/>
    <s v=""/>
    <s v=""/>
    <s v=""/>
    <s v=""/>
  </r>
  <r>
    <s v="Ehefrau_und_Buhlerin.csv"/>
    <s v="#Ander-man"/>
    <x v="0"/>
    <s v="unbekannt"/>
    <x v="3"/>
    <x v="3"/>
    <x v="1"/>
    <x v="2"/>
    <x v="3"/>
    <n v="0.66666666666666696"/>
    <n v="0.50925925925925897"/>
    <n v="0.47368421052631599"/>
    <n v="8.3770092636581001E-2"/>
    <x v="3"/>
    <x v="1"/>
    <s v=""/>
    <s v=""/>
    <s v=""/>
    <s v=""/>
    <s v=""/>
  </r>
  <r>
    <s v="Ehefrau_und_Buhlerin.csv"/>
    <s v="#Einer"/>
    <x v="0"/>
    <s v="unbekannt"/>
    <x v="3"/>
    <x v="3"/>
    <x v="1"/>
    <x v="2"/>
    <x v="3"/>
    <n v="0.22222222222222199"/>
    <n v="0"/>
    <n v="0.33333333333333298"/>
    <n v="3.7986142030284102E-2"/>
    <x v="3"/>
    <x v="1"/>
    <s v=""/>
    <s v=""/>
    <s v=""/>
    <s v=""/>
    <s v=""/>
  </r>
  <r>
    <s v="Ehefrau_und_Buhlerin.csv"/>
    <s v="#Ein-anderer-man"/>
    <x v="0"/>
    <s v="unbekannt"/>
    <x v="3"/>
    <x v="18"/>
    <x v="1"/>
    <x v="2"/>
    <x v="3"/>
    <n v="0.44444444444444398"/>
    <n v="0"/>
    <n v="0.27272727272727298"/>
    <n v="8.2218620448337401E-2"/>
    <x v="13"/>
    <x v="1"/>
    <s v=""/>
    <s v=""/>
    <s v=""/>
    <s v=""/>
    <s v=""/>
  </r>
  <r>
    <s v="Ehefrau_und_Buhlerin.csv"/>
    <s v="#Ein-man"/>
    <x v="0"/>
    <s v="unbekannt"/>
    <x v="3"/>
    <x v="18"/>
    <x v="1"/>
    <x v="2"/>
    <x v="3"/>
    <n v="0.44444444444444398"/>
    <n v="0"/>
    <n v="0.27272727272727298"/>
    <n v="8.2218620448337304E-2"/>
    <x v="13"/>
    <x v="1"/>
    <s v=""/>
    <s v=""/>
    <s v=""/>
    <s v=""/>
    <s v=""/>
  </r>
  <r>
    <s v="Ehefrau_und_Buhlerin.csv"/>
    <s v="#Burger"/>
    <x v="0"/>
    <s v="buergerlich:unbekannt"/>
    <x v="2"/>
    <x v="6"/>
    <x v="1"/>
    <x v="3"/>
    <x v="3"/>
    <n v="0.44444444444444398"/>
    <n v="0"/>
    <n v="0.230769230769231"/>
    <n v="0.26888817299399798"/>
    <x v="6"/>
    <x v="1"/>
    <s v=""/>
    <s v=""/>
    <s v=""/>
    <s v=""/>
    <s v=""/>
  </r>
  <r>
    <s v="Ehefrau_und_Buhlerin.csv"/>
    <s v="#Zwo-voruwen"/>
    <x v="2"/>
    <s v="unbekannt"/>
    <x v="3"/>
    <x v="3"/>
    <x v="1"/>
    <x v="2"/>
    <x v="3"/>
    <n v="0.44444444444444398"/>
    <n v="0"/>
    <n v="0.29032258064516098"/>
    <n v="0.12656886446086901"/>
    <x v="3"/>
    <x v="1"/>
    <s v=""/>
    <s v=""/>
    <s v=""/>
    <s v=""/>
    <s v=""/>
  </r>
  <r>
    <s v="Ehestand_Tod_und_Hochzeit.csv"/>
    <s v="#Man"/>
    <x v="0"/>
    <s v="bauer"/>
    <x v="0"/>
    <x v="14"/>
    <x v="0"/>
    <x v="5"/>
    <x v="3"/>
    <n v="1.6666666666666701"/>
    <n v="0.43333333333333302"/>
    <n v="0.6"/>
    <n v="1"/>
    <x v="5"/>
    <x v="1"/>
    <s v=""/>
    <n v="2"/>
    <s v=""/>
    <s v=""/>
    <s v=""/>
  </r>
  <r>
    <s v="Ehestand_Tod_und_Hochzeit.csv"/>
    <s v="#Wip"/>
    <x v="1"/>
    <s v="bauer"/>
    <x v="0"/>
    <x v="4"/>
    <x v="0"/>
    <x v="5"/>
    <x v="3"/>
    <n v="1.3333333333333299"/>
    <n v="0.1"/>
    <n v="0.5"/>
    <n v="0.94780937787963404"/>
    <x v="4"/>
    <x v="1"/>
    <n v="1"/>
    <s v=""/>
    <s v=""/>
    <s v=""/>
    <s v=""/>
  </r>
  <r>
    <s v="Ehestand_Tod_und_Hochzeit.csv"/>
    <s v="#Gevater"/>
    <x v="1"/>
    <s v="unbekannt"/>
    <x v="3"/>
    <x v="6"/>
    <x v="0"/>
    <x v="2"/>
    <x v="3"/>
    <n v="1"/>
    <n v="0"/>
    <n v="0.31578947368421101"/>
    <n v="0.88284932783126602"/>
    <x v="6"/>
    <x v="1"/>
    <s v=""/>
    <s v=""/>
    <s v=""/>
    <s v=""/>
    <s v=""/>
  </r>
  <r>
    <s v="Ehestand_Tod_und_Hochzeit.csv"/>
    <s v="#Pfaffe"/>
    <x v="0"/>
    <s v="klerus:pfarrer"/>
    <x v="3"/>
    <x v="3"/>
    <x v="1"/>
    <x v="4"/>
    <x v="3"/>
    <n v="1.3333333333333299"/>
    <n v="0.66666666666666696"/>
    <n v="0.66666666666666696"/>
    <n v="0.114936789177064"/>
    <x v="3"/>
    <x v="1"/>
    <s v=""/>
    <s v=""/>
    <s v=""/>
    <s v=""/>
    <s v=""/>
  </r>
  <r>
    <s v="Ehestand_Tod_und_Hochzeit.csv"/>
    <s v="#Knehte-des-pfarrers"/>
    <x v="2"/>
    <s v="unbekannt:knecht"/>
    <x v="3"/>
    <x v="3"/>
    <x v="1"/>
    <x v="2"/>
    <x v="3"/>
    <n v="0.33333333333333298"/>
    <n v="0"/>
    <n v="0.42857142857142899"/>
    <n v="3.55400726737818E-3"/>
    <x v="3"/>
    <x v="1"/>
    <s v=""/>
    <s v=""/>
    <s v=""/>
    <s v=""/>
    <s v=""/>
  </r>
  <r>
    <s v="Ehestand_Tod_und_Hochzeit.csv"/>
    <s v="#Vriunde-des-mans"/>
    <x v="2"/>
    <s v="unbekannt"/>
    <x v="3"/>
    <x v="3"/>
    <x v="1"/>
    <x v="2"/>
    <x v="3"/>
    <n v="0.66666666666666696"/>
    <n v="6.6666666666666693E-2"/>
    <n v="0.46153846153846201"/>
    <n v="6.0229007039575899E-2"/>
    <x v="3"/>
    <x v="1"/>
    <s v=""/>
    <s v=""/>
    <s v=""/>
    <s v=""/>
    <s v=""/>
  </r>
  <r>
    <s v="Ehestand_Tod_und_Hochzeit.csv"/>
    <s v="#Lant-liute"/>
    <x v="2"/>
    <s v="unbekannt"/>
    <x v="3"/>
    <x v="3"/>
    <x v="1"/>
    <x v="2"/>
    <x v="3"/>
    <n v="0.33333333333333298"/>
    <n v="0"/>
    <n v="0.4"/>
    <n v="3.09214072606738E-2"/>
    <x v="3"/>
    <x v="1"/>
    <s v=""/>
    <s v=""/>
    <s v=""/>
    <s v=""/>
    <s v=""/>
  </r>
  <r>
    <s v="Ein_boeses_Weib_scheidet_eine_Ehe.csv"/>
    <s v="#Man"/>
    <x v="0"/>
    <s v="unbekannt"/>
    <x v="3"/>
    <x v="7"/>
    <x v="0"/>
    <x v="2"/>
    <x v="3"/>
    <n v="2"/>
    <n v="0"/>
    <n v="0.57142857142857095"/>
    <n v="1"/>
    <x v="5"/>
    <x v="1"/>
    <s v=""/>
    <n v="2"/>
    <s v=""/>
    <s v=""/>
    <s v=""/>
  </r>
  <r>
    <s v="Ein_boeses_Weib_scheidet_eine_Ehe.csv"/>
    <s v="#Wib"/>
    <x v="1"/>
    <s v="unbekannt"/>
    <x v="3"/>
    <x v="5"/>
    <x v="0"/>
    <x v="2"/>
    <x v="3"/>
    <n v="1.5"/>
    <n v="0"/>
    <n v="0.5"/>
    <n v="0.91119618750437403"/>
    <x v="5"/>
    <x v="1"/>
    <s v=""/>
    <n v="2"/>
    <s v=""/>
    <s v=""/>
    <s v=""/>
  </r>
  <r>
    <s v="Ein_boeses_Weib_scheidet_eine_Ehe.csv"/>
    <s v="#Gesellen"/>
    <x v="2"/>
    <s v="unbekannt"/>
    <x v="3"/>
    <x v="3"/>
    <x v="1"/>
    <x v="2"/>
    <x v="3"/>
    <n v="1.5"/>
    <n v="0.33333333333333298"/>
    <n v="0.66666666666666696"/>
    <n v="0.26212957968259598"/>
    <x v="3"/>
    <x v="1"/>
    <s v=""/>
    <s v=""/>
    <s v=""/>
    <s v=""/>
    <s v=""/>
  </r>
  <r>
    <s v="Ein_boeses_Weib_scheidet_eine_Ehe.csv"/>
    <s v="#Einer"/>
    <x v="0"/>
    <s v="unbekannt"/>
    <x v="3"/>
    <x v="11"/>
    <x v="1"/>
    <x v="2"/>
    <x v="3"/>
    <n v="1.5"/>
    <n v="0.33333333333333298"/>
    <n v="0.66666666666666696"/>
    <n v="0.34672333816259299"/>
    <x v="10"/>
    <x v="1"/>
    <s v=""/>
    <s v=""/>
    <s v=""/>
    <s v=""/>
    <n v="5"/>
  </r>
  <r>
    <s v="Ein_boeses_Weib_scheidet_eine_Ehe.csv"/>
    <s v="#Frowen"/>
    <x v="1"/>
    <s v="unbekannt"/>
    <x v="2"/>
    <x v="4"/>
    <x v="0"/>
    <x v="2"/>
    <x v="3"/>
    <n v="1.5"/>
    <n v="0"/>
    <n v="0.36363636363636398"/>
    <n v="0.86222985510054095"/>
    <x v="4"/>
    <x v="1"/>
    <n v="1"/>
    <s v=""/>
    <s v=""/>
    <s v=""/>
    <s v=""/>
  </r>
  <r>
    <s v="Frauenbestaendigkeit.csv"/>
    <s v="#Man"/>
    <x v="0"/>
    <s v="adel:ritter"/>
    <x v="3"/>
    <x v="21"/>
    <x v="0"/>
    <x v="1"/>
    <x v="3"/>
    <n v="2"/>
    <n v="0.65"/>
    <n v="0.38461538461538503"/>
    <n v="0.91789203004382203"/>
    <x v="4"/>
    <x v="1"/>
    <n v="1"/>
    <s v=""/>
    <s v=""/>
    <s v=""/>
    <s v=""/>
  </r>
  <r>
    <s v="Frauenbestaendigkeit.csv"/>
    <s v="#Vrouwe"/>
    <x v="1"/>
    <s v="adel:edelfrau"/>
    <x v="3"/>
    <x v="5"/>
    <x v="0"/>
    <x v="1"/>
    <x v="3"/>
    <n v="2"/>
    <n v="0"/>
    <n v="0.26315789473684198"/>
    <n v="1"/>
    <x v="5"/>
    <x v="1"/>
    <s v=""/>
    <n v="2"/>
    <s v=""/>
    <s v=""/>
    <s v=""/>
  </r>
  <r>
    <s v="Frauenbestaendigkeit.csv"/>
    <s v="#Kneht-Henselin"/>
    <x v="0"/>
    <s v="adel:knecht"/>
    <x v="0"/>
    <x v="4"/>
    <x v="0"/>
    <x v="1"/>
    <x v="3"/>
    <n v="0.8"/>
    <n v="0"/>
    <n v="0.12195121951219499"/>
    <n v="0.77147114603007705"/>
    <x v="4"/>
    <x v="1"/>
    <n v="1"/>
    <s v=""/>
    <s v=""/>
    <s v=""/>
    <s v=""/>
  </r>
  <r>
    <s v="Frauenbestaendigkeit.csv"/>
    <s v="#JÃºnk-vrouwen"/>
    <x v="2"/>
    <s v="adel:edelfrau"/>
    <x v="0"/>
    <x v="6"/>
    <x v="1"/>
    <x v="1"/>
    <x v="3"/>
    <n v="1.2"/>
    <n v="0"/>
    <n v="0.25"/>
    <n v="0.31461619084110198"/>
    <x v="6"/>
    <x v="1"/>
    <s v=""/>
    <s v=""/>
    <s v=""/>
    <s v=""/>
    <s v=""/>
  </r>
  <r>
    <s v="Frauenbestaendigkeit.csv"/>
    <s v="#Kamer-wip"/>
    <x v="1"/>
    <s v="adel:magd"/>
    <x v="2"/>
    <x v="6"/>
    <x v="1"/>
    <x v="1"/>
    <x v="3"/>
    <n v="1.2"/>
    <n v="0"/>
    <n v="0.3125"/>
    <n v="0.22741781155799601"/>
    <x v="6"/>
    <x v="1"/>
    <s v=""/>
    <s v=""/>
    <s v=""/>
    <s v=""/>
    <s v=""/>
  </r>
  <r>
    <s v="Frauenbestaendigkeit.csv"/>
    <s v="#Arzt"/>
    <x v="0"/>
    <s v="buergerlich:arzt"/>
    <x v="3"/>
    <x v="3"/>
    <x v="1"/>
    <x v="3"/>
    <x v="3"/>
    <n v="0.8"/>
    <n v="0.25"/>
    <n v="0.33333333333333298"/>
    <n v="9.5920579422089605E-2"/>
    <x v="3"/>
    <x v="1"/>
    <s v=""/>
    <s v=""/>
    <s v=""/>
    <s v=""/>
    <s v=""/>
  </r>
  <r>
    <s v="Frauenlist.csv"/>
    <s v="#Schuolaer"/>
    <x v="0"/>
    <s v="buergerlich:schueler"/>
    <x v="0"/>
    <x v="4"/>
    <x v="0"/>
    <x v="3"/>
    <x v="3"/>
    <n v="2"/>
    <n v="0.33333333333333298"/>
    <n v="0.3"/>
    <n v="0.96417092020800998"/>
    <x v="4"/>
    <x v="1"/>
    <n v="1"/>
    <s v=""/>
    <s v=""/>
    <s v=""/>
    <s v=""/>
  </r>
  <r>
    <s v="Frauenlist.csv"/>
    <s v="#Vrouwe"/>
    <x v="1"/>
    <s v="unbekannt"/>
    <x v="3"/>
    <x v="13"/>
    <x v="0"/>
    <x v="2"/>
    <x v="3"/>
    <n v="2"/>
    <n v="0"/>
    <n v="0.230769230769231"/>
    <n v="1"/>
    <x v="4"/>
    <x v="1"/>
    <n v="1"/>
    <s v=""/>
    <s v=""/>
    <s v=""/>
    <s v=""/>
  </r>
  <r>
    <s v="Frauenlist.csv"/>
    <s v="#Dirne"/>
    <x v="1"/>
    <s v="unbekannt:magd"/>
    <x v="3"/>
    <x v="3"/>
    <x v="1"/>
    <x v="2"/>
    <x v="3"/>
    <n v="1.3333333333333299"/>
    <n v="0.33333333333333298"/>
    <n v="0.3"/>
    <n v="0.177660242290957"/>
    <x v="3"/>
    <x v="1"/>
    <s v=""/>
    <s v=""/>
    <s v=""/>
    <s v=""/>
    <s v=""/>
  </r>
  <r>
    <s v="Frauenlist.csv"/>
    <s v="#E-man"/>
    <x v="0"/>
    <s v="unbekannt"/>
    <x v="3"/>
    <x v="7"/>
    <x v="1"/>
    <x v="2"/>
    <x v="3"/>
    <n v="1.3333333333333299"/>
    <n v="0"/>
    <n v="0.17647058823529399"/>
    <n v="0.49099623494289202"/>
    <x v="5"/>
    <x v="1"/>
    <s v=""/>
    <n v="2"/>
    <s v=""/>
    <s v=""/>
    <s v=""/>
  </r>
  <r>
    <s v="Frauentreue.csv"/>
    <s v="#Vrouwen"/>
    <x v="1"/>
    <s v="buergerlich:unbekannt"/>
    <x v="0"/>
    <x v="1"/>
    <x v="0"/>
    <x v="3"/>
    <x v="2"/>
    <n v="1.6666666666666701"/>
    <n v="0.266666666666667"/>
    <n v="0.26086956521739102"/>
    <n v="0.98310577465358695"/>
    <x v="1"/>
    <x v="2"/>
    <s v=""/>
    <s v=""/>
    <s v=""/>
    <s v=""/>
    <s v=""/>
  </r>
  <r>
    <s v="Frauentreue.csv"/>
    <s v="#Ritter"/>
    <x v="0"/>
    <s v="adel:ritter"/>
    <x v="3"/>
    <x v="10"/>
    <x v="0"/>
    <x v="1"/>
    <x v="2"/>
    <n v="2"/>
    <n v="0.4"/>
    <n v="0.3"/>
    <n v="1"/>
    <x v="9"/>
    <x v="2"/>
    <s v=""/>
    <s v=""/>
    <n v="3"/>
    <s v=""/>
    <s v=""/>
  </r>
  <r>
    <s v="Frauentreue.csv"/>
    <s v="#Buerger"/>
    <x v="0"/>
    <s v="buergerlich:unbekannt"/>
    <x v="0"/>
    <x v="0"/>
    <x v="0"/>
    <x v="3"/>
    <x v="2"/>
    <n v="1"/>
    <n v="0"/>
    <n v="0.17142857142857101"/>
    <n v="0.58393144868476099"/>
    <x v="0"/>
    <x v="2"/>
    <s v=""/>
    <s v=""/>
    <s v=""/>
    <s v=""/>
    <s v=""/>
  </r>
  <r>
    <s v="Frauentreue.csv"/>
    <s v="#Ein-tumber"/>
    <x v="0"/>
    <s v="unbekannt"/>
    <x v="3"/>
    <x v="18"/>
    <x v="1"/>
    <x v="2"/>
    <x v="2"/>
    <n v="0.33333333333333298"/>
    <n v="0"/>
    <n v="0.2"/>
    <n v="4.4644943960943498E-2"/>
    <x v="13"/>
    <x v="2"/>
    <s v=""/>
    <s v=""/>
    <s v=""/>
    <s v=""/>
    <s v=""/>
  </r>
  <r>
    <s v="Frauentreue.csv"/>
    <s v="#Arzt"/>
    <x v="0"/>
    <s v="buergerlich:arzt"/>
    <x v="3"/>
    <x v="3"/>
    <x v="1"/>
    <x v="3"/>
    <x v="2"/>
    <n v="0.66666666666666696"/>
    <n v="0.133333333333333"/>
    <n v="0.25"/>
    <n v="8.8912767049959804E-2"/>
    <x v="3"/>
    <x v="2"/>
    <s v=""/>
    <s v=""/>
    <s v=""/>
    <s v=""/>
    <s v=""/>
  </r>
  <r>
    <s v="Frauentreue.csv"/>
    <s v="#Magd-der-vrouwe"/>
    <x v="1"/>
    <s v="buergerlich:magd"/>
    <x v="3"/>
    <x v="3"/>
    <x v="1"/>
    <x v="3"/>
    <x v="2"/>
    <n v="1"/>
    <n v="0.33333333333333298"/>
    <n v="0.24"/>
    <n v="0.18081840717915701"/>
    <x v="3"/>
    <x v="2"/>
    <s v=""/>
    <s v=""/>
    <s v=""/>
    <s v=""/>
    <s v=""/>
  </r>
  <r>
    <s v="Frauentreue.csv"/>
    <s v="#Ritters-knehte"/>
    <x v="2"/>
    <s v="adel:knecht"/>
    <x v="3"/>
    <x v="3"/>
    <x v="1"/>
    <x v="1"/>
    <x v="2"/>
    <n v="0.66666666666666696"/>
    <n v="0"/>
    <n v="0.22222222222222199"/>
    <n v="0.11085811815850501"/>
    <x v="3"/>
    <x v="2"/>
    <s v=""/>
    <s v=""/>
    <s v=""/>
    <s v=""/>
    <s v=""/>
  </r>
  <r>
    <s v="Frauenzucht.csv"/>
    <s v="#Vater"/>
    <x v="0"/>
    <s v="adel:ritter"/>
    <x v="3"/>
    <x v="8"/>
    <x v="0"/>
    <x v="1"/>
    <x v="3"/>
    <n v="1.2"/>
    <n v="0"/>
    <n v="0.12195121951219499"/>
    <n v="0.86660102782214898"/>
    <x v="7"/>
    <x v="1"/>
    <s v=""/>
    <s v=""/>
    <s v=""/>
    <s v=""/>
    <s v=""/>
  </r>
  <r>
    <s v="Frauenzucht.csv"/>
    <s v="#Muoter"/>
    <x v="1"/>
    <s v="adel:edelfrau"/>
    <x v="3"/>
    <x v="9"/>
    <x v="0"/>
    <x v="1"/>
    <x v="3"/>
    <n v="1.6"/>
    <n v="0.1"/>
    <n v="0.27777777777777801"/>
    <n v="0.86875827609624301"/>
    <x v="8"/>
    <x v="1"/>
    <s v=""/>
    <s v=""/>
    <s v=""/>
    <s v=""/>
    <s v=""/>
  </r>
  <r>
    <s v="Frauenzucht.csv"/>
    <s v="#Tohter"/>
    <x v="1"/>
    <s v="adel:edelfrau"/>
    <x v="0"/>
    <x v="1"/>
    <x v="0"/>
    <x v="1"/>
    <x v="3"/>
    <n v="1.6"/>
    <n v="0.15"/>
    <n v="0.29411764705882398"/>
    <n v="0.90345687342862402"/>
    <x v="1"/>
    <x v="1"/>
    <s v=""/>
    <s v=""/>
    <s v=""/>
    <s v=""/>
    <s v=""/>
  </r>
  <r>
    <s v="Frauenzucht.csv"/>
    <s v="#Ritter"/>
    <x v="0"/>
    <s v="adel:ritter"/>
    <x v="3"/>
    <x v="0"/>
    <x v="0"/>
    <x v="1"/>
    <x v="3"/>
    <n v="2"/>
    <n v="0.4"/>
    <n v="0.33333333333333298"/>
    <n v="1"/>
    <x v="0"/>
    <x v="1"/>
    <s v=""/>
    <s v=""/>
    <s v=""/>
    <s v=""/>
    <s v=""/>
  </r>
  <r>
    <s v="Frauenzucht.csv"/>
    <s v="#Sin-vriunt"/>
    <x v="2"/>
    <s v="unbekannt"/>
    <x v="3"/>
    <x v="3"/>
    <x v="1"/>
    <x v="2"/>
    <x v="3"/>
    <n v="0.8"/>
    <n v="0.35"/>
    <n v="0.33333333333333298"/>
    <n v="7.4055764941341307E-2"/>
    <x v="3"/>
    <x v="1"/>
    <s v=""/>
    <s v=""/>
    <s v=""/>
    <s v=""/>
    <s v=""/>
  </r>
  <r>
    <s v="Frauenzucht.csv"/>
    <s v="#Zwen-knehte"/>
    <x v="2"/>
    <s v="adel:knecht"/>
    <x v="3"/>
    <x v="3"/>
    <x v="1"/>
    <x v="1"/>
    <x v="3"/>
    <n v="0.8"/>
    <n v="0.3"/>
    <n v="0.3125"/>
    <n v="7.2705783650085301E-2"/>
    <x v="3"/>
    <x v="1"/>
    <s v=""/>
    <s v=""/>
    <s v=""/>
    <s v=""/>
    <s v=""/>
  </r>
  <r>
    <s v="Heinrich_von_Kempten_und_des_Kaisers_Bart.csv"/>
    <s v="#Keiser-Otte"/>
    <x v="0"/>
    <s v="adel:kaiser"/>
    <x v="3"/>
    <x v="11"/>
    <x v="0"/>
    <x v="1"/>
    <x v="1"/>
    <n v="1.5"/>
    <n v="0.42857142857142899"/>
    <n v="0.42105263157894701"/>
    <n v="0.979312096629257"/>
    <x v="10"/>
    <x v="3"/>
    <s v=""/>
    <s v=""/>
    <s v=""/>
    <s v=""/>
    <n v="5"/>
  </r>
  <r>
    <s v="Heinrich_von_Kempten_und_des_Kaisers_Bart.csv"/>
    <s v="#Junk-herre-von-Heinrich"/>
    <x v="0"/>
    <s v="adel:unbekannt"/>
    <x v="0"/>
    <x v="3"/>
    <x v="1"/>
    <x v="1"/>
    <x v="1"/>
    <n v="0.75"/>
    <n v="0.107142857142857"/>
    <n v="0.4"/>
    <n v="0.116909047627392"/>
    <x v="3"/>
    <x v="3"/>
    <s v=""/>
    <s v=""/>
    <s v=""/>
    <s v=""/>
    <s v=""/>
  </r>
  <r>
    <s v="Heinrich_von_Kempten_und_des_Kaisers_Bart.csv"/>
    <s v="#Truhsaeze"/>
    <x v="0"/>
    <s v="buergerlich:truhtsaeze"/>
    <x v="3"/>
    <x v="11"/>
    <x v="1"/>
    <x v="3"/>
    <x v="1"/>
    <n v="0.75"/>
    <n v="0"/>
    <n v="0.34782608695652201"/>
    <n v="0.147888950359849"/>
    <x v="10"/>
    <x v="3"/>
    <s v=""/>
    <s v=""/>
    <s v=""/>
    <s v=""/>
    <n v="5"/>
  </r>
  <r>
    <s v="Heinrich_von_Kempten_und_des_Kaisers_Bart.csv"/>
    <s v="#Heinrich-von-Kempten"/>
    <x v="0"/>
    <s v="adel:ritter"/>
    <x v="3"/>
    <x v="14"/>
    <x v="0"/>
    <x v="1"/>
    <x v="1"/>
    <n v="1.75"/>
    <n v="0.42857142857142899"/>
    <n v="0.38095238095238099"/>
    <n v="1"/>
    <x v="5"/>
    <x v="3"/>
    <s v=""/>
    <n v="2"/>
    <s v=""/>
    <s v=""/>
    <s v=""/>
  </r>
  <r>
    <s v="Heinrich_von_Kempten_und_des_Kaisers_Bart.csv"/>
    <s v="#Herr-von-Heinrich"/>
    <x v="0"/>
    <s v="adel:unbekannt"/>
    <x v="3"/>
    <x v="6"/>
    <x v="0"/>
    <x v="1"/>
    <x v="1"/>
    <n v="0.5"/>
    <n v="0"/>
    <n v="0.24242424242424199"/>
    <n v="0.10375008095898"/>
    <x v="6"/>
    <x v="3"/>
    <s v=""/>
    <s v=""/>
    <s v=""/>
    <s v=""/>
    <s v=""/>
  </r>
  <r>
    <s v="Heinrich_von_Kempten_und_des_Kaisers_Bart.csv"/>
    <s v="#Bote"/>
    <x v="0"/>
    <s v="unbekannt"/>
    <x v="3"/>
    <x v="15"/>
    <x v="1"/>
    <x v="2"/>
    <x v="1"/>
    <n v="0.5"/>
    <n v="0.25"/>
    <n v="0.30769230769230799"/>
    <n v="3.7697681684529097E-2"/>
    <x v="12"/>
    <x v="3"/>
    <s v=""/>
    <s v=""/>
    <s v=""/>
    <s v=""/>
    <s v=""/>
  </r>
  <r>
    <s v="Heinrich_von_Kempten_und_des_Kaisers_Bart.csv"/>
    <s v="#Burgaere"/>
    <x v="2"/>
    <s v="buergerlich:buerger"/>
    <x v="3"/>
    <x v="18"/>
    <x v="1"/>
    <x v="3"/>
    <x v="1"/>
    <n v="0.75"/>
    <n v="0"/>
    <n v="0.25"/>
    <n v="0.31297245224541198"/>
    <x v="13"/>
    <x v="3"/>
    <s v=""/>
    <s v=""/>
    <s v=""/>
    <s v=""/>
    <s v=""/>
  </r>
  <r>
    <s v="Heinrich_von_Kempten_und_des_Kaisers_Bart.csv"/>
    <s v="#Keiser-maere"/>
    <x v="2"/>
    <s v="unbekannt"/>
    <x v="3"/>
    <x v="18"/>
    <x v="1"/>
    <x v="2"/>
    <x v="1"/>
    <n v="0.75"/>
    <n v="0.35714285714285698"/>
    <n v="0.44444444444444398"/>
    <n v="0.12313460552687901"/>
    <x v="13"/>
    <x v="3"/>
    <s v=""/>
    <s v=""/>
    <s v=""/>
    <s v=""/>
    <s v=""/>
  </r>
  <r>
    <s v="Heinrich_von_Kempten_und_des_Kaisers_Bart.csv"/>
    <s v="#Vuersten"/>
    <x v="2"/>
    <s v="adel:fuerst"/>
    <x v="3"/>
    <x v="3"/>
    <x v="1"/>
    <x v="1"/>
    <x v="1"/>
    <n v="0.25"/>
    <n v="0"/>
    <n v="0.30769230769230799"/>
    <n v="3.3447604059483202E-2"/>
    <x v="3"/>
    <x v="3"/>
    <s v=""/>
    <s v=""/>
    <s v=""/>
    <s v=""/>
    <s v=""/>
  </r>
  <r>
    <s v="Hero_und_Leander.csv"/>
    <s v="#Leander"/>
    <x v="0"/>
    <s v="adel:unbekannt"/>
    <x v="0"/>
    <x v="10"/>
    <x v="0"/>
    <x v="1"/>
    <x v="2"/>
    <n v="1.1428571428571399"/>
    <n v="0.476190476190476"/>
    <n v="0.28000000000000003"/>
    <n v="1"/>
    <x v="9"/>
    <x v="2"/>
    <s v=""/>
    <s v=""/>
    <n v="3"/>
    <s v=""/>
    <s v=""/>
  </r>
  <r>
    <s v="Hero_und_Leander.csv"/>
    <s v="#Vater-Leanders"/>
    <x v="0"/>
    <s v="adel:unbekannt"/>
    <x v="2"/>
    <x v="8"/>
    <x v="1"/>
    <x v="1"/>
    <x v="2"/>
    <n v="0.57142857142857095"/>
    <n v="0"/>
    <n v="0.2"/>
    <n v="0.19612003075071399"/>
    <x v="7"/>
    <x v="2"/>
    <s v=""/>
    <s v=""/>
    <s v=""/>
    <s v=""/>
    <s v=""/>
  </r>
  <r>
    <s v="Hero_und_Leander.csv"/>
    <s v="#Muoter-Leanders"/>
    <x v="1"/>
    <s v="adel:unbekannt"/>
    <x v="2"/>
    <x v="9"/>
    <x v="1"/>
    <x v="1"/>
    <x v="2"/>
    <n v="0.57142857142857095"/>
    <n v="0"/>
    <n v="0.2"/>
    <n v="0.19612003075071399"/>
    <x v="8"/>
    <x v="2"/>
    <s v=""/>
    <s v=""/>
    <s v=""/>
    <s v=""/>
    <s v=""/>
  </r>
  <r>
    <s v="Hero_und_Leander.csv"/>
    <s v="#Hero"/>
    <x v="1"/>
    <s v="adel:koenigstochter"/>
    <x v="0"/>
    <x v="12"/>
    <x v="0"/>
    <x v="1"/>
    <x v="2"/>
    <n v="1.4285714285714299"/>
    <n v="0.57142857142857095"/>
    <n v="0.33333333333333298"/>
    <n v="0.97859293433193695"/>
    <x v="11"/>
    <x v="2"/>
    <s v=""/>
    <s v=""/>
    <s v=""/>
    <n v="4"/>
    <s v=""/>
  </r>
  <r>
    <s v="Hero_und_Leander.csv"/>
    <s v="#Vater-Heros"/>
    <x v="0"/>
    <s v="adel:unbekannt"/>
    <x v="5"/>
    <x v="8"/>
    <x v="1"/>
    <x v="1"/>
    <x v="2"/>
    <n v="0.85714285714285698"/>
    <n v="0"/>
    <n v="0.28000000000000003"/>
    <n v="9.5960838186805605E-2"/>
    <x v="7"/>
    <x v="2"/>
    <s v=""/>
    <s v=""/>
    <s v=""/>
    <s v=""/>
    <s v=""/>
  </r>
  <r>
    <s v="Hero_und_Leander.csv"/>
    <s v="#Muoter-Heros"/>
    <x v="1"/>
    <s v="adel:unbekannt"/>
    <x v="5"/>
    <x v="9"/>
    <x v="1"/>
    <x v="1"/>
    <x v="2"/>
    <n v="0.85714285714285698"/>
    <n v="0"/>
    <n v="0.28000000000000003"/>
    <n v="9.5960838186805703E-2"/>
    <x v="8"/>
    <x v="2"/>
    <s v=""/>
    <s v=""/>
    <s v=""/>
    <s v=""/>
    <s v=""/>
  </r>
  <r>
    <s v="Hero_und_Leander.csv"/>
    <s v="#Amme-Heros"/>
    <x v="1"/>
    <s v="adel:amme"/>
    <x v="2"/>
    <x v="3"/>
    <x v="1"/>
    <x v="1"/>
    <x v="2"/>
    <n v="0.85714285714285698"/>
    <n v="0"/>
    <n v="0.28000000000000003"/>
    <n v="9.59608381868058E-2"/>
    <x v="3"/>
    <x v="2"/>
    <s v=""/>
    <s v=""/>
    <s v=""/>
    <s v=""/>
    <s v=""/>
  </r>
  <r>
    <s v="Hero_und_Leander.csv"/>
    <s v="#Vischer"/>
    <x v="0"/>
    <s v="buergerlich:fischer"/>
    <x v="3"/>
    <x v="15"/>
    <x v="1"/>
    <x v="3"/>
    <x v="2"/>
    <n v="0.57142857142857095"/>
    <n v="0.57142857142857095"/>
    <n v="0.33333333333333298"/>
    <n v="0.324417029351796"/>
    <x v="12"/>
    <x v="2"/>
    <s v=""/>
    <s v=""/>
    <s v=""/>
    <s v=""/>
    <s v=""/>
  </r>
  <r>
    <s v="Herr_Friedrich_von_Auchenfurt.csv"/>
    <s v="#Keiser"/>
    <x v="0"/>
    <s v="adel:kaiser"/>
    <x v="3"/>
    <x v="3"/>
    <x v="1"/>
    <x v="1"/>
    <x v="3"/>
    <n v="0.4"/>
    <n v="0"/>
    <n v="0.45454545454545497"/>
    <n v="5.6313443279017203E-2"/>
    <x v="3"/>
    <x v="2"/>
    <s v=""/>
    <s v=""/>
    <s v=""/>
    <s v=""/>
    <s v=""/>
  </r>
  <r>
    <s v="Herr_Friedrich_von_Auchenfurt.csv"/>
    <s v="#Ouchenvurt-ber-Vrid(e)rich"/>
    <x v="0"/>
    <s v="adel:ritter"/>
    <x v="3"/>
    <x v="10"/>
    <x v="0"/>
    <x v="1"/>
    <x v="3"/>
    <n v="2"/>
    <n v="0.9"/>
    <n v="0.71428571428571397"/>
    <n v="0.943623203090448"/>
    <x v="9"/>
    <x v="2"/>
    <s v=""/>
    <s v=""/>
    <n v="3"/>
    <s v=""/>
    <s v=""/>
  </r>
  <r>
    <s v="Herr_Friedrich_von_Auchenfurt.csv"/>
    <s v="#Graevin"/>
    <x v="1"/>
    <s v="adel:graefin"/>
    <x v="3"/>
    <x v="5"/>
    <x v="0"/>
    <x v="1"/>
    <x v="3"/>
    <n v="1.2"/>
    <n v="0"/>
    <n v="0.38461538461538503"/>
    <n v="1"/>
    <x v="5"/>
    <x v="2"/>
    <s v=""/>
    <n v="2"/>
    <s v=""/>
    <s v=""/>
    <s v=""/>
  </r>
  <r>
    <s v="Herr_Friedrich_von_Auchenfurt.csv"/>
    <s v="#Grave"/>
    <x v="0"/>
    <s v="adel:graf"/>
    <x v="3"/>
    <x v="0"/>
    <x v="1"/>
    <x v="1"/>
    <x v="3"/>
    <n v="0.8"/>
    <n v="0"/>
    <n v="0.45454545454545497"/>
    <n v="0.41438079322072602"/>
    <x v="0"/>
    <x v="2"/>
    <s v=""/>
    <s v=""/>
    <s v=""/>
    <s v=""/>
    <s v=""/>
  </r>
  <r>
    <s v="Herr_Friedrich_von_Auchenfurt.csv"/>
    <s v="#Ritter"/>
    <x v="0"/>
    <s v="adel:ritter"/>
    <x v="3"/>
    <x v="18"/>
    <x v="1"/>
    <x v="1"/>
    <x v="3"/>
    <n v="0.4"/>
    <n v="0"/>
    <n v="0.33333333333333298"/>
    <n v="0.112626886558034"/>
    <x v="13"/>
    <x v="2"/>
    <s v=""/>
    <s v=""/>
    <s v=""/>
    <s v=""/>
    <s v=""/>
  </r>
  <r>
    <s v="Herr_Friedrich_von_Auchenfurt.csv"/>
    <s v="#Junk-vrouwen-der-graefin"/>
    <x v="2"/>
    <s v="adel:hofstaat"/>
    <x v="3"/>
    <x v="15"/>
    <x v="1"/>
    <x v="1"/>
    <x v="3"/>
    <n v="0.8"/>
    <n v="0.4"/>
    <n v="0.55555555555555602"/>
    <n v="0.115991334935969"/>
    <x v="12"/>
    <x v="2"/>
    <s v=""/>
    <s v=""/>
    <s v=""/>
    <s v=""/>
    <s v=""/>
  </r>
  <r>
    <s v="Irregang_und_Girregar.csv"/>
    <s v="#Geselle-1"/>
    <x v="0"/>
    <s v="unbekannt"/>
    <x v="3"/>
    <x v="19"/>
    <x v="0"/>
    <x v="2"/>
    <x v="3"/>
    <n v="2"/>
    <n v="0.11111111111111099"/>
    <n v="0.269230769230769"/>
    <n v="1"/>
    <x v="4"/>
    <x v="1"/>
    <n v="1"/>
    <s v=""/>
    <s v=""/>
    <s v=""/>
    <s v=""/>
  </r>
  <r>
    <s v="Irregang_und_Girregar.csv"/>
    <s v="#Geselle-2"/>
    <x v="0"/>
    <s v="unbekannt"/>
    <x v="3"/>
    <x v="19"/>
    <x v="0"/>
    <x v="2"/>
    <x v="3"/>
    <n v="2"/>
    <n v="3.1746031746031703E-2"/>
    <n v="0.233333333333333"/>
    <n v="0.83169000866847098"/>
    <x v="4"/>
    <x v="1"/>
    <n v="1"/>
    <s v=""/>
    <s v=""/>
    <s v=""/>
    <s v=""/>
  </r>
  <r>
    <s v="Irregang_und_Girregar.csv"/>
    <s v="#Maget"/>
    <x v="1"/>
    <s v="unbekannt"/>
    <x v="0"/>
    <x v="26"/>
    <x v="0"/>
    <x v="2"/>
    <x v="3"/>
    <n v="1.4285714285714299"/>
    <n v="0"/>
    <n v="0.116666666666667"/>
    <n v="0.739252769085332"/>
    <x v="4"/>
    <x v="1"/>
    <n v="1"/>
    <s v=""/>
    <s v=""/>
    <s v=""/>
    <s v=""/>
  </r>
  <r>
    <s v="Irregang_und_Girregar.csv"/>
    <s v="#Wirt"/>
    <x v="0"/>
    <s v="unbekannt"/>
    <x v="2"/>
    <x v="7"/>
    <x v="0"/>
    <x v="2"/>
    <x v="3"/>
    <n v="2"/>
    <n v="0.11111111111111099"/>
    <n v="0.269230769230769"/>
    <n v="0.77204975762844896"/>
    <x v="5"/>
    <x v="1"/>
    <s v=""/>
    <n v="2"/>
    <s v=""/>
    <s v=""/>
    <s v=""/>
  </r>
  <r>
    <s v="Irregang_und_Girregar.csv"/>
    <s v="#Bote"/>
    <x v="0"/>
    <s v="unbekannt"/>
    <x v="3"/>
    <x v="15"/>
    <x v="1"/>
    <x v="2"/>
    <x v="3"/>
    <n v="0.85714285714285698"/>
    <n v="0.182539682539683"/>
    <n v="0.25"/>
    <n v="2.3894815022153799E-2"/>
    <x v="12"/>
    <x v="1"/>
    <s v=""/>
    <s v=""/>
    <s v=""/>
    <s v=""/>
    <s v=""/>
  </r>
  <r>
    <s v="Irregang_und_Girregar.csv"/>
    <s v="#Gesinde"/>
    <x v="2"/>
    <s v="unbekannt"/>
    <x v="3"/>
    <x v="3"/>
    <x v="1"/>
    <x v="2"/>
    <x v="3"/>
    <n v="1.4285714285714299"/>
    <n v="0.28571428571428598"/>
    <n v="0.194444444444444"/>
    <n v="0.19775098609363001"/>
    <x v="3"/>
    <x v="1"/>
    <s v=""/>
    <s v=""/>
    <s v=""/>
    <s v=""/>
    <s v=""/>
  </r>
  <r>
    <s v="Irregang_und_Girregar.csv"/>
    <s v="#Wirtin"/>
    <x v="1"/>
    <s v="unbekannt"/>
    <x v="0"/>
    <x v="13"/>
    <x v="0"/>
    <x v="2"/>
    <x v="3"/>
    <n v="1.71428571428571"/>
    <n v="0.34920634920634902"/>
    <n v="0.233333333333333"/>
    <n v="0.59838906358420996"/>
    <x v="4"/>
    <x v="1"/>
    <n v="1"/>
    <s v=""/>
    <s v=""/>
    <s v=""/>
    <s v=""/>
  </r>
  <r>
    <s v="Irregang_und_Girregar.csv"/>
    <s v="#Kint"/>
    <x v="3"/>
    <s v="unbekannt"/>
    <x v="1"/>
    <x v="2"/>
    <x v="1"/>
    <x v="2"/>
    <x v="3"/>
    <n v="1.1428571428571399"/>
    <n v="0.46825396825396798"/>
    <n v="0.29166666666666702"/>
    <n v="5.5634294847443901E-2"/>
    <x v="2"/>
    <x v="1"/>
    <s v=""/>
    <s v=""/>
    <s v=""/>
    <s v=""/>
    <s v=""/>
  </r>
  <r>
    <s v="Martinsfest.csv"/>
    <s v="#Man"/>
    <x v="0"/>
    <s v="bauer"/>
    <x v="3"/>
    <x v="14"/>
    <x v="0"/>
    <x v="5"/>
    <x v="1"/>
    <n v="2"/>
    <n v="0"/>
    <n v="0.29411764705882398"/>
    <n v="1"/>
    <x v="5"/>
    <x v="1"/>
    <s v=""/>
    <n v="2"/>
    <s v=""/>
    <s v=""/>
    <s v=""/>
  </r>
  <r>
    <s v="Martinsfest.csv"/>
    <s v="#Gesinde"/>
    <x v="2"/>
    <s v="bauer"/>
    <x v="3"/>
    <x v="3"/>
    <x v="1"/>
    <x v="5"/>
    <x v="1"/>
    <n v="2"/>
    <n v="0"/>
    <n v="0.41666666666666702"/>
    <n v="0.74076625529934303"/>
    <x v="3"/>
    <x v="1"/>
    <s v=""/>
    <s v=""/>
    <s v=""/>
    <s v=""/>
    <s v=""/>
  </r>
  <r>
    <s v="Martinsfest.csv"/>
    <s v="#Diebe"/>
    <x v="2"/>
    <s v="NA"/>
    <x v="3"/>
    <x v="11"/>
    <x v="1"/>
    <x v="0"/>
    <x v="1"/>
    <n v="1.2"/>
    <n v="0.15"/>
    <n v="0.41666666666666702"/>
    <n v="0.39059917548970902"/>
    <x v="10"/>
    <x v="1"/>
    <s v=""/>
    <s v=""/>
    <s v=""/>
    <s v=""/>
    <n v="5"/>
  </r>
  <r>
    <s v="Martinsfest.csv"/>
    <s v="#Dieb"/>
    <x v="0"/>
    <s v="NA"/>
    <x v="3"/>
    <x v="4"/>
    <x v="1"/>
    <x v="0"/>
    <x v="1"/>
    <n v="2"/>
    <n v="0.25"/>
    <n v="0.5"/>
    <n v="0.735962824898442"/>
    <x v="4"/>
    <x v="1"/>
    <n v="1"/>
    <s v=""/>
    <s v=""/>
    <s v=""/>
    <s v=""/>
  </r>
  <r>
    <s v="Martinsfest.csv"/>
    <s v="#KnÃ©hte"/>
    <x v="2"/>
    <s v="bauer:knecht"/>
    <x v="3"/>
    <x v="3"/>
    <x v="1"/>
    <x v="5"/>
    <x v="1"/>
    <n v="1.6"/>
    <n v="0.05"/>
    <n v="0.45454545454545497"/>
    <n v="0.50120521923078298"/>
    <x v="3"/>
    <x v="1"/>
    <s v=""/>
    <s v=""/>
    <s v=""/>
    <s v=""/>
    <s v=""/>
  </r>
  <r>
    <s v="Martinsfest.csv"/>
    <s v="#Wip"/>
    <x v="1"/>
    <s v="bauer"/>
    <x v="3"/>
    <x v="1"/>
    <x v="1"/>
    <x v="5"/>
    <x v="1"/>
    <n v="1.6"/>
    <n v="0"/>
    <n v="0.41666666666666702"/>
    <n v="0.56931726303234798"/>
    <x v="1"/>
    <x v="1"/>
    <s v=""/>
    <s v=""/>
    <s v=""/>
    <s v=""/>
    <s v=""/>
  </r>
  <r>
    <s v="Minnedurst.csv"/>
    <s v="#Wip"/>
    <x v="1"/>
    <s v="buergerlich:unbekannt"/>
    <x v="0"/>
    <x v="13"/>
    <x v="0"/>
    <x v="3"/>
    <x v="3"/>
    <n v="2"/>
    <n v="0.16666666666666699"/>
    <n v="0.44444444444444398"/>
    <n v="1"/>
    <x v="4"/>
    <x v="1"/>
    <n v="1"/>
    <s v=""/>
    <s v=""/>
    <s v=""/>
    <s v=""/>
  </r>
  <r>
    <s v="Minnedurst.csv"/>
    <s v="#Man"/>
    <x v="0"/>
    <s v="buergerlich:unbekannt"/>
    <x v="3"/>
    <x v="7"/>
    <x v="1"/>
    <x v="3"/>
    <x v="3"/>
    <n v="2"/>
    <n v="0.16666666666666699"/>
    <n v="0.44444444444444398"/>
    <n v="0.78652875862854299"/>
    <x v="5"/>
    <x v="1"/>
    <s v=""/>
    <n v="2"/>
    <s v=""/>
    <s v=""/>
    <s v=""/>
  </r>
  <r>
    <s v="Minnedurst.csv"/>
    <s v="#Knabe"/>
    <x v="0"/>
    <s v="unbekannt"/>
    <x v="0"/>
    <x v="19"/>
    <x v="0"/>
    <x v="2"/>
    <x v="3"/>
    <n v="1.5"/>
    <n v="0"/>
    <n v="0.266666666666667"/>
    <n v="0.93947963678087598"/>
    <x v="4"/>
    <x v="1"/>
    <n v="1"/>
    <s v=""/>
    <s v=""/>
    <s v=""/>
    <s v=""/>
  </r>
  <r>
    <s v="Minnedurst.csv"/>
    <s v="#Meier"/>
    <x v="0"/>
    <s v="buergerlich:meyer"/>
    <x v="3"/>
    <x v="8"/>
    <x v="1"/>
    <x v="3"/>
    <x v="3"/>
    <n v="1.5"/>
    <n v="0.5"/>
    <n v="0.44444444444444398"/>
    <n v="0.22521804258280201"/>
    <x v="7"/>
    <x v="1"/>
    <s v=""/>
    <s v=""/>
    <s v=""/>
    <s v=""/>
    <s v=""/>
  </r>
  <r>
    <s v="Minnedurst.csv"/>
    <s v="#Wirt"/>
    <x v="0"/>
    <s v="buergerlich:wirt"/>
    <x v="3"/>
    <x v="3"/>
    <x v="1"/>
    <x v="3"/>
    <x v="3"/>
    <n v="1"/>
    <n v="0.16666666666666699"/>
    <n v="0.4"/>
    <n v="7.3799939632206296E-2"/>
    <x v="3"/>
    <x v="1"/>
    <s v=""/>
    <s v=""/>
    <s v=""/>
    <s v=""/>
    <s v=""/>
  </r>
  <r>
    <s v="Rittertreue.csv"/>
    <s v="#Ritter"/>
    <x v="0"/>
    <s v="adel:ritter"/>
    <x v="5"/>
    <x v="6"/>
    <x v="0"/>
    <x v="1"/>
    <x v="0"/>
    <n v="0.33333333333333298"/>
    <n v="0"/>
    <n v="0.26086956521739102"/>
    <n v="0.58180079134140095"/>
    <x v="6"/>
    <x v="3"/>
    <s v=""/>
    <s v=""/>
    <s v=""/>
    <s v=""/>
    <s v=""/>
  </r>
  <r>
    <s v="Rittertreue.csv"/>
    <s v="#Grave-Willekin"/>
    <x v="0"/>
    <s v="adel:ritter"/>
    <x v="0"/>
    <x v="3"/>
    <x v="0"/>
    <x v="1"/>
    <x v="0"/>
    <n v="1.6666666666666701"/>
    <n v="0.174242424242424"/>
    <n v="0.33333333333333298"/>
    <n v="1"/>
    <x v="3"/>
    <x v="3"/>
    <s v=""/>
    <s v=""/>
    <s v=""/>
    <s v=""/>
    <s v=""/>
  </r>
  <r>
    <s v="Rittertreue.csv"/>
    <s v="#Vater-Willekins"/>
    <x v="0"/>
    <s v="adel:unbekannt"/>
    <x v="2"/>
    <x v="8"/>
    <x v="1"/>
    <x v="1"/>
    <x v="0"/>
    <n v="0.66666666666666696"/>
    <n v="7.5757575757575801E-2"/>
    <n v="0.375"/>
    <n v="0.25966705918486499"/>
    <x v="7"/>
    <x v="3"/>
    <s v=""/>
    <s v=""/>
    <s v=""/>
    <s v=""/>
    <s v=""/>
  </r>
  <r>
    <s v="Rittertreue.csv"/>
    <s v="#Junc-vrouwe"/>
    <x v="1"/>
    <s v="adel:edelfrau"/>
    <x v="0"/>
    <x v="6"/>
    <x v="1"/>
    <x v="1"/>
    <x v="0"/>
    <n v="1.3333333333333299"/>
    <n v="0.54545454545454497"/>
    <n v="0.5"/>
    <n v="0.61955072261073696"/>
    <x v="6"/>
    <x v="3"/>
    <s v=""/>
    <s v=""/>
    <s v=""/>
    <s v=""/>
    <s v=""/>
  </r>
  <r>
    <s v="Rittertreue.csv"/>
    <s v="#Rat-geben-der-vrouwe"/>
    <x v="2"/>
    <s v="adel:ratgeber"/>
    <x v="3"/>
    <x v="23"/>
    <x v="1"/>
    <x v="1"/>
    <x v="0"/>
    <n v="0.16666666666666699"/>
    <n v="0"/>
    <n v="0.34285714285714303"/>
    <n v="1.9762766371668E-2"/>
    <x v="16"/>
    <x v="3"/>
    <s v=""/>
    <s v=""/>
    <s v=""/>
    <s v=""/>
    <s v=""/>
  </r>
  <r>
    <s v="Rittertreue.csv"/>
    <s v="#Kneht(e-)-der-vrouwe"/>
    <x v="2"/>
    <s v="adel:knecht"/>
    <x v="3"/>
    <x v="3"/>
    <x v="1"/>
    <x v="1"/>
    <x v="0"/>
    <n v="0.66666666666666696"/>
    <n v="0.11363636363636399"/>
    <n v="0.38709677419354799"/>
    <n v="0.12399173468724201"/>
    <x v="3"/>
    <x v="3"/>
    <s v=""/>
    <s v=""/>
    <s v=""/>
    <s v=""/>
    <s v=""/>
  </r>
  <r>
    <s v="Rittertreue.csv"/>
    <s v="#Garzuon"/>
    <x v="0"/>
    <s v="buergerlich:garzuon"/>
    <x v="3"/>
    <x v="15"/>
    <x v="1"/>
    <x v="3"/>
    <x v="0"/>
    <n v="0.66666666666666696"/>
    <n v="2.5252525252525301E-2"/>
    <n v="0.38709677419354799"/>
    <n v="0.23995819381793601"/>
    <x v="12"/>
    <x v="3"/>
    <s v=""/>
    <s v=""/>
    <s v=""/>
    <s v=""/>
    <s v=""/>
  </r>
  <r>
    <s v="Rittertreue.csv"/>
    <s v="#Willekins-kneht"/>
    <x v="0"/>
    <s v="adel:knecht"/>
    <x v="3"/>
    <x v="15"/>
    <x v="1"/>
    <x v="1"/>
    <x v="0"/>
    <n v="0.83333333333333304"/>
    <n v="2.27272727272727E-2"/>
    <n v="0.30769230769230799"/>
    <n v="0.40048964481880001"/>
    <x v="12"/>
    <x v="3"/>
    <s v=""/>
    <s v=""/>
    <s v=""/>
    <s v=""/>
    <s v=""/>
  </r>
  <r>
    <s v="Rittertreue.csv"/>
    <s v="#Muoter-Willekins"/>
    <x v="1"/>
    <s v="adel:edelfrau"/>
    <x v="2"/>
    <x v="9"/>
    <x v="1"/>
    <x v="1"/>
    <x v="0"/>
    <n v="0.16666666666666699"/>
    <n v="0"/>
    <n v="0.25531914893617003"/>
    <n v="3.1898544623415598E-2"/>
    <x v="8"/>
    <x v="3"/>
    <s v=""/>
    <s v=""/>
    <s v=""/>
    <s v=""/>
    <s v=""/>
  </r>
  <r>
    <s v="Rittertreue.csv"/>
    <s v="#Richer-manne-dri"/>
    <x v="2"/>
    <s v="buergerlich:buerger"/>
    <x v="3"/>
    <x v="3"/>
    <x v="1"/>
    <x v="3"/>
    <x v="0"/>
    <n v="0.33333333333333298"/>
    <n v="1.5151515151515201E-2"/>
    <n v="0.34285714285714303"/>
    <n v="3.8564869156755999E-2"/>
    <x v="3"/>
    <x v="3"/>
    <s v=""/>
    <s v=""/>
    <s v=""/>
    <s v=""/>
    <s v=""/>
  </r>
  <r>
    <s v="Rittertreue.csv"/>
    <s v="#Wirt"/>
    <x v="0"/>
    <s v="buergerlich:wirt"/>
    <x v="3"/>
    <x v="6"/>
    <x v="1"/>
    <x v="3"/>
    <x v="0"/>
    <n v="1"/>
    <n v="0.26767676767676801"/>
    <n v="0.46153846153846201"/>
    <n v="0.40800593561455401"/>
    <x v="6"/>
    <x v="3"/>
    <s v=""/>
    <s v=""/>
    <s v=""/>
    <s v=""/>
    <s v=""/>
  </r>
  <r>
    <s v="Rittertreue.csv"/>
    <s v="#Ritter-Willekins"/>
    <x v="2"/>
    <s v="adel:ritter"/>
    <x v="3"/>
    <x v="20"/>
    <x v="1"/>
    <x v="1"/>
    <x v="0"/>
    <n v="0.5"/>
    <n v="4.5454545454545497E-2"/>
    <n v="0.32432432432432401"/>
    <n v="0.10260171714093801"/>
    <x v="14"/>
    <x v="3"/>
    <s v=""/>
    <s v=""/>
    <s v=""/>
    <s v=""/>
    <s v=""/>
  </r>
  <r>
    <s v="Rittertreue.csv"/>
    <s v="#Ein-ritter"/>
    <x v="0"/>
    <s v="adel:ritter"/>
    <x v="3"/>
    <x v="18"/>
    <x v="1"/>
    <x v="1"/>
    <x v="0"/>
    <n v="0.33333333333333298"/>
    <n v="0.12121212121212099"/>
    <n v="0.38709677419354799"/>
    <n v="8.3559855618499199E-2"/>
    <x v="13"/>
    <x v="3"/>
    <s v=""/>
    <s v=""/>
    <s v=""/>
    <s v=""/>
    <s v=""/>
  </r>
  <r>
    <s v="Scheidung_und_Suehne.csv"/>
    <s v="#Man"/>
    <x v="0"/>
    <s v="unbekannt"/>
    <x v="3"/>
    <x v="0"/>
    <x v="0"/>
    <x v="2"/>
    <x v="3"/>
    <n v="0"/>
    <n v="0"/>
    <n v="0"/>
    <n v="0"/>
    <x v="0"/>
    <x v="1"/>
    <s v=""/>
    <s v=""/>
    <s v=""/>
    <s v=""/>
    <s v=""/>
  </r>
  <r>
    <s v="Scheidung_und_Suehne.csv"/>
    <s v="#Wibe"/>
    <x v="1"/>
    <s v="unbekannt"/>
    <x v="3"/>
    <x v="1"/>
    <x v="0"/>
    <x v="2"/>
    <x v="3"/>
    <n v="0"/>
    <n v="0"/>
    <n v="0"/>
    <n v="0"/>
    <x v="1"/>
    <x v="1"/>
    <s v=""/>
    <s v=""/>
    <s v=""/>
    <s v=""/>
    <s v=""/>
  </r>
  <r>
    <s v="Thomas_von_Kandelberg.csv"/>
    <s v="#Schuolaere"/>
    <x v="2"/>
    <s v="buergerlich:schueler"/>
    <x v="0"/>
    <x v="6"/>
    <x v="0"/>
    <x v="3"/>
    <x v="1"/>
    <n v="1"/>
    <n v="0.5"/>
    <n v="0.133333333333333"/>
    <n v="1"/>
    <x v="6"/>
    <x v="0"/>
    <s v=""/>
    <s v=""/>
    <s v=""/>
    <s v=""/>
    <s v=""/>
  </r>
  <r>
    <s v="Thomas_von_Kandelberg.csv"/>
    <s v="#Ein-jungelink"/>
    <x v="0"/>
    <s v="buergerlich:schueler"/>
    <x v="0"/>
    <x v="6"/>
    <x v="1"/>
    <x v="3"/>
    <x v="1"/>
    <n v="0.5"/>
    <n v="0"/>
    <n v="0.102564102564103"/>
    <n v="0.33993198216549397"/>
    <x v="6"/>
    <x v="0"/>
    <s v=""/>
    <s v=""/>
    <s v=""/>
    <s v=""/>
    <s v=""/>
  </r>
  <r>
    <s v="Thomas_von_Kandelberg.csv"/>
    <s v="#Sante-Tomas-von-Kandelberk"/>
    <x v="0"/>
    <s v="buergerlich:schueler"/>
    <x v="0"/>
    <x v="3"/>
    <x v="0"/>
    <x v="3"/>
    <x v="1"/>
    <n v="1.5"/>
    <n v="0.66666666666666696"/>
    <n v="0.18181818181818199"/>
    <n v="0.97568737339759604"/>
    <x v="3"/>
    <x v="0"/>
    <s v=""/>
    <s v=""/>
    <s v=""/>
    <s v=""/>
    <s v=""/>
  </r>
  <r>
    <s v="Thomas_von_Kandelberg.csv"/>
    <s v="#Bischof"/>
    <x v="0"/>
    <s v="klerus:bischof"/>
    <x v="5"/>
    <x v="3"/>
    <x v="1"/>
    <x v="4"/>
    <x v="1"/>
    <n v="1"/>
    <n v="0.25"/>
    <n v="0.173913043478261"/>
    <n v="0.13737386314941699"/>
    <x v="3"/>
    <x v="0"/>
    <s v=""/>
    <s v=""/>
    <s v=""/>
    <s v=""/>
    <s v=""/>
  </r>
  <r>
    <s v="Thomas_von_Kandelberg.csv"/>
    <s v="#Babest"/>
    <x v="0"/>
    <s v="klerus:papst"/>
    <x v="3"/>
    <x v="3"/>
    <x v="1"/>
    <x v="4"/>
    <x v="1"/>
    <n v="1"/>
    <n v="0"/>
    <n v="0.15384615384615399"/>
    <n v="0.23667748507462999"/>
    <x v="3"/>
    <x v="0"/>
    <s v=""/>
    <s v=""/>
    <s v=""/>
    <s v=""/>
    <s v=""/>
  </r>
  <r>
    <s v="Turandot.csv"/>
    <s v="#Kuenig"/>
    <x v="0"/>
    <s v="adel:koenig"/>
    <x v="3"/>
    <x v="8"/>
    <x v="1"/>
    <x v="1"/>
    <x v="1"/>
    <n v="0.8"/>
    <n v="0"/>
    <n v="0.26315789473684198"/>
    <n v="0.38297489003732998"/>
    <x v="7"/>
    <x v="1"/>
    <s v=""/>
    <s v=""/>
    <s v=""/>
    <s v=""/>
    <s v=""/>
  </r>
  <r>
    <s v="Turandot.csv"/>
    <s v="#Tohter"/>
    <x v="1"/>
    <s v="adel:koenigstochter"/>
    <x v="0"/>
    <x v="11"/>
    <x v="0"/>
    <x v="1"/>
    <x v="1"/>
    <n v="2"/>
    <n v="0.4"/>
    <n v="0.55555555555555602"/>
    <n v="0.90094010786408596"/>
    <x v="10"/>
    <x v="1"/>
    <s v=""/>
    <s v=""/>
    <s v=""/>
    <s v=""/>
    <n v="5"/>
  </r>
  <r>
    <s v="Turandot.csv"/>
    <s v="#Dorf-man"/>
    <x v="0"/>
    <s v="unbekannt"/>
    <x v="3"/>
    <x v="8"/>
    <x v="1"/>
    <x v="2"/>
    <x v="1"/>
    <n v="0.8"/>
    <n v="0"/>
    <n v="0.41666666666666702"/>
    <n v="0.19481364584081901"/>
    <x v="7"/>
    <x v="1"/>
    <s v=""/>
    <s v=""/>
    <s v=""/>
    <s v=""/>
    <s v=""/>
  </r>
  <r>
    <s v="Turandot.csv"/>
    <s v="#Konni"/>
    <x v="0"/>
    <s v="bauer:narr"/>
    <x v="0"/>
    <x v="3"/>
    <x v="0"/>
    <x v="5"/>
    <x v="1"/>
    <n v="2"/>
    <n v="0.1"/>
    <n v="0.5"/>
    <n v="1"/>
    <x v="3"/>
    <x v="1"/>
    <s v=""/>
    <s v=""/>
    <s v=""/>
    <s v=""/>
    <s v=""/>
  </r>
  <r>
    <s v="Turandot.csv"/>
    <s v="#Junk-her"/>
    <x v="0"/>
    <s v="adel:edelmann"/>
    <x v="0"/>
    <x v="20"/>
    <x v="1"/>
    <x v="1"/>
    <x v="1"/>
    <n v="1.2"/>
    <n v="0"/>
    <n v="0.38461538461538503"/>
    <n v="0.72393701245144604"/>
    <x v="14"/>
    <x v="1"/>
    <s v=""/>
    <s v=""/>
    <s v=""/>
    <s v=""/>
    <s v=""/>
  </r>
  <r>
    <s v="Turandot.csv"/>
    <s v="#Dri-stolzen-rittern"/>
    <x v="2"/>
    <s v="adel:ritter"/>
    <x v="5"/>
    <x v="3"/>
    <x v="1"/>
    <x v="1"/>
    <x v="1"/>
    <n v="1.2"/>
    <n v="0.5"/>
    <n v="0.55555555555555602"/>
    <n v="0.17627453952137201"/>
    <x v="3"/>
    <x v="1"/>
    <s v=""/>
    <s v=""/>
    <s v=""/>
    <s v=""/>
    <s v=""/>
  </r>
  <r>
    <s v="Unser_Frauen_Ritter_und_die_Jungfrau.csv"/>
    <s v="#Ritter"/>
    <x v="0"/>
    <s v="adel:ritter"/>
    <x v="3"/>
    <x v="10"/>
    <x v="0"/>
    <x v="1"/>
    <x v="0"/>
    <n v="1.5"/>
    <n v="0.32142857142857101"/>
    <n v="0.42105263157894701"/>
    <n v="1"/>
    <x v="9"/>
    <x v="0"/>
    <s v=""/>
    <s v=""/>
    <n v="3"/>
    <s v=""/>
    <s v=""/>
  </r>
  <r>
    <s v="Unser_Frauen_Ritter_und_die_Jungfrau.csv"/>
    <s v="#Wirt"/>
    <x v="0"/>
    <s v="buergerlich:wirt"/>
    <x v="3"/>
    <x v="3"/>
    <x v="1"/>
    <x v="3"/>
    <x v="0"/>
    <n v="0.25"/>
    <n v="0"/>
    <n v="0.32"/>
    <n v="7.8383965115572801E-2"/>
    <x v="3"/>
    <x v="0"/>
    <s v=""/>
    <s v=""/>
    <s v=""/>
    <s v=""/>
    <s v=""/>
  </r>
  <r>
    <s v="Unser_Frauen_Ritter_und_die_Jungfrau.csv"/>
    <s v="#Maget"/>
    <x v="1"/>
    <s v="unbekannt"/>
    <x v="0"/>
    <x v="12"/>
    <x v="0"/>
    <x v="2"/>
    <x v="0"/>
    <n v="1.25"/>
    <n v="0.107142857142857"/>
    <n v="0.38095238095238099"/>
    <n v="0.99683395754702397"/>
    <x v="11"/>
    <x v="0"/>
    <s v=""/>
    <s v=""/>
    <s v=""/>
    <n v="4"/>
    <s v=""/>
  </r>
  <r>
    <s v="Unser_Frauen_Ritter_und_die_Jungfrau.csv"/>
    <s v="#Vater-der-vrouwe"/>
    <x v="0"/>
    <s v="unbekannt"/>
    <x v="3"/>
    <x v="8"/>
    <x v="1"/>
    <x v="2"/>
    <x v="0"/>
    <n v="1"/>
    <n v="1.7857142857142901E-2"/>
    <n v="0.38095238095238099"/>
    <n v="0.185618845489193"/>
    <x v="7"/>
    <x v="0"/>
    <s v=""/>
    <s v=""/>
    <s v=""/>
    <s v=""/>
    <s v=""/>
  </r>
  <r>
    <s v="Unser_Frauen_Ritter_und_die_Jungfrau.csv"/>
    <s v="#Muoter-der-vrouwe"/>
    <x v="1"/>
    <s v="unbekannt"/>
    <x v="3"/>
    <x v="9"/>
    <x v="1"/>
    <x v="2"/>
    <x v="0"/>
    <n v="1"/>
    <n v="1.7857142857142901E-2"/>
    <n v="0.38095238095238099"/>
    <n v="0.185618845489192"/>
    <x v="8"/>
    <x v="0"/>
    <s v=""/>
    <s v=""/>
    <s v=""/>
    <s v=""/>
    <s v=""/>
  </r>
  <r>
    <s v="Unser_Frauen_Ritter_und_die_Jungfrau.csv"/>
    <s v="#Wip"/>
    <x v="1"/>
    <s v="unbekannt"/>
    <x v="3"/>
    <x v="3"/>
    <x v="1"/>
    <x v="2"/>
    <x v="0"/>
    <n v="1"/>
    <n v="1.7857142857142901E-2"/>
    <n v="0.38095238095238099"/>
    <n v="0.185618845489193"/>
    <x v="3"/>
    <x v="0"/>
    <s v=""/>
    <s v=""/>
    <s v=""/>
    <s v=""/>
    <s v=""/>
  </r>
  <r>
    <s v="Unser_Frauen_Ritter_und_die_Jungfrau.csv"/>
    <s v="#Schuoler"/>
    <x v="0"/>
    <s v="buergerlich:schueler"/>
    <x v="0"/>
    <x v="6"/>
    <x v="1"/>
    <x v="3"/>
    <x v="0"/>
    <n v="0.75"/>
    <n v="0.23214285714285701"/>
    <n v="0.38095238095238099"/>
    <n v="0.16046333982659999"/>
    <x v="6"/>
    <x v="0"/>
    <s v=""/>
    <s v=""/>
    <s v=""/>
    <s v=""/>
    <s v=""/>
  </r>
  <r>
    <s v="Unser_Frauen_Ritter_und_die_Jungfrau.csv"/>
    <s v="#Einer"/>
    <x v="0"/>
    <s v="unbekannt"/>
    <x v="3"/>
    <x v="3"/>
    <x v="1"/>
    <x v="2"/>
    <x v="0"/>
    <n v="0.25"/>
    <n v="0"/>
    <n v="0.24242424242424199"/>
    <n v="2.5155505662592999E-2"/>
    <x v="3"/>
    <x v="0"/>
    <s v=""/>
    <s v=""/>
    <s v=""/>
    <s v=""/>
    <s v=""/>
  </r>
  <r>
    <s v="Unser_Frauen_Ritter_und_die_Jungfrau.csv"/>
    <s v="#Bischof"/>
    <x v="0"/>
    <s v="klerus:bischof"/>
    <x v="3"/>
    <x v="3"/>
    <x v="1"/>
    <x v="4"/>
    <x v="0"/>
    <n v="0"/>
    <n v="0"/>
    <n v="0.11111111111111099"/>
    <n v="1.10144031914012E-17"/>
    <x v="3"/>
    <x v="0"/>
    <s v=""/>
    <s v=""/>
    <s v=""/>
    <s v=""/>
    <s v=""/>
  </r>
  <r>
    <s v="Von_der_ueblen_Adelheit_und_irem_Man.csv"/>
    <s v="#Der-guot-Markhart"/>
    <x v="0"/>
    <s v="unbekannt"/>
    <x v="3"/>
    <x v="3"/>
    <x v="0"/>
    <x v="2"/>
    <x v="3"/>
    <n v="2"/>
    <n v="0.16666666666666699"/>
    <n v="0.75"/>
    <n v="1"/>
    <x v="3"/>
    <x v="1"/>
    <s v=""/>
    <s v=""/>
    <s v=""/>
    <s v=""/>
    <s v=""/>
  </r>
  <r>
    <s v="Von_der_ueblen_Adelheit_und_irem_Man.csv"/>
    <s v="#Diu-uebel-Adelheit"/>
    <x v="1"/>
    <s v="unbekannt"/>
    <x v="3"/>
    <x v="11"/>
    <x v="0"/>
    <x v="2"/>
    <x v="3"/>
    <n v="2"/>
    <n v="0.16666666666666699"/>
    <n v="0.75"/>
    <n v="1"/>
    <x v="10"/>
    <x v="1"/>
    <s v=""/>
    <s v=""/>
    <s v=""/>
    <s v=""/>
    <n v="5"/>
  </r>
  <r>
    <s v="Von_der_ueblen_Adelheit_und_irem_Man.csv"/>
    <s v="#Ein-man"/>
    <x v="0"/>
    <s v="unbekannt"/>
    <x v="3"/>
    <x v="3"/>
    <x v="1"/>
    <x v="2"/>
    <x v="3"/>
    <n v="1.3333333333333299"/>
    <n v="0.16666666666666699"/>
    <n v="0.75"/>
    <n v="0.140054944640259"/>
    <x v="3"/>
    <x v="1"/>
    <s v=""/>
    <s v=""/>
    <s v=""/>
    <s v=""/>
    <s v=""/>
  </r>
  <r>
    <s v="Von_der_ueblen_Adelheit_und_irem_Man.csv"/>
    <s v="#Ein-her"/>
    <x v="0"/>
    <s v="unbekannt"/>
    <x v="3"/>
    <x v="6"/>
    <x v="1"/>
    <x v="2"/>
    <x v="3"/>
    <n v="1.3333333333333299"/>
    <n v="0.16666666666666699"/>
    <n v="0.75"/>
    <n v="0.140054944640259"/>
    <x v="6"/>
    <x v="1"/>
    <s v=""/>
    <s v=""/>
    <s v=""/>
    <s v=""/>
    <s v=""/>
  </r>
  <r>
    <s v="Weiberlist.csv"/>
    <s v="#Man"/>
    <x v="0"/>
    <s v="unbekannt"/>
    <x v="3"/>
    <x v="7"/>
    <x v="0"/>
    <x v="2"/>
    <x v="3"/>
    <n v="2"/>
    <n v="0.25"/>
    <n v="0.33333333333333298"/>
    <n v="1"/>
    <x v="5"/>
    <x v="1"/>
    <s v=""/>
    <n v="2"/>
    <s v=""/>
    <s v=""/>
    <s v=""/>
  </r>
  <r>
    <s v="Weiberlist.csv"/>
    <s v="#Wip"/>
    <x v="1"/>
    <s v="unbekannt"/>
    <x v="3"/>
    <x v="13"/>
    <x v="0"/>
    <x v="2"/>
    <x v="3"/>
    <n v="2"/>
    <n v="0.25"/>
    <n v="0.33333333333333298"/>
    <n v="1"/>
    <x v="4"/>
    <x v="1"/>
    <n v="1"/>
    <s v=""/>
    <s v=""/>
    <s v=""/>
    <s v=""/>
  </r>
  <r>
    <s v="Weiberlist.csv"/>
    <s v="#Buhler"/>
    <x v="0"/>
    <s v="unbekannt"/>
    <x v="3"/>
    <x v="4"/>
    <x v="1"/>
    <x v="2"/>
    <x v="3"/>
    <n v="1"/>
    <n v="0.16666666666666699"/>
    <n v="0.30769230769230799"/>
    <n v="0.11111111111111099"/>
    <x v="4"/>
    <x v="1"/>
    <n v="1"/>
    <s v=""/>
    <s v=""/>
    <s v=""/>
    <s v=""/>
  </r>
  <r>
    <s v="Weiberlist.csv"/>
    <s v="#Nah-gebueren"/>
    <x v="2"/>
    <s v="unbekannt"/>
    <x v="3"/>
    <x v="3"/>
    <x v="1"/>
    <x v="2"/>
    <x v="3"/>
    <n v="1"/>
    <n v="0"/>
    <n v="0.25"/>
    <n v="0.22222222222222199"/>
    <x v="3"/>
    <x v="1"/>
    <s v=""/>
    <s v=""/>
    <s v=""/>
    <s v=""/>
    <s v=""/>
  </r>
  <r>
    <s v="Weiberlist.csv"/>
    <s v="#Vuegerinne"/>
    <x v="1"/>
    <s v="buergerlich:kupplerin"/>
    <x v="2"/>
    <x v="6"/>
    <x v="1"/>
    <x v="3"/>
    <x v="3"/>
    <n v="1"/>
    <n v="0"/>
    <n v="0.12903225806451599"/>
    <n v="0.77777777777777801"/>
    <x v="6"/>
    <x v="1"/>
    <s v=""/>
    <s v=""/>
    <s v=""/>
    <s v=""/>
    <s v=""/>
  </r>
  <r>
    <s v="Zwei_Kaufmaenner_und_die_treue_Hausfrau.csv"/>
    <s v="#Gillam"/>
    <x v="0"/>
    <s v="buergerlich:kaufmann"/>
    <x v="3"/>
    <x v="8"/>
    <x v="1"/>
    <x v="3"/>
    <x v="3"/>
    <n v="0.57142857142857095"/>
    <n v="3.1135531135531101E-2"/>
    <n v="0.32558139534883701"/>
    <n v="0.156569428317231"/>
    <x v="7"/>
    <x v="1"/>
    <s v=""/>
    <s v=""/>
    <s v=""/>
    <s v=""/>
    <s v=""/>
  </r>
  <r>
    <s v="Zwei_Kaufmaenner_und_die_treue_Hausfrau.csv"/>
    <s v="#Gillot"/>
    <x v="0"/>
    <s v="buergerlich:kaufmann"/>
    <x v="3"/>
    <x v="8"/>
    <x v="1"/>
    <x v="3"/>
    <x v="3"/>
    <n v="0.71428571428571397"/>
    <n v="3.1135531135531101E-2"/>
    <n v="0.32558139534883701"/>
    <n v="0.18408291566361601"/>
    <x v="7"/>
    <x v="1"/>
    <s v=""/>
    <s v=""/>
    <s v=""/>
    <s v=""/>
    <s v=""/>
  </r>
  <r>
    <s v="Zwei_Kaufmaenner_und_die_treue_Hausfrau.csv"/>
    <s v="#Bertram"/>
    <x v="0"/>
    <s v="buergerlich:kaufmann"/>
    <x v="0"/>
    <x v="0"/>
    <x v="0"/>
    <x v="3"/>
    <x v="3"/>
    <n v="1.28571428571429"/>
    <n v="0.55311355311355304"/>
    <n v="0.51851851851851805"/>
    <n v="0.85061628254505495"/>
    <x v="0"/>
    <x v="1"/>
    <s v=""/>
    <s v=""/>
    <s v=""/>
    <s v=""/>
    <s v=""/>
  </r>
  <r>
    <s v="Zwei_Kaufmaenner_und_die_treue_Hausfrau.csv"/>
    <s v="#Irmengart"/>
    <x v="1"/>
    <s v="buergerlich:ehefrau"/>
    <x v="0"/>
    <x v="13"/>
    <x v="0"/>
    <x v="3"/>
    <x v="3"/>
    <n v="1.5714285714285701"/>
    <n v="0.33516483516483497"/>
    <n v="0.42424242424242398"/>
    <n v="1"/>
    <x v="4"/>
    <x v="1"/>
    <n v="1"/>
    <s v=""/>
    <s v=""/>
    <s v=""/>
    <s v=""/>
  </r>
  <r>
    <s v="Zwei_Kaufmaenner_und_die_treue_Hausfrau.csv"/>
    <s v="#Gillots-frau"/>
    <x v="1"/>
    <s v="buergerlich:ehefrau"/>
    <x v="3"/>
    <x v="9"/>
    <x v="1"/>
    <x v="3"/>
    <x v="3"/>
    <n v="0.28571428571428598"/>
    <n v="0"/>
    <n v="0.30434782608695699"/>
    <n v="4.9947428029942301E-2"/>
    <x v="8"/>
    <x v="1"/>
    <s v=""/>
    <s v=""/>
    <s v=""/>
    <s v=""/>
    <s v=""/>
  </r>
  <r>
    <s v="Zwei_Kaufmaenner_und_die_treue_Hausfrau.csv"/>
    <s v="#Hogier"/>
    <x v="0"/>
    <s v="buergerlich:wirt"/>
    <x v="3"/>
    <x v="14"/>
    <x v="0"/>
    <x v="3"/>
    <x v="3"/>
    <n v="1"/>
    <n v="7.1428571428571397E-2"/>
    <n v="0.37837837837837801"/>
    <n v="0.89999606847065805"/>
    <x v="5"/>
    <x v="1"/>
    <s v=""/>
    <n v="2"/>
    <s v=""/>
    <s v=""/>
    <s v=""/>
  </r>
  <r>
    <s v="Zwei_Kaufmaenner_und_die_treue_Hausfrau.csv"/>
    <s v="#Erster"/>
    <x v="0"/>
    <s v="unbekannt"/>
    <x v="3"/>
    <x v="0"/>
    <x v="1"/>
    <x v="2"/>
    <x v="3"/>
    <n v="0.57142857142857095"/>
    <n v="0.29120879120879101"/>
    <n v="0.41176470588235298"/>
    <n v="4.5688951793952E-2"/>
    <x v="0"/>
    <x v="1"/>
    <s v=""/>
    <s v=""/>
    <s v=""/>
    <s v=""/>
    <s v=""/>
  </r>
  <r>
    <s v="Zwei_Kaufmaenner_und_die_treue_Hausfrau.csv"/>
    <s v="#Zweiter"/>
    <x v="0"/>
    <s v="unbekannt"/>
    <x v="3"/>
    <x v="0"/>
    <x v="1"/>
    <x v="2"/>
    <x v="3"/>
    <n v="0.28571428571428598"/>
    <n v="0"/>
    <n v="0.24137931034482801"/>
    <n v="2.4091536982672299E-3"/>
    <x v="0"/>
    <x v="1"/>
    <s v=""/>
    <s v=""/>
    <s v=""/>
    <s v=""/>
    <s v=""/>
  </r>
  <r>
    <s v="Zwei_Kaufmaenner_und_die_treue_Hausfrau.csv"/>
    <s v="#Dritter"/>
    <x v="0"/>
    <s v="unbekannt"/>
    <x v="3"/>
    <x v="0"/>
    <x v="1"/>
    <x v="2"/>
    <x v="3"/>
    <n v="0.28571428571428598"/>
    <n v="7.1428571428571397E-2"/>
    <n v="0.31111111111111101"/>
    <n v="1.25096772830853E-3"/>
    <x v="0"/>
    <x v="1"/>
    <s v=""/>
    <s v=""/>
    <s v=""/>
    <s v=""/>
    <s v=""/>
  </r>
  <r>
    <s v="Zwei_Kaufmaenner_und_die_treue_Hausfrau.csv"/>
    <s v="#Bote"/>
    <x v="0"/>
    <s v="unbekannt"/>
    <x v="3"/>
    <x v="15"/>
    <x v="1"/>
    <x v="2"/>
    <x v="3"/>
    <n v="0.42857142857142899"/>
    <n v="0.305860805860806"/>
    <n v="0.46666666666666701"/>
    <n v="7.1539767502156806E-2"/>
    <x v="12"/>
    <x v="1"/>
    <s v=""/>
    <s v=""/>
    <s v=""/>
    <s v=""/>
    <s v=""/>
  </r>
  <r>
    <s v="Zwei_Kaufmaenner_und_die_treue_Hausfrau.csv"/>
    <s v="#Vriunde"/>
    <x v="2"/>
    <s v="unbekannt"/>
    <x v="3"/>
    <x v="3"/>
    <x v="1"/>
    <x v="2"/>
    <x v="3"/>
    <n v="0.57142857142857095"/>
    <n v="0"/>
    <n v="0.35897435897435898"/>
    <n v="0.228192975816009"/>
    <x v="3"/>
    <x v="1"/>
    <s v=""/>
    <s v=""/>
    <s v=""/>
    <s v=""/>
    <s v=""/>
  </r>
  <r>
    <s v="Zwei_Kaufmaenner_und_die_treue_Hausfrau.csv"/>
    <s v="#Gesinde"/>
    <x v="2"/>
    <s v="buergerlich:gesinde"/>
    <x v="3"/>
    <x v="3"/>
    <x v="1"/>
    <x v="3"/>
    <x v="3"/>
    <n v="0.57142857142857095"/>
    <n v="0"/>
    <n v="0.35897435897435898"/>
    <n v="0.223122903254032"/>
    <x v="3"/>
    <x v="1"/>
    <s v=""/>
    <s v=""/>
    <s v=""/>
    <s v=""/>
    <s v=""/>
  </r>
  <r>
    <s v="Zwei_Kaufmaenner_und_die_treue_Hausfrau.csv"/>
    <s v="#Dirn-Amelin"/>
    <x v="1"/>
    <s v="buergerlich:magd"/>
    <x v="3"/>
    <x v="6"/>
    <x v="1"/>
    <x v="3"/>
    <x v="3"/>
    <n v="0.42857142857142899"/>
    <n v="0"/>
    <n v="0.35"/>
    <n v="0.55529958825589698"/>
    <x v="6"/>
    <x v="1"/>
    <s v=""/>
    <s v=""/>
    <s v=""/>
    <s v=""/>
    <s v=""/>
  </r>
  <r>
    <s v="Zwei_Kaufmaenner_und_die_treue_Hausfrau.csv"/>
    <s v="#Muomen-von-Irmegart"/>
    <x v="1"/>
    <s v="buergerlich:mume"/>
    <x v="3"/>
    <x v="3"/>
    <x v="1"/>
    <x v="3"/>
    <x v="3"/>
    <n v="0.28571428571428598"/>
    <n v="4.7619047619047603E-2"/>
    <n v="0.31818181818181801"/>
    <n v="3.0796421189111099E-2"/>
    <x v="3"/>
    <x v="1"/>
    <s v=""/>
    <s v=""/>
    <s v=""/>
    <s v=""/>
    <s v=""/>
  </r>
  <r>
    <s v="Zwei_Kaufmaenner_und_die_treue_Hausfrau.csv"/>
    <s v="#Gillams-vrouwe"/>
    <x v="1"/>
    <s v="buergerlich:ehefrau"/>
    <x v="3"/>
    <x v="1"/>
    <x v="1"/>
    <x v="3"/>
    <x v="3"/>
    <n v="0.28571428571428598"/>
    <n v="4.7619047619047603E-2"/>
    <n v="0.31818181818181801"/>
    <n v="3.0080831990507002E-2"/>
    <x v="1"/>
    <x v="1"/>
    <s v=""/>
    <s v=""/>
    <s v=""/>
    <s v=""/>
    <s v=""/>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7">
  <r>
    <s v="Adam_und_Eva.csv"/>
    <s v="#Adam"/>
    <x v="0"/>
    <s v="NA"/>
    <x v="0"/>
    <x v="0"/>
    <x v="0"/>
    <x v="0"/>
    <x v="0"/>
    <n v="0"/>
    <n v="0"/>
    <n v="0"/>
    <n v="0"/>
    <x v="0"/>
    <n v="4"/>
    <s v=""/>
    <s v=""/>
    <s v=""/>
    <s v=""/>
    <s v=""/>
  </r>
  <r>
    <s v="Adam_und_Eva.csv"/>
    <s v="#Eva"/>
    <x v="1"/>
    <s v="NA"/>
    <x v="0"/>
    <x v="1"/>
    <x v="0"/>
    <x v="0"/>
    <x v="0"/>
    <n v="0"/>
    <n v="0"/>
    <n v="0"/>
    <n v="0"/>
    <x v="1"/>
    <n v="4"/>
    <s v=""/>
    <s v=""/>
    <s v=""/>
    <s v=""/>
    <s v=""/>
  </r>
  <r>
    <s v="Adam_und_Eva.csv"/>
    <s v="#Kain"/>
    <x v="0"/>
    <s v="NA"/>
    <x v="1"/>
    <x v="2"/>
    <x v="1"/>
    <x v="0"/>
    <x v="0"/>
    <n v="0"/>
    <n v="0"/>
    <n v="0"/>
    <n v="0"/>
    <x v="2"/>
    <n v="4"/>
    <s v=""/>
    <s v=""/>
    <s v=""/>
    <s v=""/>
    <s v=""/>
  </r>
  <r>
    <s v="Alten_Weibes_List.csv"/>
    <s v="#Morolf"/>
    <x v="0"/>
    <s v="adel:koenig"/>
    <x v="2"/>
    <x v="3"/>
    <x v="1"/>
    <x v="1"/>
    <x v="1"/>
    <n v="0.44444444444444398"/>
    <n v="0.22222222222222199"/>
    <n v="0.40909090909090901"/>
    <n v="3.83871767284353E-2"/>
    <x v="3"/>
    <n v="1"/>
    <s v=""/>
    <s v=""/>
    <s v=""/>
    <s v=""/>
    <s v=""/>
  </r>
  <r>
    <s v="Alten_Weibes_List.csv"/>
    <s v="#Ein-Jude"/>
    <x v="0"/>
    <s v="unbekannt"/>
    <x v="2"/>
    <x v="3"/>
    <x v="1"/>
    <x v="2"/>
    <x v="1"/>
    <n v="0.22222222222222199"/>
    <n v="0"/>
    <n v="0.3"/>
    <n v="1.47141028894164E-3"/>
    <x v="3"/>
    <n v="1"/>
    <s v=""/>
    <s v=""/>
    <s v=""/>
    <s v=""/>
    <s v=""/>
  </r>
  <r>
    <s v="Alten_Weibes_List.csv"/>
    <s v="#Frau-Mez-die-Kouflerin"/>
    <x v="1"/>
    <s v="buergerlich:unbekannt"/>
    <x v="2"/>
    <x v="4"/>
    <x v="0"/>
    <x v="3"/>
    <x v="1"/>
    <n v="1.7777777777777799"/>
    <n v="0.72222222222222199"/>
    <n v="0.5625"/>
    <n v="1"/>
    <x v="4"/>
    <n v="1"/>
    <n v="1"/>
    <s v=""/>
    <s v=""/>
    <s v=""/>
    <s v=""/>
  </r>
  <r>
    <s v="Alten_Weibes_List.csv"/>
    <s v="#Kor-herren-viere"/>
    <x v="2"/>
    <s v="klerus:chor"/>
    <x v="3"/>
    <x v="3"/>
    <x v="1"/>
    <x v="4"/>
    <x v="1"/>
    <n v="0.88888888888888895"/>
    <n v="0"/>
    <n v="0.34615384615384598"/>
    <n v="0.183761782169198"/>
    <x v="3"/>
    <n v="1"/>
    <s v=""/>
    <s v=""/>
    <s v=""/>
    <s v=""/>
    <s v=""/>
  </r>
  <r>
    <s v="Alten_Weibes_List.csv"/>
    <s v="#Heinrich"/>
    <x v="0"/>
    <s v="klerus:domprobst"/>
    <x v="0"/>
    <x v="3"/>
    <x v="0"/>
    <x v="4"/>
    <x v="1"/>
    <n v="1.1111111111111101"/>
    <n v="0"/>
    <n v="0.28125"/>
    <n v="0.72175853524477496"/>
    <x v="3"/>
    <n v="1"/>
    <s v=""/>
    <s v=""/>
    <s v=""/>
    <s v=""/>
    <s v=""/>
  </r>
  <r>
    <s v="Alten_Weibes_List.csv"/>
    <s v="#Wip"/>
    <x v="1"/>
    <s v="buergerlich:ehefrau"/>
    <x v="0"/>
    <x v="5"/>
    <x v="0"/>
    <x v="3"/>
    <x v="1"/>
    <n v="1.1111111111111101"/>
    <n v="0"/>
    <n v="0.31034482758620702"/>
    <n v="0.81643093382051901"/>
    <x v="5"/>
    <n v="1"/>
    <s v=""/>
    <n v="2"/>
    <s v=""/>
    <s v=""/>
    <s v=""/>
  </r>
  <r>
    <s v="Alten_Weibes_List.csv"/>
    <s v="#Einer-krame"/>
    <x v="1"/>
    <s v="buergerlich:kraemer"/>
    <x v="3"/>
    <x v="3"/>
    <x v="1"/>
    <x v="3"/>
    <x v="1"/>
    <n v="0.44444444444444398"/>
    <n v="0.16666666666666699"/>
    <n v="0.40909090909090901"/>
    <n v="6.9625208024108598E-2"/>
    <x v="3"/>
    <n v="1"/>
    <s v=""/>
    <s v=""/>
    <s v=""/>
    <s v=""/>
    <s v=""/>
  </r>
  <r>
    <s v="Alten_Weibes_List.csv"/>
    <s v="#Dienst-magt"/>
    <x v="1"/>
    <s v="buergerlich:magd"/>
    <x v="0"/>
    <x v="6"/>
    <x v="1"/>
    <x v="3"/>
    <x v="1"/>
    <n v="0.44444444444444398"/>
    <n v="0"/>
    <n v="0.28125"/>
    <n v="0.20183927923720699"/>
    <x v="6"/>
    <n v="1"/>
    <s v=""/>
    <s v=""/>
    <s v=""/>
    <s v=""/>
    <s v=""/>
  </r>
  <r>
    <s v="Alten_Weibes_List.csv"/>
    <s v="#Schreiber"/>
    <x v="0"/>
    <s v="klerus:schreiber"/>
    <x v="3"/>
    <x v="6"/>
    <x v="1"/>
    <x v="4"/>
    <x v="1"/>
    <n v="0.88888888888888895"/>
    <n v="0.29166666666666702"/>
    <n v="0.47368421052631599"/>
    <n v="0.12246457943637699"/>
    <x v="6"/>
    <n v="1"/>
    <s v=""/>
    <s v=""/>
    <s v=""/>
    <s v=""/>
    <s v=""/>
  </r>
  <r>
    <s v="Alten_Weibes_List.csv"/>
    <s v="#Der-vrouwen-eman"/>
    <x v="0"/>
    <s v="buergerlich:burger"/>
    <x v="0"/>
    <x v="7"/>
    <x v="0"/>
    <x v="3"/>
    <x v="1"/>
    <n v="1.1111111111111101"/>
    <n v="2.7777777777777801E-2"/>
    <n v="0.375"/>
    <n v="0.383900632830871"/>
    <x v="5"/>
    <n v="1"/>
    <s v=""/>
    <n v="2"/>
    <s v=""/>
    <s v=""/>
    <s v=""/>
  </r>
  <r>
    <s v="Aristoteles_und_Phyllis.csv"/>
    <s v="#Fillipus"/>
    <x v="0"/>
    <s v="adel:koenig"/>
    <x v="2"/>
    <x v="8"/>
    <x v="1"/>
    <x v="1"/>
    <x v="2"/>
    <n v="1.6"/>
    <n v="0"/>
    <n v="0.27777777777777801"/>
    <n v="0.45186423914524898"/>
    <x v="7"/>
    <n v="2"/>
    <s v=""/>
    <s v=""/>
    <s v=""/>
    <s v=""/>
    <s v=""/>
  </r>
  <r>
    <s v="Aristoteles_und_Phyllis.csv"/>
    <s v="#Frau-Koenigin"/>
    <x v="1"/>
    <s v="adel:koenigin"/>
    <x v="2"/>
    <x v="9"/>
    <x v="1"/>
    <x v="1"/>
    <x v="2"/>
    <n v="2"/>
    <n v="0.4"/>
    <n v="0.35714285714285698"/>
    <n v="0.40780303044572702"/>
    <x v="8"/>
    <n v="2"/>
    <s v=""/>
    <s v=""/>
    <s v=""/>
    <s v=""/>
    <s v=""/>
  </r>
  <r>
    <s v="Aristoteles_und_Phyllis.csv"/>
    <s v="#Alexander"/>
    <x v="0"/>
    <s v="adel:koenigssohn"/>
    <x v="0"/>
    <x v="10"/>
    <x v="0"/>
    <x v="1"/>
    <x v="2"/>
    <n v="2"/>
    <n v="0.1"/>
    <n v="0.33333333333333298"/>
    <n v="0.68260571356004196"/>
    <x v="9"/>
    <n v="2"/>
    <s v=""/>
    <s v=""/>
    <n v="3"/>
    <s v=""/>
    <s v=""/>
  </r>
  <r>
    <s v="Aristoteles_und_Phyllis.csv"/>
    <s v="#Aristoteles"/>
    <x v="0"/>
    <s v="buergerlich:gelehrter"/>
    <x v="2"/>
    <x v="11"/>
    <x v="0"/>
    <x v="3"/>
    <x v="2"/>
    <n v="1.6"/>
    <n v="0"/>
    <n v="0.22727272727272699"/>
    <n v="0.92457227880880199"/>
    <x v="10"/>
    <n v="2"/>
    <s v=""/>
    <s v=""/>
    <s v=""/>
    <s v=""/>
    <n v="5"/>
  </r>
  <r>
    <s v="Aristoteles_und_Phyllis.csv"/>
    <s v="#Fillis"/>
    <x v="1"/>
    <s v="adel:hofstaat"/>
    <x v="0"/>
    <x v="12"/>
    <x v="0"/>
    <x v="1"/>
    <x v="2"/>
    <n v="2"/>
    <n v="0"/>
    <n v="0.27777777777777801"/>
    <n v="1"/>
    <x v="11"/>
    <n v="2"/>
    <s v=""/>
    <s v=""/>
    <s v=""/>
    <n v="4"/>
    <s v=""/>
  </r>
  <r>
    <s v="Aristoteles_und_Phyllis.csv"/>
    <s v="#Der-Koeniginnen-Jungfrauen"/>
    <x v="2"/>
    <s v="adel:hofstaat"/>
    <x v="0"/>
    <x v="3"/>
    <x v="1"/>
    <x v="1"/>
    <x v="2"/>
    <n v="1.2"/>
    <n v="0.4"/>
    <n v="0.38461538461538503"/>
    <n v="0.12404363187041401"/>
    <x v="3"/>
    <n v="2"/>
    <s v=""/>
    <s v=""/>
    <s v=""/>
    <s v=""/>
    <s v=""/>
  </r>
  <r>
    <s v="Berchta_mit_der_langen_Nase.csv"/>
    <s v="#Vater"/>
    <x v="0"/>
    <s v="unbekannt"/>
    <x v="3"/>
    <x v="7"/>
    <x v="0"/>
    <x v="2"/>
    <x v="3"/>
    <n v="2"/>
    <n v="0.66666666666666696"/>
    <n v="0.75"/>
    <n v="1"/>
    <x v="5"/>
    <n v="1"/>
    <s v=""/>
    <n v="2"/>
    <s v=""/>
    <s v=""/>
    <s v=""/>
  </r>
  <r>
    <s v="Berchta_mit_der_langen_Nase.csv"/>
    <s v="#Gesinde"/>
    <x v="2"/>
    <s v="unbekannt"/>
    <x v="3"/>
    <x v="3"/>
    <x v="1"/>
    <x v="2"/>
    <x v="3"/>
    <n v="1.3333333333333299"/>
    <n v="0.66666666666666696"/>
    <n v="0.75"/>
    <n v="0.53216822606869996"/>
    <x v="3"/>
    <n v="1"/>
    <s v=""/>
    <s v=""/>
    <s v=""/>
    <s v=""/>
    <s v=""/>
  </r>
  <r>
    <s v="Berchta_mit_der_langen_Nase.csv"/>
    <s v="#Kinde"/>
    <x v="3"/>
    <s v="unbekannt"/>
    <x v="1"/>
    <x v="6"/>
    <x v="0"/>
    <x v="2"/>
    <x v="3"/>
    <n v="1.3333333333333299"/>
    <n v="0"/>
    <n v="0.5"/>
    <n v="0.95935180783908602"/>
    <x v="6"/>
    <n v="1"/>
    <s v=""/>
    <s v=""/>
    <s v=""/>
    <s v=""/>
    <s v=""/>
  </r>
  <r>
    <s v="Berchta_mit_der_langen_Nase.csv"/>
    <s v="#Muoter"/>
    <x v="1"/>
    <s v="unbekannt"/>
    <x v="3"/>
    <x v="13"/>
    <x v="1"/>
    <x v="2"/>
    <x v="3"/>
    <n v="0.66666666666666696"/>
    <n v="0"/>
    <n v="0.5"/>
    <n v="0.27160422336589701"/>
    <x v="4"/>
    <n v="1"/>
    <n v="1"/>
    <s v=""/>
    <s v=""/>
    <s v=""/>
    <s v=""/>
  </r>
  <r>
    <s v="Das_Auge.csv"/>
    <s v="#Herre"/>
    <x v="0"/>
    <s v="adel:ritter"/>
    <x v="0"/>
    <x v="0"/>
    <x v="0"/>
    <x v="1"/>
    <x v="3"/>
    <n v="2"/>
    <n v="0.16666666666666699"/>
    <n v="0.42857142857142899"/>
    <n v="1"/>
    <x v="0"/>
    <n v="1"/>
    <s v=""/>
    <s v=""/>
    <s v=""/>
    <s v=""/>
    <s v=""/>
  </r>
  <r>
    <s v="Das_Auge.csv"/>
    <s v="#Wip"/>
    <x v="1"/>
    <s v="adel:edelfrau"/>
    <x v="0"/>
    <x v="1"/>
    <x v="0"/>
    <x v="1"/>
    <x v="3"/>
    <n v="2"/>
    <n v="0.16666666666666699"/>
    <n v="0.42857142857142899"/>
    <n v="1"/>
    <x v="1"/>
    <n v="1"/>
    <s v=""/>
    <s v=""/>
    <s v=""/>
    <s v=""/>
    <s v=""/>
  </r>
  <r>
    <s v="Das_Auge.csv"/>
    <s v="#Ritter"/>
    <x v="0"/>
    <s v="adel:ritter"/>
    <x v="0"/>
    <x v="11"/>
    <x v="1"/>
    <x v="1"/>
    <x v="3"/>
    <n v="1.3333333333333299"/>
    <n v="0.33333333333333298"/>
    <n v="0.42857142857142899"/>
    <n v="0.12414315171437"/>
    <x v="10"/>
    <n v="1"/>
    <s v=""/>
    <s v=""/>
    <s v=""/>
    <s v=""/>
    <n v="5"/>
  </r>
  <r>
    <s v="Das_Auge.csv"/>
    <s v="#Knappe"/>
    <x v="0"/>
    <s v="adel:knappe"/>
    <x v="0"/>
    <x v="6"/>
    <x v="1"/>
    <x v="1"/>
    <x v="3"/>
    <n v="1.3333333333333299"/>
    <n v="0"/>
    <n v="0.230769230769231"/>
    <n v="0.496572606857482"/>
    <x v="6"/>
    <n v="1"/>
    <s v=""/>
    <s v=""/>
    <s v=""/>
    <s v=""/>
    <s v=""/>
  </r>
  <r>
    <s v="Das_Gaenselein.csv"/>
    <s v="#Junger-muenche"/>
    <x v="0"/>
    <s v="klerus:moench"/>
    <x v="0"/>
    <x v="14"/>
    <x v="0"/>
    <x v="4"/>
    <x v="1"/>
    <n v="2"/>
    <n v="0.133333333333333"/>
    <n v="0.35294117647058798"/>
    <n v="1"/>
    <x v="5"/>
    <n v="1"/>
    <s v=""/>
    <n v="2"/>
    <s v=""/>
    <s v=""/>
    <s v=""/>
  </r>
  <r>
    <s v="Das_Gaenselein.csv"/>
    <s v="#Tohter-des-wirts"/>
    <x v="1"/>
    <s v="buergerlich:tochter"/>
    <x v="3"/>
    <x v="4"/>
    <x v="1"/>
    <x v="3"/>
    <x v="1"/>
    <n v="1.6666666666666701"/>
    <n v="0.133333333333333"/>
    <n v="0.3"/>
    <n v="0.76059425267780501"/>
    <x v="4"/>
    <n v="1"/>
    <n v="1"/>
    <s v=""/>
    <s v=""/>
    <s v=""/>
    <s v=""/>
  </r>
  <r>
    <s v="Das_Gaenselein.csv"/>
    <s v="#Moenche-des-klosters"/>
    <x v="2"/>
    <s v="klerus:moench"/>
    <x v="3"/>
    <x v="3"/>
    <x v="1"/>
    <x v="4"/>
    <x v="1"/>
    <n v="1"/>
    <n v="0.2"/>
    <n v="0.31578947368421101"/>
    <n v="0.22858569381341701"/>
    <x v="3"/>
    <n v="1"/>
    <s v=""/>
    <s v=""/>
    <s v=""/>
    <s v=""/>
    <s v=""/>
  </r>
  <r>
    <s v="Das_Gaenselein.csv"/>
    <s v="#Apte"/>
    <x v="0"/>
    <s v="klerus:abt"/>
    <x v="2"/>
    <x v="4"/>
    <x v="0"/>
    <x v="4"/>
    <x v="1"/>
    <n v="2"/>
    <n v="0.133333333333333"/>
    <n v="0.35294117647058798"/>
    <n v="0.89915266055836895"/>
    <x v="4"/>
    <n v="1"/>
    <n v="1"/>
    <s v=""/>
    <s v=""/>
    <s v=""/>
    <s v=""/>
  </r>
  <r>
    <s v="Das_Gaenselein.csv"/>
    <s v="#Wirt"/>
    <x v="0"/>
    <s v="buergerlich:wirt"/>
    <x v="3"/>
    <x v="3"/>
    <x v="1"/>
    <x v="3"/>
    <x v="1"/>
    <n v="1.3333333333333299"/>
    <n v="0"/>
    <n v="0.28571428571428598"/>
    <n v="0.36009806601030497"/>
    <x v="3"/>
    <n v="1"/>
    <s v=""/>
    <s v=""/>
    <s v=""/>
    <s v=""/>
    <s v=""/>
  </r>
  <r>
    <s v="Das_Gaenselein.csv"/>
    <s v="#Wip-des-wirts"/>
    <x v="1"/>
    <s v="buergerlich:wirt"/>
    <x v="3"/>
    <x v="3"/>
    <x v="1"/>
    <x v="3"/>
    <x v="1"/>
    <n v="1.3333333333333299"/>
    <n v="0.1"/>
    <n v="0.33333333333333298"/>
    <n v="0.29517468699158"/>
    <x v="3"/>
    <n v="1"/>
    <s v=""/>
    <s v=""/>
    <s v=""/>
    <s v=""/>
    <s v=""/>
  </r>
  <r>
    <s v="Das_Gaenselein.csv"/>
    <s v="#Ein-moench"/>
    <x v="0"/>
    <s v="klerus:moench"/>
    <x v="3"/>
    <x v="15"/>
    <x v="1"/>
    <x v="4"/>
    <x v="1"/>
    <n v="0.66666666666666696"/>
    <n v="6.6666666666666693E-2"/>
    <n v="0.3"/>
    <n v="6.7221371524696302E-2"/>
    <x v="12"/>
    <n v="1"/>
    <s v=""/>
    <s v=""/>
    <s v=""/>
    <s v=""/>
    <s v=""/>
  </r>
  <r>
    <s v="Das_Haeselein.csv"/>
    <s v="#Ritter"/>
    <x v="0"/>
    <s v="adel:ritter"/>
    <x v="3"/>
    <x v="4"/>
    <x v="0"/>
    <x v="1"/>
    <x v="2"/>
    <n v="2"/>
    <n v="0.33333333333333298"/>
    <n v="0.33333333333333298"/>
    <n v="1"/>
    <x v="4"/>
    <n v="1"/>
    <n v="1"/>
    <s v=""/>
    <s v=""/>
    <s v=""/>
    <s v=""/>
  </r>
  <r>
    <s v="Das_Haeselein.csv"/>
    <s v="#Maget"/>
    <x v="1"/>
    <s v="unbekannt"/>
    <x v="3"/>
    <x v="3"/>
    <x v="1"/>
    <x v="2"/>
    <x v="2"/>
    <n v="0.33333333333333298"/>
    <n v="0"/>
    <n v="0.26086956521739102"/>
    <n v="3.2961247936630897E-2"/>
    <x v="3"/>
    <n v="1"/>
    <s v=""/>
    <s v=""/>
    <s v=""/>
    <s v=""/>
    <s v=""/>
  </r>
  <r>
    <s v="Das_Haeselein.csv"/>
    <s v="#Junk-vroeuwelin"/>
    <x v="1"/>
    <s v="buergerlich:unbekannt"/>
    <x v="1"/>
    <x v="14"/>
    <x v="0"/>
    <x v="3"/>
    <x v="2"/>
    <n v="1.6666666666666701"/>
    <n v="0.2"/>
    <n v="0.33333333333333298"/>
    <n v="0.95840764446238103"/>
    <x v="5"/>
    <n v="1"/>
    <s v=""/>
    <n v="2"/>
    <s v=""/>
    <s v=""/>
    <s v=""/>
  </r>
  <r>
    <s v="Das_Haeselein.csv"/>
    <s v="#Muoter-des-kints"/>
    <x v="1"/>
    <s v="buergerlich:unbekannt"/>
    <x v="3"/>
    <x v="9"/>
    <x v="1"/>
    <x v="3"/>
    <x v="2"/>
    <n v="0.66666666666666696"/>
    <n v="0"/>
    <n v="0.12765957446808501"/>
    <n v="0.45186091951082602"/>
    <x v="8"/>
    <n v="1"/>
    <s v=""/>
    <s v=""/>
    <s v=""/>
    <s v=""/>
    <s v=""/>
  </r>
  <r>
    <s v="Das_Haeselein.csv"/>
    <s v="#Zukuenftiges-wip-des-ritters"/>
    <x v="1"/>
    <s v="adel:edelfrau"/>
    <x v="0"/>
    <x v="3"/>
    <x v="1"/>
    <x v="1"/>
    <x v="2"/>
    <n v="1.3333333333333299"/>
    <n v="0"/>
    <n v="0.28571428571428598"/>
    <n v="0.33873234180956802"/>
    <x v="3"/>
    <n v="1"/>
    <s v=""/>
    <s v=""/>
    <s v=""/>
    <s v=""/>
    <s v=""/>
  </r>
  <r>
    <s v="Das_Haeselein.csv"/>
    <s v="#Kappelan"/>
    <x v="0"/>
    <s v="klerus:kaplan"/>
    <x v="3"/>
    <x v="3"/>
    <x v="1"/>
    <x v="4"/>
    <x v="2"/>
    <n v="1.3333333333333299"/>
    <n v="6.6666666666666693E-2"/>
    <n v="0.35294117647058798"/>
    <n v="0.123559287013149"/>
    <x v="3"/>
    <n v="1"/>
    <s v=""/>
    <s v=""/>
    <s v=""/>
    <s v=""/>
    <s v=""/>
  </r>
  <r>
    <s v="Das_Haeselein.csv"/>
    <s v="#Vriunde-des-ritters"/>
    <x v="2"/>
    <s v="unbekannt"/>
    <x v="3"/>
    <x v="3"/>
    <x v="1"/>
    <x v="2"/>
    <x v="2"/>
    <n v="1.3333333333333299"/>
    <n v="0.3"/>
    <n v="0.375"/>
    <n v="0.112750516863404"/>
    <x v="3"/>
    <n v="1"/>
    <s v=""/>
    <s v=""/>
    <s v=""/>
    <s v=""/>
    <s v=""/>
  </r>
  <r>
    <s v="Das_heiße_Eisen.csv"/>
    <s v="#Wip"/>
    <x v="1"/>
    <s v="unbekannt"/>
    <x v="3"/>
    <x v="1"/>
    <x v="0"/>
    <x v="2"/>
    <x v="3"/>
    <n v="0"/>
    <n v="0"/>
    <n v="0"/>
    <n v="0"/>
    <x v="1"/>
    <n v="1"/>
    <s v=""/>
    <s v=""/>
    <s v=""/>
    <s v=""/>
    <s v=""/>
  </r>
  <r>
    <s v="Das_heiße_Eisen.csv"/>
    <s v="#Man"/>
    <x v="0"/>
    <s v="unbekannt"/>
    <x v="3"/>
    <x v="0"/>
    <x v="0"/>
    <x v="2"/>
    <x v="3"/>
    <n v="0"/>
    <n v="0"/>
    <n v="0"/>
    <n v="0"/>
    <x v="0"/>
    <n v="1"/>
    <s v=""/>
    <s v=""/>
    <s v=""/>
    <s v=""/>
    <s v=""/>
  </r>
  <r>
    <s v="Das_Herz.csv"/>
    <s v="#Ritter"/>
    <x v="0"/>
    <s v="adel:ritter"/>
    <x v="0"/>
    <x v="4"/>
    <x v="0"/>
    <x v="1"/>
    <x v="3"/>
    <n v="1.5"/>
    <n v="0"/>
    <n v="0.21052631578947401"/>
    <n v="0.99781134463478205"/>
    <x v="4"/>
    <n v="1"/>
    <n v="1"/>
    <s v=""/>
    <s v=""/>
    <s v=""/>
    <s v=""/>
  </r>
  <r>
    <s v="Das_Herz.csv"/>
    <s v="#Vrouwe"/>
    <x v="1"/>
    <s v="adel:edelfrau"/>
    <x v="0"/>
    <x v="16"/>
    <x v="0"/>
    <x v="1"/>
    <x v="3"/>
    <n v="1.5"/>
    <n v="0"/>
    <n v="0.36363636363636398"/>
    <n v="1"/>
    <x v="5"/>
    <n v="1"/>
    <s v=""/>
    <n v="2"/>
    <s v=""/>
    <s v=""/>
    <s v=""/>
  </r>
  <r>
    <s v="Das_Herz.csv"/>
    <s v="#Man"/>
    <x v="0"/>
    <s v="adel:ritter"/>
    <x v="0"/>
    <x v="17"/>
    <x v="0"/>
    <x v="1"/>
    <x v="3"/>
    <n v="2"/>
    <n v="0"/>
    <n v="0.36363636363636398"/>
    <n v="0.68963517112689299"/>
    <x v="5"/>
    <n v="1"/>
    <s v=""/>
    <n v="2"/>
    <s v=""/>
    <s v=""/>
    <s v=""/>
  </r>
  <r>
    <s v="Das_Herz.csv"/>
    <s v="#Kneht"/>
    <x v="0"/>
    <s v="adel:knecht"/>
    <x v="0"/>
    <x v="15"/>
    <x v="1"/>
    <x v="1"/>
    <x v="3"/>
    <n v="2"/>
    <n v="0.66666666666666696"/>
    <n v="0.5"/>
    <n v="0.43259919579718198"/>
    <x v="12"/>
    <n v="1"/>
    <s v=""/>
    <s v=""/>
    <s v=""/>
    <s v=""/>
    <s v=""/>
  </r>
  <r>
    <s v="Das_Herz.csv"/>
    <s v="#Koch"/>
    <x v="0"/>
    <s v="buergerlich:koch"/>
    <x v="3"/>
    <x v="6"/>
    <x v="1"/>
    <x v="3"/>
    <x v="3"/>
    <n v="1"/>
    <n v="0.33333333333333298"/>
    <n v="0.44444444444444398"/>
    <n v="5.2873165805478697E-2"/>
    <x v="6"/>
    <n v="1"/>
    <s v=""/>
    <s v=""/>
    <s v=""/>
    <s v=""/>
    <s v=""/>
  </r>
  <r>
    <s v="Das_Nonnentunier.csv"/>
    <s v="#Ritter"/>
    <x v="0"/>
    <s v="adel:ritter"/>
    <x v="3"/>
    <x v="6"/>
    <x v="1"/>
    <x v="1"/>
    <x v="1"/>
    <n v="0.19047619047618999"/>
    <n v="0"/>
    <n v="0.15217391304347799"/>
    <n v="0.36862561854102799"/>
    <x v="6"/>
    <n v="4"/>
    <s v=""/>
    <s v=""/>
    <s v=""/>
    <s v=""/>
    <s v=""/>
  </r>
  <r>
    <s v="Das_Nonnentunier.csv"/>
    <s v="#Frauwe"/>
    <x v="1"/>
    <s v="unbekannt"/>
    <x v="3"/>
    <x v="6"/>
    <x v="1"/>
    <x v="2"/>
    <x v="1"/>
    <n v="0.19047619047618999"/>
    <n v="0"/>
    <n v="0.269230769230769"/>
    <n v="0.24088269569041801"/>
    <x v="6"/>
    <n v="4"/>
    <s v=""/>
    <s v=""/>
    <s v=""/>
    <s v=""/>
    <s v=""/>
  </r>
  <r>
    <s v="Das_Nonnentunier.csv"/>
    <s v="#Zagel"/>
    <x v="4"/>
    <s v="NA"/>
    <x v="4"/>
    <x v="3"/>
    <x v="0"/>
    <x v="0"/>
    <x v="1"/>
    <n v="1.71428571428571"/>
    <n v="0.57142857142857195"/>
    <n v="0.53846153846153799"/>
    <n v="1"/>
    <x v="3"/>
    <n v="4"/>
    <s v=""/>
    <s v=""/>
    <s v=""/>
    <s v=""/>
    <s v=""/>
  </r>
  <r>
    <s v="Das_Nonnentunier.csv"/>
    <s v="#Nunnen"/>
    <x v="2"/>
    <s v="klerus:nonne"/>
    <x v="3"/>
    <x v="3"/>
    <x v="0"/>
    <x v="4"/>
    <x v="1"/>
    <n v="1.1428571428571399"/>
    <n v="0.24960317460317499"/>
    <n v="0.4375"/>
    <n v="0.81779060142865101"/>
    <x v="3"/>
    <n v="4"/>
    <s v=""/>
    <s v=""/>
    <s v=""/>
    <s v=""/>
    <s v=""/>
  </r>
  <r>
    <s v="Das_Nonnentunier.csv"/>
    <s v="#Eine-nunne4"/>
    <x v="1"/>
    <s v="klerus:nonne"/>
    <x v="3"/>
    <x v="3"/>
    <x v="1"/>
    <x v="4"/>
    <x v="1"/>
    <n v="0.38095238095238099"/>
    <n v="2.5000000000000001E-2"/>
    <n v="0.41176470588235298"/>
    <n v="0.17153346696921101"/>
    <x v="3"/>
    <n v="4"/>
    <s v=""/>
    <s v=""/>
    <s v=""/>
    <s v=""/>
    <s v=""/>
  </r>
  <r>
    <s v="Das_Nonnentunier.csv"/>
    <s v="#Ein-nunne2"/>
    <x v="1"/>
    <s v="klerus:nonne"/>
    <x v="3"/>
    <x v="3"/>
    <x v="1"/>
    <x v="4"/>
    <x v="1"/>
    <n v="9.5238095238095205E-2"/>
    <n v="0"/>
    <n v="0.308823529411765"/>
    <n v="4.6771871787378599E-2"/>
    <x v="3"/>
    <n v="4"/>
    <s v=""/>
    <s v=""/>
    <s v=""/>
    <s v=""/>
    <s v=""/>
  </r>
  <r>
    <s v="Das_Nonnentunier.csv"/>
    <s v="#Ein-scharpfe-nunne"/>
    <x v="1"/>
    <s v="klerus:nonne"/>
    <x v="3"/>
    <x v="3"/>
    <x v="1"/>
    <x v="4"/>
    <x v="1"/>
    <n v="0.28571428571428598"/>
    <n v="2.6190476190476202E-2"/>
    <n v="0.42"/>
    <n v="0.11027159999845899"/>
    <x v="3"/>
    <n v="4"/>
    <s v=""/>
    <s v=""/>
    <s v=""/>
    <s v=""/>
    <s v=""/>
  </r>
  <r>
    <s v="Das_Nonnentunier.csv"/>
    <s v="#Ein-zarte-nunne"/>
    <x v="1"/>
    <s v="klerus:nonne"/>
    <x v="3"/>
    <x v="3"/>
    <x v="1"/>
    <x v="4"/>
    <x v="1"/>
    <n v="0.28571428571428598"/>
    <n v="2.6190476190476202E-2"/>
    <n v="0.42"/>
    <n v="0.11027159999845899"/>
    <x v="3"/>
    <n v="4"/>
    <s v=""/>
    <s v=""/>
    <s v=""/>
    <s v=""/>
    <s v=""/>
  </r>
  <r>
    <s v="Das_Nonnentunier.csv"/>
    <s v="#Ein-biederbe-nunne-frum"/>
    <x v="1"/>
    <s v="klerus:nonne"/>
    <x v="3"/>
    <x v="3"/>
    <x v="1"/>
    <x v="4"/>
    <x v="1"/>
    <n v="0.19047619047618999"/>
    <n v="3.0158730158730201E-2"/>
    <n v="0.36842105263157898"/>
    <n v="6.4154744215901102E-2"/>
    <x v="3"/>
    <n v="4"/>
    <s v=""/>
    <s v=""/>
    <s v=""/>
    <s v=""/>
    <s v=""/>
  </r>
  <r>
    <s v="Das_Nonnentunier.csv"/>
    <s v="#Die-den-segen-las-zu-tische"/>
    <x v="1"/>
    <s v="klerus:nonne"/>
    <x v="3"/>
    <x v="3"/>
    <x v="1"/>
    <x v="4"/>
    <x v="1"/>
    <n v="0.28571428571428598"/>
    <n v="2.3809523809523799E-3"/>
    <n v="0.28000000000000003"/>
    <n v="0.12172433669804"/>
    <x v="3"/>
    <n v="4"/>
    <s v=""/>
    <s v=""/>
    <s v=""/>
    <s v=""/>
    <s v=""/>
  </r>
  <r>
    <s v="Das_Nonnentunier.csv"/>
    <s v="#Ein-zarte-nunne-frische"/>
    <x v="1"/>
    <s v="klerus:nonne"/>
    <x v="3"/>
    <x v="3"/>
    <x v="1"/>
    <x v="4"/>
    <x v="1"/>
    <n v="0.19047619047618999"/>
    <n v="3.0158730158730201E-2"/>
    <n v="0.36842105263157898"/>
    <n v="6.4154744215901102E-2"/>
    <x v="3"/>
    <n v="4"/>
    <s v=""/>
    <s v=""/>
    <s v=""/>
    <s v=""/>
    <s v=""/>
  </r>
  <r>
    <s v="Das_Nonnentunier.csv"/>
    <s v="#Kuesterin"/>
    <x v="1"/>
    <s v="klerus:kuesterin"/>
    <x v="3"/>
    <x v="18"/>
    <x v="1"/>
    <x v="4"/>
    <x v="1"/>
    <n v="0.57142857142857095"/>
    <n v="6.7857142857142894E-2"/>
    <n v="0.42"/>
    <n v="0.42105361410368097"/>
    <x v="13"/>
    <n v="4"/>
    <s v=""/>
    <s v=""/>
    <s v=""/>
    <s v=""/>
    <s v=""/>
  </r>
  <r>
    <s v="Das_Nonnentunier.csv"/>
    <s v="#Eine-nunne1"/>
    <x v="1"/>
    <s v="klerus:nonne"/>
    <x v="3"/>
    <x v="3"/>
    <x v="1"/>
    <x v="4"/>
    <x v="1"/>
    <n v="0.57142857142857095"/>
    <n v="0.14285714285714299"/>
    <n v="0.47727272727272702"/>
    <n v="0.20194819966113201"/>
    <x v="3"/>
    <n v="4"/>
    <s v=""/>
    <s v=""/>
    <s v=""/>
    <s v=""/>
    <s v=""/>
  </r>
  <r>
    <s v="Das_Nonnentunier.csv"/>
    <s v="#Aptissinne"/>
    <x v="1"/>
    <s v="klerus:abt"/>
    <x v="3"/>
    <x v="3"/>
    <x v="1"/>
    <x v="4"/>
    <x v="1"/>
    <n v="0.66666666666666696"/>
    <n v="2.3015873015873E-2"/>
    <n v="0.33333333333333298"/>
    <n v="0.47947159594871502"/>
    <x v="3"/>
    <n v="4"/>
    <s v=""/>
    <s v=""/>
    <s v=""/>
    <s v=""/>
    <s v=""/>
  </r>
  <r>
    <s v="Das_Nonnentunier.csv"/>
    <s v="#Eine-nunne5"/>
    <x v="1"/>
    <s v="klerus:nonne"/>
    <x v="3"/>
    <x v="3"/>
    <x v="1"/>
    <x v="4"/>
    <x v="1"/>
    <n v="9.5238095238095205E-2"/>
    <n v="0"/>
    <n v="0.308823529411765"/>
    <n v="4.6771871787378599E-2"/>
    <x v="3"/>
    <n v="4"/>
    <s v=""/>
    <s v=""/>
    <s v=""/>
    <s v=""/>
    <s v=""/>
  </r>
  <r>
    <s v="Das_Nonnentunier.csv"/>
    <s v="#Kovent"/>
    <x v="2"/>
    <s v="klerus:nonne"/>
    <x v="3"/>
    <x v="3"/>
    <x v="1"/>
    <x v="4"/>
    <x v="1"/>
    <n v="0.28571428571428598"/>
    <n v="3.57142857142857E-3"/>
    <n v="0.328125"/>
    <n v="0.23535208348911399"/>
    <x v="3"/>
    <n v="4"/>
    <s v=""/>
    <s v=""/>
    <s v=""/>
    <s v=""/>
    <s v=""/>
  </r>
  <r>
    <s v="Das_Nonnentunier.csv"/>
    <s v="#Eine-nunne3"/>
    <x v="1"/>
    <s v="klerus:nonne"/>
    <x v="3"/>
    <x v="3"/>
    <x v="1"/>
    <x v="4"/>
    <x v="1"/>
    <n v="0.19047619047618999"/>
    <n v="2.6190476190476202E-2"/>
    <n v="0.41176470588235298"/>
    <n v="0.103964839896415"/>
    <x v="3"/>
    <n v="4"/>
    <s v=""/>
    <s v=""/>
    <s v=""/>
    <s v=""/>
    <s v=""/>
  </r>
  <r>
    <s v="Das_Nonnentunier.csv"/>
    <s v="#Dirnen"/>
    <x v="2"/>
    <s v="klerus:magd"/>
    <x v="3"/>
    <x v="18"/>
    <x v="1"/>
    <x v="4"/>
    <x v="1"/>
    <n v="0.28571428571428598"/>
    <n v="0"/>
    <n v="0.33333333333333298"/>
    <n v="0.16167614041103501"/>
    <x v="13"/>
    <n v="4"/>
    <s v=""/>
    <s v=""/>
    <s v=""/>
    <s v=""/>
    <s v=""/>
  </r>
  <r>
    <s v="Das_Nonnentunier.csv"/>
    <s v="#Eine-nunne"/>
    <x v="1"/>
    <s v="klerus:nonne"/>
    <x v="3"/>
    <x v="18"/>
    <x v="1"/>
    <x v="4"/>
    <x v="1"/>
    <n v="0.57142857142857095"/>
    <n v="3.2142857142857098E-2"/>
    <n v="0.375"/>
    <n v="0.212178515598762"/>
    <x v="13"/>
    <n v="4"/>
    <s v=""/>
    <s v=""/>
    <s v=""/>
    <s v=""/>
    <s v=""/>
  </r>
  <r>
    <s v="Das_Nonnentunier.csv"/>
    <s v="#Adelheit"/>
    <x v="1"/>
    <s v="klerus:nonne"/>
    <x v="3"/>
    <x v="18"/>
    <x v="1"/>
    <x v="4"/>
    <x v="1"/>
    <n v="0.57142857142857095"/>
    <n v="3.2142857142857098E-2"/>
    <n v="0.375"/>
    <n v="0.212178515598762"/>
    <x v="13"/>
    <n v="4"/>
    <s v=""/>
    <s v=""/>
    <s v=""/>
    <s v=""/>
    <s v=""/>
  </r>
  <r>
    <s v="Das_Nonnentunier.csv"/>
    <s v="#Margreth"/>
    <x v="1"/>
    <s v="klerus:nonne"/>
    <x v="3"/>
    <x v="18"/>
    <x v="1"/>
    <x v="4"/>
    <x v="1"/>
    <n v="0.38095238095238099"/>
    <n v="3.6904761904761899E-2"/>
    <n v="0.41176470588235298"/>
    <n v="8.6404962527457205E-2"/>
    <x v="13"/>
    <n v="4"/>
    <s v=""/>
    <s v=""/>
    <s v=""/>
    <s v=""/>
    <s v=""/>
  </r>
  <r>
    <s v="Das_Nonnentunier.csv"/>
    <s v="#Ein-alte-nunne"/>
    <x v="1"/>
    <s v="klerus:nonne"/>
    <x v="2"/>
    <x v="18"/>
    <x v="1"/>
    <x v="4"/>
    <x v="1"/>
    <n v="0.38095238095238099"/>
    <n v="3.6904761904761899E-2"/>
    <n v="0.41176470588235298"/>
    <n v="8.6404962527457205E-2"/>
    <x v="13"/>
    <n v="4"/>
    <s v=""/>
    <s v=""/>
    <s v=""/>
    <s v=""/>
    <s v=""/>
  </r>
  <r>
    <s v="Das_Raedlein.csv"/>
    <s v="#Burgaere"/>
    <x v="0"/>
    <s v="buergerlich:wirt"/>
    <x v="3"/>
    <x v="0"/>
    <x v="1"/>
    <x v="3"/>
    <x v="2"/>
    <n v="2"/>
    <n v="3.3333333333333298E-2"/>
    <n v="0.625"/>
    <n v="0.168506529429229"/>
    <x v="0"/>
    <n v="1"/>
    <s v=""/>
    <s v=""/>
    <s v=""/>
    <s v=""/>
    <s v=""/>
  </r>
  <r>
    <s v="Das_Raedlein.csv"/>
    <s v="#Vrouwe"/>
    <x v="1"/>
    <s v="buergerlich:ehefrau"/>
    <x v="3"/>
    <x v="1"/>
    <x v="1"/>
    <x v="3"/>
    <x v="2"/>
    <n v="1.6"/>
    <n v="0"/>
    <n v="0.625"/>
    <n v="0.10730849775602801"/>
    <x v="1"/>
    <n v="1"/>
    <s v=""/>
    <s v=""/>
    <s v=""/>
    <s v=""/>
    <s v=""/>
  </r>
  <r>
    <s v="Das_Raedlein.csv"/>
    <s v="#Schribaerc"/>
    <x v="0"/>
    <s v="buergerlich:schreiber"/>
    <x v="3"/>
    <x v="19"/>
    <x v="0"/>
    <x v="3"/>
    <x v="2"/>
    <n v="2"/>
    <n v="3.3333333333333298E-2"/>
    <n v="0.625"/>
    <n v="1"/>
    <x v="4"/>
    <n v="1"/>
    <n v="1"/>
    <s v=""/>
    <s v=""/>
    <s v=""/>
    <s v=""/>
  </r>
  <r>
    <s v="Das_Raedlein.csv"/>
    <s v="#Meidin"/>
    <x v="1"/>
    <s v="buergerlich:magd"/>
    <x v="3"/>
    <x v="14"/>
    <x v="0"/>
    <x v="3"/>
    <x v="2"/>
    <n v="2"/>
    <n v="0.133333333333333"/>
    <n v="0.71428571428571397"/>
    <n v="0.99560269402820301"/>
    <x v="5"/>
    <n v="1"/>
    <s v=""/>
    <n v="2"/>
    <s v=""/>
    <s v=""/>
    <s v=""/>
  </r>
  <r>
    <s v="Das_Raedlein.csv"/>
    <s v="#Geste"/>
    <x v="2"/>
    <s v="unbekannt"/>
    <x v="3"/>
    <x v="3"/>
    <x v="1"/>
    <x v="2"/>
    <x v="2"/>
    <n v="1.6"/>
    <n v="0.233333333333333"/>
    <n v="0.83333333333333304"/>
    <n v="7.1600165582172803E-2"/>
    <x v="3"/>
    <n v="1"/>
    <s v=""/>
    <s v=""/>
    <s v=""/>
    <s v=""/>
    <s v=""/>
  </r>
  <r>
    <s v="Das_Raedlein.csv"/>
    <s v="#Gesinde"/>
    <x v="2"/>
    <s v="unbekannt"/>
    <x v="3"/>
    <x v="3"/>
    <x v="1"/>
    <x v="2"/>
    <x v="2"/>
    <n v="1.2"/>
    <n v="0.133333333333333"/>
    <n v="0.71428571428571397"/>
    <n v="6.8217561785456099E-2"/>
    <x v="3"/>
    <n v="1"/>
    <s v=""/>
    <s v=""/>
    <s v=""/>
    <s v=""/>
    <s v=""/>
  </r>
  <r>
    <s v="Das_Schneekind.csv"/>
    <s v="#Koufman"/>
    <x v="0"/>
    <s v="buergerlich:kaufmann"/>
    <x v="3"/>
    <x v="7"/>
    <x v="0"/>
    <x v="3"/>
    <x v="3"/>
    <n v="2"/>
    <n v="8.3333333333333301E-2"/>
    <n v="0.5"/>
    <n v="1"/>
    <x v="5"/>
    <n v="1"/>
    <s v=""/>
    <n v="2"/>
    <s v=""/>
    <s v=""/>
    <s v=""/>
  </r>
  <r>
    <s v="Das_Schneekind.csv"/>
    <s v="#Wip"/>
    <x v="1"/>
    <s v="buergerlich:ehefrau"/>
    <x v="3"/>
    <x v="13"/>
    <x v="0"/>
    <x v="3"/>
    <x v="3"/>
    <n v="1"/>
    <n v="0"/>
    <n v="0.33333333333333298"/>
    <n v="0.82263730161023896"/>
    <x v="4"/>
    <n v="1"/>
    <n v="1"/>
    <s v=""/>
    <s v=""/>
    <s v=""/>
    <s v=""/>
  </r>
  <r>
    <s v="Das_Schneekind.csv"/>
    <s v="#Schneekind"/>
    <x v="0"/>
    <s v="buergerlich:NA"/>
    <x v="1"/>
    <x v="2"/>
    <x v="1"/>
    <x v="3"/>
    <x v="3"/>
    <n v="2"/>
    <n v="0.58333333333333304"/>
    <n v="0.66666666666666696"/>
    <n v="0.76761399408651498"/>
    <x v="2"/>
    <n v="1"/>
    <s v=""/>
    <s v=""/>
    <s v=""/>
    <s v=""/>
    <s v=""/>
  </r>
  <r>
    <s v="Das_Schneekind.csv"/>
    <s v="#Knehte"/>
    <x v="0"/>
    <s v="buergerlich:knecht"/>
    <x v="3"/>
    <x v="3"/>
    <x v="1"/>
    <x v="3"/>
    <x v="3"/>
    <n v="1"/>
    <n v="0.16666666666666699"/>
    <n v="0.57142857142857095"/>
    <n v="0.19297428142401599"/>
    <x v="3"/>
    <n v="1"/>
    <s v=""/>
    <s v=""/>
    <s v=""/>
    <s v=""/>
    <s v=""/>
  </r>
  <r>
    <s v="Das_Schneekind.csv"/>
    <s v="#Fremder-koufman"/>
    <x v="0"/>
    <s v="buergerlich:kaufmann"/>
    <x v="3"/>
    <x v="3"/>
    <x v="1"/>
    <x v="3"/>
    <x v="3"/>
    <n v="1"/>
    <n v="0.16666666666666699"/>
    <n v="0.57142857142857095"/>
    <n v="0.19297428142401599"/>
    <x v="3"/>
    <n v="1"/>
    <s v=""/>
    <s v=""/>
    <s v=""/>
    <s v=""/>
    <s v=""/>
  </r>
  <r>
    <s v="Das_Schraetel_und_der_Wasserbaer.csv"/>
    <s v="#Schretel"/>
    <x v="4"/>
    <s v="NA"/>
    <x v="4"/>
    <x v="11"/>
    <x v="1"/>
    <x v="0"/>
    <x v="1"/>
    <n v="0.85714285714285698"/>
    <n v="4.7619047619047603E-2"/>
    <n v="0.20588235294117599"/>
    <n v="0.65897274749892398"/>
    <x v="10"/>
    <n v="3"/>
    <s v=""/>
    <s v=""/>
    <s v=""/>
    <s v=""/>
    <n v="5"/>
  </r>
  <r>
    <s v="Das_Schraetel_und_der_Wasserbaer.csv"/>
    <s v="#Kuenige-von-Norwegen"/>
    <x v="0"/>
    <s v="adel:koenig"/>
    <x v="3"/>
    <x v="3"/>
    <x v="1"/>
    <x v="1"/>
    <x v="1"/>
    <n v="0.28571428571428598"/>
    <n v="0"/>
    <n v="0.194444444444444"/>
    <n v="3.1951668996922401E-3"/>
    <x v="3"/>
    <n v="3"/>
    <s v=""/>
    <s v=""/>
    <s v=""/>
    <s v=""/>
    <s v=""/>
  </r>
  <r>
    <s v="Das_Schraetel_und_der_Wasserbaer.csv"/>
    <s v="#Kuenige-von-Tenemarken"/>
    <x v="0"/>
    <s v="adel:koenig"/>
    <x v="3"/>
    <x v="3"/>
    <x v="1"/>
    <x v="1"/>
    <x v="1"/>
    <n v="0.85714285714285698"/>
    <n v="0.42857142857142899"/>
    <n v="0.233333333333333"/>
    <n v="7.8343427975868102E-2"/>
    <x v="3"/>
    <n v="3"/>
    <s v=""/>
    <s v=""/>
    <s v=""/>
    <s v=""/>
    <s v=""/>
  </r>
  <r>
    <s v="Das_Schraetel_und_der_Wasserbaer.csv"/>
    <s v="#Wazzer-ber"/>
    <x v="5"/>
    <s v="NA"/>
    <x v="4"/>
    <x v="6"/>
    <x v="1"/>
    <x v="0"/>
    <x v="1"/>
    <n v="1.1428571428571399"/>
    <n v="0.33333333333333298"/>
    <n v="0.233333333333333"/>
    <n v="1"/>
    <x v="6"/>
    <n v="3"/>
    <s v=""/>
    <s v=""/>
    <s v=""/>
    <s v=""/>
    <s v=""/>
  </r>
  <r>
    <s v="Das_Schraetel_und_der_Wasserbaer.csv"/>
    <s v="#Norman"/>
    <x v="0"/>
    <s v="unbekannt"/>
    <x v="3"/>
    <x v="20"/>
    <x v="0"/>
    <x v="2"/>
    <x v="1"/>
    <n v="1.1428571428571399"/>
    <n v="0.14285714285714299"/>
    <n v="0.20588235294117599"/>
    <n v="0.91773506920194703"/>
    <x v="14"/>
    <n v="3"/>
    <s v=""/>
    <s v=""/>
    <s v=""/>
    <s v=""/>
    <s v=""/>
  </r>
  <r>
    <s v="Das_Schraetel_und_der_Wasserbaer.csv"/>
    <s v="#Wirt"/>
    <x v="0"/>
    <s v="bauer"/>
    <x v="3"/>
    <x v="6"/>
    <x v="1"/>
    <x v="5"/>
    <x v="1"/>
    <n v="1.4285714285714299"/>
    <n v="0.476190476190476"/>
    <n v="0.194444444444444"/>
    <n v="0.68087615945596203"/>
    <x v="6"/>
    <n v="3"/>
    <s v=""/>
    <s v=""/>
    <s v=""/>
    <s v=""/>
    <s v=""/>
  </r>
  <r>
    <s v="Das_Schraetel_und_der_Wasserbaer.csv"/>
    <s v="#Wip"/>
    <x v="1"/>
    <s v="bauer"/>
    <x v="3"/>
    <x v="1"/>
    <x v="1"/>
    <x v="5"/>
    <x v="1"/>
    <n v="0.57142857142857095"/>
    <n v="0"/>
    <n v="0.17073170731707299"/>
    <n v="2.89496115589159E-2"/>
    <x v="1"/>
    <n v="3"/>
    <s v=""/>
    <s v=""/>
    <s v=""/>
    <s v=""/>
    <s v=""/>
  </r>
  <r>
    <s v="Das_Schraetel_und_der_Wasserbaer.csv"/>
    <s v="#Kint"/>
    <x v="2"/>
    <s v="bauer"/>
    <x v="1"/>
    <x v="2"/>
    <x v="1"/>
    <x v="5"/>
    <x v="1"/>
    <n v="0.57142857142857095"/>
    <n v="0"/>
    <n v="0.17073170731707299"/>
    <n v="2.8949611558916E-2"/>
    <x v="2"/>
    <n v="3"/>
    <s v=""/>
    <s v=""/>
    <s v=""/>
    <s v=""/>
    <s v=""/>
  </r>
  <r>
    <s v="Das_warme_Almosen.csv"/>
    <s v="#Man"/>
    <x v="0"/>
    <s v="unbekannt"/>
    <x v="3"/>
    <x v="0"/>
    <x v="0"/>
    <x v="2"/>
    <x v="3"/>
    <n v="0"/>
    <n v="0"/>
    <n v="0"/>
    <n v="0"/>
    <x v="0"/>
    <n v="1"/>
    <s v=""/>
    <s v=""/>
    <s v=""/>
    <s v=""/>
    <s v=""/>
  </r>
  <r>
    <s v="Das_warme_Almosen.csv"/>
    <s v="#Wip"/>
    <x v="1"/>
    <s v="unbekannt"/>
    <x v="3"/>
    <x v="0"/>
    <x v="0"/>
    <x v="2"/>
    <x v="3"/>
    <n v="0"/>
    <n v="0"/>
    <n v="0"/>
    <n v="0"/>
    <x v="0"/>
    <n v="1"/>
    <s v=""/>
    <s v=""/>
    <s v=""/>
    <s v=""/>
    <s v=""/>
  </r>
  <r>
    <s v="Das_warme_Almosen.csv"/>
    <s v="#Armer-man"/>
    <x v="0"/>
    <s v="unbekannt"/>
    <x v="3"/>
    <x v="6"/>
    <x v="0"/>
    <x v="2"/>
    <x v="3"/>
    <n v="0"/>
    <n v="0"/>
    <n v="0"/>
    <n v="0"/>
    <x v="6"/>
    <n v="1"/>
    <s v=""/>
    <s v=""/>
    <s v=""/>
    <s v=""/>
    <s v=""/>
  </r>
  <r>
    <s v="Der_begrabene_Ehemann.csv"/>
    <s v="#Wip"/>
    <x v="1"/>
    <s v="unbekannt"/>
    <x v="3"/>
    <x v="13"/>
    <x v="0"/>
    <x v="2"/>
    <x v="3"/>
    <n v="0"/>
    <n v="0"/>
    <n v="0"/>
    <n v="0"/>
    <x v="4"/>
    <n v="1"/>
    <n v="1"/>
    <s v=""/>
    <s v=""/>
    <s v=""/>
    <s v=""/>
  </r>
  <r>
    <s v="Der_begrabene_Ehemann.csv"/>
    <s v="#Man"/>
    <x v="0"/>
    <s v="unbekannt"/>
    <x v="3"/>
    <x v="7"/>
    <x v="0"/>
    <x v="2"/>
    <x v="3"/>
    <n v="0"/>
    <n v="0"/>
    <n v="0"/>
    <n v="0"/>
    <x v="5"/>
    <n v="1"/>
    <s v=""/>
    <n v="2"/>
    <s v=""/>
    <s v=""/>
    <s v=""/>
  </r>
  <r>
    <s v="Der_begrabene_Ehemann.csv"/>
    <s v="#Pfaffe"/>
    <x v="0"/>
    <s v="klerus:pfarrer"/>
    <x v="3"/>
    <x v="6"/>
    <x v="1"/>
    <x v="4"/>
    <x v="3"/>
    <n v="0"/>
    <n v="0"/>
    <n v="0"/>
    <n v="0"/>
    <x v="6"/>
    <n v="1"/>
    <s v=""/>
    <s v=""/>
    <s v=""/>
    <s v=""/>
    <s v=""/>
  </r>
  <r>
    <s v="Der_Bildschnitzer_von_Wuerzburg.csv"/>
    <s v="#Man"/>
    <x v="0"/>
    <s v="buergerlich:maler"/>
    <x v="3"/>
    <x v="21"/>
    <x v="0"/>
    <x v="3"/>
    <x v="3"/>
    <n v="2"/>
    <n v="0"/>
    <n v="0.6"/>
    <n v="1"/>
    <x v="4"/>
    <n v="1"/>
    <n v="1"/>
    <s v=""/>
    <s v=""/>
    <s v=""/>
    <s v=""/>
  </r>
  <r>
    <s v="Der_Bildschnitzer_von_Wuerzburg.csv"/>
    <s v="#Weib"/>
    <x v="1"/>
    <s v="buergerlich:ehefrau"/>
    <x v="3"/>
    <x v="13"/>
    <x v="0"/>
    <x v="3"/>
    <x v="3"/>
    <n v="2"/>
    <n v="0"/>
    <n v="0.6"/>
    <n v="0.96349394369014196"/>
    <x v="4"/>
    <n v="1"/>
    <n v="1"/>
    <s v=""/>
    <s v=""/>
    <s v=""/>
    <s v=""/>
  </r>
  <r>
    <s v="Der_Bildschnitzer_von_Wuerzburg.csv"/>
    <s v="#Probst"/>
    <x v="0"/>
    <s v="klerus:probst"/>
    <x v="3"/>
    <x v="14"/>
    <x v="0"/>
    <x v="4"/>
    <x v="3"/>
    <n v="2"/>
    <n v="0"/>
    <n v="0.6"/>
    <n v="0.92041396180808299"/>
    <x v="5"/>
    <n v="1"/>
    <s v=""/>
    <n v="2"/>
    <s v=""/>
    <s v=""/>
    <s v=""/>
  </r>
  <r>
    <s v="Der_Bildschnitzer_von_Wuerzburg.csv"/>
    <s v="#Meit"/>
    <x v="1"/>
    <s v="buergerlich:magd"/>
    <x v="3"/>
    <x v="15"/>
    <x v="1"/>
    <x v="3"/>
    <x v="3"/>
    <n v="2"/>
    <n v="1"/>
    <n v="1"/>
    <n v="0.17788024419939399"/>
    <x v="12"/>
    <n v="1"/>
    <s v=""/>
    <s v=""/>
    <s v=""/>
    <s v=""/>
    <s v=""/>
  </r>
  <r>
    <s v="Der_blossgestellte_Ritter.csv"/>
    <s v="#Ritter"/>
    <x v="0"/>
    <s v="adel:ritter"/>
    <x v="3"/>
    <x v="14"/>
    <x v="0"/>
    <x v="1"/>
    <x v="1"/>
    <n v="2"/>
    <n v="0.3"/>
    <n v="0.625"/>
    <n v="0.98828583836448602"/>
    <x v="5"/>
    <n v="1"/>
    <s v=""/>
    <n v="2"/>
    <s v=""/>
    <s v=""/>
    <s v=""/>
  </r>
  <r>
    <s v="Der_blossgestellte_Ritter.csv"/>
    <s v="#Wirt"/>
    <x v="0"/>
    <s v="buergerlich:wirt"/>
    <x v="3"/>
    <x v="4"/>
    <x v="0"/>
    <x v="3"/>
    <x v="1"/>
    <n v="2"/>
    <n v="0"/>
    <n v="0.55555555555555602"/>
    <n v="1"/>
    <x v="4"/>
    <n v="1"/>
    <n v="1"/>
    <s v=""/>
    <s v=""/>
    <s v=""/>
    <s v=""/>
  </r>
  <r>
    <s v="Der_blossgestellte_Ritter.csv"/>
    <s v="#Tohter"/>
    <x v="2"/>
    <s v="buergerlich:NA"/>
    <x v="3"/>
    <x v="2"/>
    <x v="1"/>
    <x v="3"/>
    <x v="1"/>
    <n v="1.6"/>
    <n v="0"/>
    <n v="0.5"/>
    <n v="0.79645360513706398"/>
    <x v="2"/>
    <n v="1"/>
    <s v=""/>
    <s v=""/>
    <s v=""/>
    <s v=""/>
    <s v=""/>
  </r>
  <r>
    <s v="Der_blossgestellte_Ritter.csv"/>
    <s v="#Vrouwe"/>
    <x v="1"/>
    <s v="buergerlich:ehefrau"/>
    <x v="3"/>
    <x v="1"/>
    <x v="1"/>
    <x v="3"/>
    <x v="1"/>
    <n v="1.6"/>
    <n v="0"/>
    <n v="0.5"/>
    <n v="0.67101642522730098"/>
    <x v="1"/>
    <n v="1"/>
    <s v=""/>
    <s v=""/>
    <s v=""/>
    <s v=""/>
    <s v=""/>
  </r>
  <r>
    <s v="Der_blossgestellte_Ritter.csv"/>
    <s v="#Koch"/>
    <x v="0"/>
    <s v="buergerlich:koch"/>
    <x v="3"/>
    <x v="3"/>
    <x v="1"/>
    <x v="3"/>
    <x v="1"/>
    <n v="1.6"/>
    <n v="0.8"/>
    <n v="0.83333333333333304"/>
    <n v="0.26891264395280701"/>
    <x v="3"/>
    <n v="1"/>
    <s v=""/>
    <s v=""/>
    <s v=""/>
    <s v=""/>
    <s v=""/>
  </r>
  <r>
    <s v="Der_blossgestellte_Ritter.csv"/>
    <s v="#Kneht"/>
    <x v="2"/>
    <s v="buergerlich:knecht"/>
    <x v="3"/>
    <x v="3"/>
    <x v="1"/>
    <x v="3"/>
    <x v="1"/>
    <n v="0.8"/>
    <n v="0"/>
    <n v="0.45454545454545497"/>
    <n v="0.23253605758236401"/>
    <x v="3"/>
    <n v="1"/>
    <s v=""/>
    <s v=""/>
    <s v=""/>
    <s v=""/>
    <s v=""/>
  </r>
  <r>
    <s v="Der_entlaufene_Hasenbraten.csv"/>
    <s v="#Ritter"/>
    <x v="0"/>
    <s v="adel:ritter"/>
    <x v="3"/>
    <x v="0"/>
    <x v="0"/>
    <x v="1"/>
    <x v="3"/>
    <n v="2"/>
    <n v="0"/>
    <n v="0.38461538461538503"/>
    <n v="1"/>
    <x v="0"/>
    <n v="1"/>
    <s v=""/>
    <s v=""/>
    <s v=""/>
    <s v=""/>
    <s v=""/>
  </r>
  <r>
    <s v="Der_entlaufene_Hasenbraten.csv"/>
    <s v="#Hus-vrouwe"/>
    <x v="1"/>
    <s v="adel:edelfrau"/>
    <x v="3"/>
    <x v="1"/>
    <x v="0"/>
    <x v="1"/>
    <x v="3"/>
    <n v="2"/>
    <n v="0"/>
    <n v="0.38461538461538503"/>
    <n v="0.922063291350257"/>
    <x v="1"/>
    <n v="1"/>
    <s v=""/>
    <s v=""/>
    <s v=""/>
    <s v=""/>
    <s v=""/>
  </r>
  <r>
    <s v="Der_entlaufene_Hasenbraten.csv"/>
    <s v="#Niftel"/>
    <x v="1"/>
    <s v="unbekannt"/>
    <x v="3"/>
    <x v="3"/>
    <x v="1"/>
    <x v="2"/>
    <x v="3"/>
    <n v="2"/>
    <n v="0.1"/>
    <n v="0.55555555555555602"/>
    <n v="0.426652358265807"/>
    <x v="3"/>
    <n v="1"/>
    <s v=""/>
    <s v=""/>
    <s v=""/>
    <s v=""/>
    <s v=""/>
  </r>
  <r>
    <s v="Der_entlaufene_Hasenbraten.csv"/>
    <s v="#Muome"/>
    <x v="1"/>
    <s v="unbekannt"/>
    <x v="3"/>
    <x v="3"/>
    <x v="1"/>
    <x v="2"/>
    <x v="3"/>
    <n v="2"/>
    <n v="0.1"/>
    <n v="0.55555555555555602"/>
    <n v="0.426652358265807"/>
    <x v="3"/>
    <n v="1"/>
    <s v=""/>
    <s v=""/>
    <s v=""/>
    <s v=""/>
    <s v=""/>
  </r>
  <r>
    <s v="Der_entlaufene_Hasenbraten.csv"/>
    <s v="#Base"/>
    <x v="1"/>
    <s v="unbekannt"/>
    <x v="3"/>
    <x v="3"/>
    <x v="1"/>
    <x v="2"/>
    <x v="3"/>
    <n v="2"/>
    <n v="0.1"/>
    <n v="0.55555555555555602"/>
    <n v="0.426652358265807"/>
    <x v="3"/>
    <n v="1"/>
    <s v=""/>
    <s v=""/>
    <s v=""/>
    <s v=""/>
    <s v=""/>
  </r>
  <r>
    <s v="Der_entlaufene_Hasenbraten.csv"/>
    <s v="#Pfaffe"/>
    <x v="0"/>
    <s v="klerus:pfarrer"/>
    <x v="3"/>
    <x v="6"/>
    <x v="1"/>
    <x v="4"/>
    <x v="3"/>
    <n v="2"/>
    <n v="0.15"/>
    <n v="0.55555555555555602"/>
    <n v="0.858133496191128"/>
    <x v="6"/>
    <n v="1"/>
    <s v=""/>
    <s v=""/>
    <s v=""/>
    <s v=""/>
    <s v=""/>
  </r>
  <r>
    <s v="Der_falsche_Blinde.csv"/>
    <s v="#Triegaere"/>
    <x v="0"/>
    <s v="unbekannt"/>
    <x v="3"/>
    <x v="4"/>
    <x v="0"/>
    <x v="2"/>
    <x v="1"/>
    <n v="2"/>
    <n v="0.83333333333333304"/>
    <n v="0.66666666666666696"/>
    <n v="1"/>
    <x v="4"/>
    <n v="1"/>
    <n v="1"/>
    <s v=""/>
    <s v=""/>
    <s v=""/>
    <s v=""/>
  </r>
  <r>
    <s v="Der_falsche_Blinde.csv"/>
    <s v="#Kinder"/>
    <x v="2"/>
    <s v="unbekannt"/>
    <x v="1"/>
    <x v="6"/>
    <x v="1"/>
    <x v="2"/>
    <x v="1"/>
    <n v="1"/>
    <n v="0"/>
    <n v="0.4"/>
    <n v="0.88682304343071905"/>
    <x v="6"/>
    <n v="1"/>
    <s v=""/>
    <s v=""/>
    <s v=""/>
    <s v=""/>
    <s v=""/>
  </r>
  <r>
    <s v="Der_falsche_Blinde.csv"/>
    <s v="#Wiben"/>
    <x v="2"/>
    <s v="unbekannt"/>
    <x v="3"/>
    <x v="3"/>
    <x v="1"/>
    <x v="2"/>
    <x v="1"/>
    <n v="1"/>
    <n v="0.5"/>
    <n v="0.57142857142857095"/>
    <n v="0.38186442808788801"/>
    <x v="3"/>
    <n v="1"/>
    <s v=""/>
    <s v=""/>
    <s v=""/>
    <s v=""/>
    <s v=""/>
  </r>
  <r>
    <s v="Der_falsche_Blinde.csv"/>
    <s v="#Liute"/>
    <x v="2"/>
    <s v="unbekannt"/>
    <x v="3"/>
    <x v="14"/>
    <x v="0"/>
    <x v="2"/>
    <x v="1"/>
    <n v="0.5"/>
    <n v="0"/>
    <n v="0.33333333333333298"/>
    <n v="0.40476973123410898"/>
    <x v="5"/>
    <n v="1"/>
    <s v=""/>
    <n v="2"/>
    <s v=""/>
    <s v=""/>
    <s v=""/>
  </r>
  <r>
    <s v="Der_falsche_Blinde.csv"/>
    <s v="#Ein-man"/>
    <x v="0"/>
    <s v="unbekannt"/>
    <x v="3"/>
    <x v="11"/>
    <x v="1"/>
    <x v="2"/>
    <x v="1"/>
    <n v="0.5"/>
    <n v="0"/>
    <n v="0.44444444444444398"/>
    <n v="0.20238486561705399"/>
    <x v="10"/>
    <n v="1"/>
    <s v=""/>
    <s v=""/>
    <s v=""/>
    <s v=""/>
    <n v="5"/>
  </r>
  <r>
    <s v="Der_Frauen_Trost.csv"/>
    <s v="#Ritter"/>
    <x v="0"/>
    <s v="adel:ritter"/>
    <x v="3"/>
    <x v="21"/>
    <x v="0"/>
    <x v="1"/>
    <x v="3"/>
    <n v="2"/>
    <n v="0.33333333333333298"/>
    <n v="0.75"/>
    <n v="0.99634281667130098"/>
    <x v="4"/>
    <n v="1"/>
    <n v="1"/>
    <s v=""/>
    <s v=""/>
    <s v=""/>
    <s v=""/>
  </r>
  <r>
    <s v="Der_Frauen_Trost.csv"/>
    <s v="#Wip"/>
    <x v="1"/>
    <s v="adel:edelfrau"/>
    <x v="3"/>
    <x v="5"/>
    <x v="0"/>
    <x v="1"/>
    <x v="3"/>
    <n v="2"/>
    <n v="0"/>
    <n v="0.6"/>
    <n v="1"/>
    <x v="5"/>
    <n v="1"/>
    <s v=""/>
    <n v="2"/>
    <s v=""/>
    <s v=""/>
    <s v=""/>
  </r>
  <r>
    <s v="Der_Frauen_Trost.csv"/>
    <s v="#Knehte"/>
    <x v="2"/>
    <s v="adel:knecht"/>
    <x v="3"/>
    <x v="3"/>
    <x v="1"/>
    <x v="1"/>
    <x v="3"/>
    <n v="1.3333333333333299"/>
    <n v="0"/>
    <n v="0.6"/>
    <n v="0.14745769345937701"/>
    <x v="3"/>
    <n v="1"/>
    <s v=""/>
    <s v=""/>
    <s v=""/>
    <s v=""/>
    <s v=""/>
  </r>
  <r>
    <s v="Der_Frauen_Trost.csv"/>
    <s v="#Gesinde"/>
    <x v="2"/>
    <s v="unbekannt"/>
    <x v="3"/>
    <x v="3"/>
    <x v="1"/>
    <x v="2"/>
    <x v="3"/>
    <n v="1.3333333333333299"/>
    <n v="0.33333333333333298"/>
    <n v="0.75"/>
    <n v="9.8245135857843793E-2"/>
    <x v="3"/>
    <n v="1"/>
    <s v=""/>
    <s v=""/>
    <s v=""/>
    <s v=""/>
    <s v=""/>
  </r>
  <r>
    <s v="Der_Frauen_Turnei.csv"/>
    <s v="#Rittergruppe"/>
    <x v="2"/>
    <s v="adel:ritter"/>
    <x v="3"/>
    <x v="3"/>
    <x v="0"/>
    <x v="1"/>
    <x v="1"/>
    <n v="1.1764705882352899"/>
    <n v="0.34558823529411797"/>
    <n v="0.32692307692307698"/>
    <n v="0.63172764852622498"/>
    <x v="3"/>
    <n v="4"/>
    <s v=""/>
    <s v=""/>
    <s v=""/>
    <s v=""/>
    <s v=""/>
  </r>
  <r>
    <s v="Der_Frauen_Turnei.csv"/>
    <s v="#Houb-(e)-tman"/>
    <x v="0"/>
    <s v="adel:hauptmann"/>
    <x v="3"/>
    <x v="3"/>
    <x v="1"/>
    <x v="1"/>
    <x v="1"/>
    <n v="0.11764705882352899"/>
    <n v="0"/>
    <n v="0.25373134328358199"/>
    <n v="4.7812033481528703E-2"/>
    <x v="3"/>
    <n v="4"/>
    <s v=""/>
    <s v=""/>
    <s v=""/>
    <s v=""/>
    <s v=""/>
  </r>
  <r>
    <s v="Der_Frauen_Turnei.csv"/>
    <s v="#Frauengruppe"/>
    <x v="2"/>
    <s v="adel:edelfrau"/>
    <x v="3"/>
    <x v="3"/>
    <x v="0"/>
    <x v="1"/>
    <x v="1"/>
    <n v="1.4117647058823499"/>
    <n v="0.41911764705882398"/>
    <n v="0.34"/>
    <n v="0.99563054250221905"/>
    <x v="3"/>
    <n v="4"/>
    <s v=""/>
    <s v=""/>
    <s v=""/>
    <s v=""/>
    <s v=""/>
  </r>
  <r>
    <s v="Der_Frauen_Turnei.csv"/>
    <s v="#Fremder-ritter"/>
    <x v="0"/>
    <s v="adel:ritter"/>
    <x v="3"/>
    <x v="18"/>
    <x v="1"/>
    <x v="1"/>
    <x v="1"/>
    <n v="0.11764705882352899"/>
    <n v="0"/>
    <n v="0.207317073170732"/>
    <n v="9.5624066963057502E-2"/>
    <x v="13"/>
    <n v="4"/>
    <s v=""/>
    <s v=""/>
    <s v=""/>
    <s v=""/>
    <s v=""/>
  </r>
  <r>
    <s v="Der_Frauen_Turnei.csv"/>
    <s v="#Eine-der-vrouwen-4"/>
    <x v="1"/>
    <s v="adel:edelfrau"/>
    <x v="3"/>
    <x v="3"/>
    <x v="1"/>
    <x v="1"/>
    <x v="1"/>
    <n v="0.35294117647058798"/>
    <n v="6.25E-2"/>
    <n v="0.30909090909090903"/>
    <n v="0.12961145898764301"/>
    <x v="3"/>
    <n v="4"/>
    <s v=""/>
    <s v=""/>
    <s v=""/>
    <s v=""/>
    <s v=""/>
  </r>
  <r>
    <s v="Der_Frauen_Turnei.csv"/>
    <s v="#Eine-der-vrouwen-3"/>
    <x v="1"/>
    <s v="adel:edelfrau"/>
    <x v="3"/>
    <x v="3"/>
    <x v="1"/>
    <x v="1"/>
    <x v="1"/>
    <n v="0.23529411764705899"/>
    <n v="0"/>
    <n v="0.28333333333333299"/>
    <n v="8.5163453547691698E-2"/>
    <x v="3"/>
    <n v="4"/>
    <s v=""/>
    <s v=""/>
    <s v=""/>
    <s v=""/>
    <s v=""/>
  </r>
  <r>
    <s v="Der_Frauen_Turnei.csv"/>
    <s v="#Eine-der-vrouwen-1"/>
    <x v="1"/>
    <s v="adel:edelfrau"/>
    <x v="3"/>
    <x v="6"/>
    <x v="0"/>
    <x v="1"/>
    <x v="1"/>
    <n v="0.11764705882352899"/>
    <n v="0"/>
    <n v="0.17894736842105299"/>
    <n v="0.226061599224302"/>
    <x v="6"/>
    <n v="4"/>
    <s v=""/>
    <s v=""/>
    <s v=""/>
    <s v=""/>
    <s v=""/>
  </r>
  <r>
    <s v="Der_Frauen_Turnei.csv"/>
    <s v="#Ein-vrouwe-wol-gezogen"/>
    <x v="1"/>
    <s v="adel:edelfrau"/>
    <x v="3"/>
    <x v="3"/>
    <x v="1"/>
    <x v="1"/>
    <x v="1"/>
    <n v="0"/>
    <n v="0"/>
    <n v="5.5555555555555601E-2"/>
    <n v="9.9831087659658595E-18"/>
    <x v="3"/>
    <n v="4"/>
    <s v=""/>
    <s v=""/>
    <s v=""/>
    <s v=""/>
    <s v=""/>
  </r>
  <r>
    <s v="Der_Frauen_Turnei.csv"/>
    <s v="#Eine-der-vrouwen-2"/>
    <x v="1"/>
    <s v="adel:edelfrau"/>
    <x v="3"/>
    <x v="3"/>
    <x v="1"/>
    <x v="1"/>
    <x v="1"/>
    <n v="0.11764705882352899"/>
    <n v="0"/>
    <n v="0.21249999999999999"/>
    <n v="0.15070773281620101"/>
    <x v="3"/>
    <n v="4"/>
    <s v=""/>
    <s v=""/>
    <s v=""/>
    <s v=""/>
    <s v=""/>
  </r>
  <r>
    <s v="Der_Frauen_Turnei.csv"/>
    <s v="#Junk-vrouwe"/>
    <x v="1"/>
    <s v="adel:edelfrau"/>
    <x v="0"/>
    <x v="3"/>
    <x v="0"/>
    <x v="1"/>
    <x v="1"/>
    <n v="0.70588235294117696"/>
    <n v="3.6764705882352902E-3"/>
    <n v="0.25373134328358199"/>
    <n v="1"/>
    <x v="3"/>
    <n v="4"/>
    <s v=""/>
    <s v=""/>
    <s v=""/>
    <s v=""/>
    <s v=""/>
  </r>
  <r>
    <s v="Der_Frauen_Turnei.csv"/>
    <s v="#Vater-der-junk-vrouwe"/>
    <x v="0"/>
    <s v="adel:unbekannt"/>
    <x v="2"/>
    <x v="3"/>
    <x v="1"/>
    <x v="1"/>
    <x v="1"/>
    <n v="0.35294117647058798"/>
    <n v="1.2867647058823499E-2"/>
    <n v="0.28333333333333299"/>
    <n v="0.33483352403769701"/>
    <x v="3"/>
    <n v="4"/>
    <s v=""/>
    <s v=""/>
    <s v=""/>
    <s v=""/>
    <s v=""/>
  </r>
  <r>
    <s v="Der_Frauen_Turnei.csv"/>
    <s v="#Knechte-der-ritter"/>
    <x v="2"/>
    <s v="adel:knecht"/>
    <x v="3"/>
    <x v="6"/>
    <x v="1"/>
    <x v="1"/>
    <x v="1"/>
    <n v="0.23529411764705899"/>
    <n v="2.9411764705882401E-2"/>
    <n v="0.30357142857142899"/>
    <n v="0.123165899889629"/>
    <x v="6"/>
    <n v="4"/>
    <s v=""/>
    <s v=""/>
    <s v=""/>
    <s v=""/>
    <s v=""/>
  </r>
  <r>
    <s v="Der_Frauen_Turnei.csv"/>
    <s v="#Einer-der-ritter-3"/>
    <x v="0"/>
    <s v="adel:ritter"/>
    <x v="3"/>
    <x v="3"/>
    <x v="1"/>
    <x v="1"/>
    <x v="1"/>
    <n v="0.35294117647058798"/>
    <n v="2.9411764705882401E-2"/>
    <n v="0.30909090909090903"/>
    <n v="0.133250939538475"/>
    <x v="3"/>
    <n v="4"/>
    <s v=""/>
    <s v=""/>
    <s v=""/>
    <s v=""/>
    <s v=""/>
  </r>
  <r>
    <s v="Der_Frauen_Turnei.csv"/>
    <s v="#Einer-der-ritter-2"/>
    <x v="0"/>
    <s v="adel:ritter"/>
    <x v="3"/>
    <x v="3"/>
    <x v="1"/>
    <x v="1"/>
    <x v="1"/>
    <n v="0.35294117647058798"/>
    <n v="2.9411764705882401E-2"/>
    <n v="0.30909090909090903"/>
    <n v="0.133250939538474"/>
    <x v="3"/>
    <n v="4"/>
    <s v=""/>
    <s v=""/>
    <s v=""/>
    <s v=""/>
    <s v=""/>
  </r>
  <r>
    <s v="Der_Frauen_Turnei.csv"/>
    <s v="#Einer-der-ritter"/>
    <x v="0"/>
    <s v="adel:ritter"/>
    <x v="3"/>
    <x v="3"/>
    <x v="1"/>
    <x v="1"/>
    <x v="1"/>
    <n v="0.35294117647058798"/>
    <n v="8.2720588235294101E-2"/>
    <n v="0.29310344827586199"/>
    <n v="0.177551862296327"/>
    <x v="3"/>
    <n v="4"/>
    <s v=""/>
    <s v=""/>
    <s v=""/>
    <s v=""/>
    <s v=""/>
  </r>
  <r>
    <s v="Der_Frauen_Turnei.csv"/>
    <s v="#Herzoge-Walraben-von-Limburk"/>
    <x v="0"/>
    <s v="adel:herzog"/>
    <x v="3"/>
    <x v="6"/>
    <x v="1"/>
    <x v="1"/>
    <x v="1"/>
    <n v="0.82352941176470595"/>
    <n v="0.13602941176470601"/>
    <n v="0.28333333333333299"/>
    <n v="0.714217760870416"/>
    <x v="6"/>
    <n v="4"/>
    <s v=""/>
    <s v=""/>
    <s v=""/>
    <s v=""/>
    <s v=""/>
  </r>
  <r>
    <s v="Der_Frauen_Turnei.csv"/>
    <s v="#Knecht-des-herzogs"/>
    <x v="0"/>
    <s v="adel:knecht"/>
    <x v="3"/>
    <x v="3"/>
    <x v="1"/>
    <x v="1"/>
    <x v="1"/>
    <n v="0.11764705882352899"/>
    <n v="0"/>
    <n v="0.22666666666666699"/>
    <n v="5.4055261908362101E-2"/>
    <x v="3"/>
    <n v="4"/>
    <s v=""/>
    <s v=""/>
    <s v=""/>
    <s v=""/>
    <s v=""/>
  </r>
  <r>
    <s v="Der_Frauen_Turnei.csv"/>
    <s v="#Richer-man"/>
    <x v="0"/>
    <s v="adel:ritter"/>
    <x v="3"/>
    <x v="3"/>
    <x v="1"/>
    <x v="1"/>
    <x v="1"/>
    <n v="0.35294117647058798"/>
    <n v="6.0661764705882401E-2"/>
    <n v="0.29824561403508798"/>
    <n v="0.28077826212933499"/>
    <x v="3"/>
    <n v="4"/>
    <s v=""/>
    <s v=""/>
    <s v=""/>
    <s v=""/>
    <s v=""/>
  </r>
  <r>
    <s v="Der_Guertel.csv"/>
    <s v="#Das-maere-selbst"/>
    <x v="4"/>
    <s v="NA"/>
    <x v="4"/>
    <x v="22"/>
    <x v="1"/>
    <x v="0"/>
    <x v="3"/>
    <n v="0.30769230769230799"/>
    <n v="1.2820512820512799E-2"/>
    <n v="0.30232558139534899"/>
    <n v="3.3950300679227503E-2"/>
    <x v="15"/>
    <n v="1"/>
    <s v=""/>
    <s v=""/>
    <s v=""/>
    <s v=""/>
    <s v=""/>
  </r>
  <r>
    <s v="Der_Guertel.csv"/>
    <s v="#Konrad"/>
    <x v="0"/>
    <s v="adel:ritter"/>
    <x v="3"/>
    <x v="7"/>
    <x v="0"/>
    <x v="1"/>
    <x v="3"/>
    <n v="0.92307692307692302"/>
    <n v="8.4401709401709393E-2"/>
    <n v="0.32500000000000001"/>
    <n v="0.82855883634683103"/>
    <x v="5"/>
    <n v="1"/>
    <s v=""/>
    <n v="2"/>
    <s v=""/>
    <s v=""/>
    <s v=""/>
  </r>
  <r>
    <s v="Der_Guertel.csv"/>
    <s v="#Wip/Heinrich"/>
    <x v="1"/>
    <s v="adel:edelfrau"/>
    <x v="0"/>
    <x v="13"/>
    <x v="0"/>
    <x v="1"/>
    <x v="3"/>
    <n v="1.84615384615385"/>
    <n v="0.67841880341880301"/>
    <n v="0.54166666666666696"/>
    <n v="1"/>
    <x v="4"/>
    <n v="1"/>
    <n v="1"/>
    <s v=""/>
    <s v=""/>
    <s v=""/>
    <s v=""/>
  </r>
  <r>
    <s v="Der_Guertel.csv"/>
    <s v="#Ritter"/>
    <x v="0"/>
    <s v="adel:ritter"/>
    <x v="3"/>
    <x v="11"/>
    <x v="1"/>
    <x v="1"/>
    <x v="3"/>
    <n v="0.61538461538461497"/>
    <n v="0.112179487179487"/>
    <n v="0.371428571428571"/>
    <n v="0.48756903861689899"/>
    <x v="10"/>
    <n v="1"/>
    <s v=""/>
    <s v=""/>
    <s v=""/>
    <s v=""/>
    <n v="5"/>
  </r>
  <r>
    <s v="Der_Guertel.csv"/>
    <s v="#Junk-vroeuwelin"/>
    <x v="1"/>
    <s v="adel:edelfrau"/>
    <x v="0"/>
    <x v="3"/>
    <x v="1"/>
    <x v="1"/>
    <x v="3"/>
    <n v="0.30769230769230799"/>
    <n v="0.17521367521367501"/>
    <n v="0.41935483870967699"/>
    <n v="5.1076691492626503E-2"/>
    <x v="3"/>
    <n v="1"/>
    <s v=""/>
    <s v=""/>
    <s v=""/>
    <s v=""/>
    <s v=""/>
  </r>
  <r>
    <s v="Der_Guertel.csv"/>
    <s v="#Magt-der-vrouwe"/>
    <x v="1"/>
    <s v="adel:magd"/>
    <x v="3"/>
    <x v="3"/>
    <x v="1"/>
    <x v="1"/>
    <x v="3"/>
    <n v="0.15384615384615399"/>
    <n v="0"/>
    <n v="0.36111111111111099"/>
    <n v="3.4335677986492799E-2"/>
    <x v="3"/>
    <n v="1"/>
    <s v=""/>
    <s v=""/>
    <s v=""/>
    <s v=""/>
    <s v=""/>
  </r>
  <r>
    <s v="Der_Guertel.csv"/>
    <s v="#Ein-knecht"/>
    <x v="0"/>
    <s v="adel:knecht"/>
    <x v="3"/>
    <x v="6"/>
    <x v="1"/>
    <x v="1"/>
    <x v="3"/>
    <n v="0.61538461538461497"/>
    <n v="8.9743589743589702E-2"/>
    <n v="0.34210526315789502"/>
    <n v="0.16021734837225601"/>
    <x v="6"/>
    <n v="1"/>
    <s v=""/>
    <s v=""/>
    <s v=""/>
    <s v=""/>
    <s v=""/>
  </r>
  <r>
    <s v="Der_Guertel.csv"/>
    <s v="#Knechte-der-vrouwe"/>
    <x v="2"/>
    <s v="adel:knecht"/>
    <x v="3"/>
    <x v="3"/>
    <x v="1"/>
    <x v="1"/>
    <x v="3"/>
    <n v="0.30769230769230799"/>
    <n v="0"/>
    <n v="0.282608695652174"/>
    <n v="7.8565988690701902E-2"/>
    <x v="3"/>
    <n v="1"/>
    <s v=""/>
    <s v=""/>
    <s v=""/>
    <s v=""/>
    <s v=""/>
  </r>
  <r>
    <s v="Der_Guertel.csv"/>
    <s v="#Wirt"/>
    <x v="0"/>
    <s v="buergerlich:wirt"/>
    <x v="3"/>
    <x v="6"/>
    <x v="1"/>
    <x v="3"/>
    <x v="3"/>
    <n v="0.46153846153846201"/>
    <n v="6.41025641025641E-3"/>
    <n v="0.29545454545454503"/>
    <n v="0.144086753166907"/>
    <x v="6"/>
    <n v="1"/>
    <s v=""/>
    <s v=""/>
    <s v=""/>
    <s v=""/>
    <s v=""/>
  </r>
  <r>
    <s v="Der_Guertel.csv"/>
    <s v="#Knechte-von-heinrich"/>
    <x v="2"/>
    <s v="adel:knecht"/>
    <x v="3"/>
    <x v="3"/>
    <x v="1"/>
    <x v="1"/>
    <x v="3"/>
    <n v="0.30769230769230799"/>
    <n v="0.141025641025641"/>
    <n v="0.38235294117647101"/>
    <n v="3.9282994345350999E-2"/>
    <x v="3"/>
    <n v="1"/>
    <s v=""/>
    <s v=""/>
    <s v=""/>
    <s v=""/>
    <s v=""/>
  </r>
  <r>
    <s v="Der_Guertel.csv"/>
    <s v="#Herzoge"/>
    <x v="0"/>
    <s v="adel:herzog"/>
    <x v="3"/>
    <x v="3"/>
    <x v="1"/>
    <x v="1"/>
    <x v="3"/>
    <n v="0.76923076923076905"/>
    <n v="9.4017094017094002E-2"/>
    <n v="0.35135135135135098"/>
    <n v="0.48929475817026402"/>
    <x v="3"/>
    <n v="1"/>
    <s v=""/>
    <s v=""/>
    <s v=""/>
    <s v=""/>
    <s v=""/>
  </r>
  <r>
    <s v="Der_Guertel.csv"/>
    <s v="#Knechte-des-herzogs"/>
    <x v="2"/>
    <s v="adel:knecht"/>
    <x v="3"/>
    <x v="3"/>
    <x v="1"/>
    <x v="1"/>
    <x v="3"/>
    <n v="0.30769230769230799"/>
    <n v="7.3717948717948706E-2"/>
    <n v="0.40625"/>
    <n v="5.1135945243505801E-2"/>
    <x v="3"/>
    <n v="1"/>
    <s v=""/>
    <s v=""/>
    <s v=""/>
    <s v=""/>
    <s v=""/>
  </r>
  <r>
    <s v="Der_Guertel.csv"/>
    <s v="#Ein-ritter"/>
    <x v="0"/>
    <s v="adel:ritter"/>
    <x v="3"/>
    <x v="3"/>
    <x v="1"/>
    <x v="1"/>
    <x v="3"/>
    <n v="0.30769230769230799"/>
    <n v="7.3717948717948706E-2"/>
    <n v="0.40625"/>
    <n v="5.1135945243505898E-2"/>
    <x v="3"/>
    <n v="1"/>
    <s v=""/>
    <s v=""/>
    <s v=""/>
    <s v=""/>
    <s v=""/>
  </r>
  <r>
    <s v="Der_Guertel.csv"/>
    <s v="#Ein-brite"/>
    <x v="0"/>
    <s v="adel:ritter"/>
    <x v="3"/>
    <x v="18"/>
    <x v="1"/>
    <x v="1"/>
    <x v="3"/>
    <n v="0.46153846153846201"/>
    <n v="4.2735042735042701E-2"/>
    <n v="0.30952380952380998"/>
    <n v="0.176705560011827"/>
    <x v="13"/>
    <n v="1"/>
    <s v=""/>
    <s v=""/>
    <s v=""/>
    <s v=""/>
    <s v=""/>
  </r>
  <r>
    <s v="Der_junge_Ratgeber.csv"/>
    <s v="#Kunic"/>
    <x v="0"/>
    <s v="adel:koenig"/>
    <x v="3"/>
    <x v="3"/>
    <x v="0"/>
    <x v="1"/>
    <x v="1"/>
    <n v="2"/>
    <n v="0.05"/>
    <n v="0.55555555555555602"/>
    <n v="1"/>
    <x v="3"/>
    <n v="1"/>
    <s v=""/>
    <s v=""/>
    <s v=""/>
    <s v=""/>
    <s v=""/>
  </r>
  <r>
    <s v="Der_junge_Ratgeber.csv"/>
    <s v="#Alter-ratgeben"/>
    <x v="0"/>
    <s v="adel:ratgeber"/>
    <x v="2"/>
    <x v="8"/>
    <x v="1"/>
    <x v="1"/>
    <x v="1"/>
    <n v="1.6"/>
    <n v="0.25"/>
    <n v="0.625"/>
    <n v="0.81844232581321796"/>
    <x v="7"/>
    <n v="1"/>
    <s v=""/>
    <s v=""/>
    <s v=""/>
    <s v=""/>
    <s v=""/>
  </r>
  <r>
    <s v="Der_junge_Ratgeber.csv"/>
    <s v="#Sun-(neuer-ratgeben)"/>
    <x v="0"/>
    <s v="adel:ratgeber"/>
    <x v="0"/>
    <x v="23"/>
    <x v="0"/>
    <x v="1"/>
    <x v="1"/>
    <n v="2"/>
    <n v="0"/>
    <n v="0.45454545454545497"/>
    <n v="0.896398856114894"/>
    <x v="16"/>
    <n v="1"/>
    <s v=""/>
    <s v=""/>
    <s v=""/>
    <s v=""/>
    <s v=""/>
  </r>
  <r>
    <s v="Der_junge_Ratgeber.csv"/>
    <s v="#Bote"/>
    <x v="0"/>
    <s v="buergerlich:bote"/>
    <x v="3"/>
    <x v="15"/>
    <x v="1"/>
    <x v="3"/>
    <x v="1"/>
    <n v="1.2"/>
    <n v="0.4"/>
    <n v="0.625"/>
    <n v="0.19434459280845101"/>
    <x v="12"/>
    <n v="1"/>
    <s v=""/>
    <s v=""/>
    <s v=""/>
    <s v=""/>
    <s v=""/>
  </r>
  <r>
    <s v="Der_junge_Ratgeber.csv"/>
    <s v="#Besten-von-dem-lande"/>
    <x v="2"/>
    <s v="unbekannt"/>
    <x v="3"/>
    <x v="3"/>
    <x v="1"/>
    <x v="2"/>
    <x v="1"/>
    <n v="1.6"/>
    <n v="0.15"/>
    <n v="0.55555555555555602"/>
    <n v="0.54945473053465199"/>
    <x v="3"/>
    <n v="1"/>
    <s v=""/>
    <s v=""/>
    <s v=""/>
    <s v=""/>
    <s v=""/>
  </r>
  <r>
    <s v="Der_junge_Ratgeber.csv"/>
    <s v="#Nidaere"/>
    <x v="2"/>
    <s v="unbekannt"/>
    <x v="3"/>
    <x v="11"/>
    <x v="1"/>
    <x v="2"/>
    <x v="1"/>
    <n v="1.2"/>
    <n v="0"/>
    <n v="0.45454545454545497"/>
    <n v="0.37501403777258802"/>
    <x v="10"/>
    <n v="1"/>
    <s v=""/>
    <s v=""/>
    <s v=""/>
    <s v=""/>
    <n v="5"/>
  </r>
  <r>
    <s v="Der_kluge_Knecht.csv"/>
    <s v="#Man"/>
    <x v="0"/>
    <s v="unbekannt"/>
    <x v="3"/>
    <x v="7"/>
    <x v="0"/>
    <x v="2"/>
    <x v="3"/>
    <n v="2"/>
    <n v="0"/>
    <n v="8.5714285714285701E-2"/>
    <n v="1"/>
    <x v="5"/>
    <n v="1"/>
    <s v=""/>
    <n v="2"/>
    <s v=""/>
    <s v=""/>
    <s v=""/>
  </r>
  <r>
    <s v="Der_kluge_Knecht.csv"/>
    <s v="#Wip"/>
    <x v="1"/>
    <s v="unbekannt"/>
    <x v="3"/>
    <x v="13"/>
    <x v="0"/>
    <x v="2"/>
    <x v="3"/>
    <n v="2"/>
    <n v="0"/>
    <n v="8.5714285714285701E-2"/>
    <n v="0.93521875234554497"/>
    <x v="4"/>
    <n v="1"/>
    <n v="1"/>
    <s v=""/>
    <s v=""/>
    <s v=""/>
    <s v=""/>
  </r>
  <r>
    <s v="Der_kluge_Knecht.csv"/>
    <s v="#Kneht"/>
    <x v="0"/>
    <s v="unbekannt:knecht"/>
    <x v="3"/>
    <x v="6"/>
    <x v="0"/>
    <x v="2"/>
    <x v="3"/>
    <n v="2"/>
    <n v="0"/>
    <n v="0.12"/>
    <n v="0.88656582522251803"/>
    <x v="6"/>
    <n v="1"/>
    <s v=""/>
    <s v=""/>
    <s v=""/>
    <s v=""/>
    <s v=""/>
  </r>
  <r>
    <s v="Der_kluge_Knecht.csv"/>
    <s v="#Pfarraere"/>
    <x v="0"/>
    <s v="klerus:pfarrer"/>
    <x v="3"/>
    <x v="4"/>
    <x v="1"/>
    <x v="4"/>
    <x v="3"/>
    <n v="2"/>
    <n v="1"/>
    <n v="0.157894736842105"/>
    <n v="0.49375060358839501"/>
    <x v="4"/>
    <n v="1"/>
    <n v="1"/>
    <s v=""/>
    <s v=""/>
    <s v=""/>
    <s v=""/>
  </r>
  <r>
    <s v="Der_nackte_Bote.csv"/>
    <s v="#Kneht"/>
    <x v="0"/>
    <s v="adel:knecht"/>
    <x v="3"/>
    <x v="14"/>
    <x v="0"/>
    <x v="1"/>
    <x v="1"/>
    <n v="2"/>
    <n v="9.5238095238095205E-2"/>
    <n v="0.58333333333333304"/>
    <n v="1"/>
    <x v="5"/>
    <n v="1"/>
    <s v=""/>
    <n v="2"/>
    <s v=""/>
    <s v=""/>
    <s v=""/>
  </r>
  <r>
    <s v="Der_nackte_Bote.csv"/>
    <s v="#Vrouwe"/>
    <x v="1"/>
    <s v="buergerlich:ehefrau"/>
    <x v="3"/>
    <x v="1"/>
    <x v="1"/>
    <x v="3"/>
    <x v="1"/>
    <n v="1.1428571428571399"/>
    <n v="0"/>
    <n v="0.5"/>
    <n v="0.31866831887568697"/>
    <x v="1"/>
    <n v="1"/>
    <s v=""/>
    <s v=""/>
    <s v=""/>
    <s v=""/>
    <s v=""/>
  </r>
  <r>
    <s v="Der_nackte_Bote.csv"/>
    <s v="#Tohter"/>
    <x v="2"/>
    <s v="buergerlich:NA"/>
    <x v="3"/>
    <x v="2"/>
    <x v="1"/>
    <x v="3"/>
    <x v="1"/>
    <n v="1.1428571428571399"/>
    <n v="0"/>
    <n v="0.5"/>
    <n v="0.31866831887568697"/>
    <x v="2"/>
    <n v="1"/>
    <s v=""/>
    <s v=""/>
    <s v=""/>
    <s v=""/>
    <s v=""/>
  </r>
  <r>
    <s v="Der_nackte_Bote.csv"/>
    <s v="#Herre"/>
    <x v="0"/>
    <s v="adel:ritter"/>
    <x v="3"/>
    <x v="6"/>
    <x v="1"/>
    <x v="1"/>
    <x v="1"/>
    <n v="1.1428571428571399"/>
    <n v="4.7619047619047603E-2"/>
    <n v="0.46666666666666701"/>
    <n v="0.76040883095630196"/>
    <x v="6"/>
    <n v="1"/>
    <s v=""/>
    <s v=""/>
    <s v=""/>
    <s v=""/>
    <s v=""/>
  </r>
  <r>
    <s v="Der_nackte_Bote.csv"/>
    <s v="#Kint"/>
    <x v="3"/>
    <s v="buergerlich:NA"/>
    <x v="1"/>
    <x v="2"/>
    <x v="1"/>
    <x v="3"/>
    <x v="1"/>
    <n v="1.1428571428571399"/>
    <n v="0.17460317460317501"/>
    <n v="0.58333333333333304"/>
    <n v="0.36192709358522301"/>
    <x v="2"/>
    <n v="1"/>
    <s v=""/>
    <s v=""/>
    <s v=""/>
    <s v=""/>
    <s v=""/>
  </r>
  <r>
    <s v="Der_nackte_Bote.csv"/>
    <s v="#Wirt"/>
    <x v="0"/>
    <s v="buergerlich:wirt"/>
    <x v="3"/>
    <x v="14"/>
    <x v="0"/>
    <x v="3"/>
    <x v="1"/>
    <n v="2"/>
    <n v="7.1428571428571397E-2"/>
    <n v="0.58333333333333304"/>
    <n v="0.87639159649611098"/>
    <x v="5"/>
    <n v="1"/>
    <s v=""/>
    <n v="2"/>
    <s v=""/>
    <s v=""/>
    <s v=""/>
  </r>
  <r>
    <s v="Der_nackte_Bote.csv"/>
    <s v="#Gesinde"/>
    <x v="2"/>
    <s v="unbekannt"/>
    <x v="3"/>
    <x v="3"/>
    <x v="1"/>
    <x v="2"/>
    <x v="1"/>
    <n v="1.4285714285714299"/>
    <n v="0.49206349206349198"/>
    <n v="0.77777777777777801"/>
    <n v="0.182723492296711"/>
    <x v="3"/>
    <n v="1"/>
    <s v=""/>
    <s v=""/>
    <s v=""/>
    <s v=""/>
    <s v=""/>
  </r>
  <r>
    <s v="Der_nackte_Bote.csv"/>
    <s v="#Knehten"/>
    <x v="2"/>
    <s v="buergerlich:knecht"/>
    <x v="3"/>
    <x v="3"/>
    <x v="1"/>
    <x v="3"/>
    <x v="1"/>
    <n v="0.85714285714285698"/>
    <n v="6.3492063492063502E-2"/>
    <n v="0.5"/>
    <n v="0.22323353898209999"/>
    <x v="3"/>
    <n v="1"/>
    <s v=""/>
    <s v=""/>
    <s v=""/>
    <s v=""/>
    <s v=""/>
  </r>
  <r>
    <s v="Der_nackte_Koenig.csv"/>
    <s v="#Kunik"/>
    <x v="0"/>
    <s v="adel:koenig"/>
    <x v="3"/>
    <x v="14"/>
    <x v="0"/>
    <x v="1"/>
    <x v="1"/>
    <n v="2"/>
    <n v="8.7962962962963007E-2"/>
    <n v="0.47368421052631599"/>
    <n v="1"/>
    <x v="5"/>
    <n v="1"/>
    <s v=""/>
    <n v="2"/>
    <s v=""/>
    <s v=""/>
    <s v=""/>
  </r>
  <r>
    <s v="Der_nackte_Koenig.csv"/>
    <s v="#Engel"/>
    <x v="0"/>
    <s v="NA"/>
    <x v="4"/>
    <x v="4"/>
    <x v="0"/>
    <x v="0"/>
    <x v="1"/>
    <n v="1.7777777777777799"/>
    <n v="0.24537037037036999"/>
    <n v="0.5"/>
    <n v="0.81199406616390601"/>
    <x v="4"/>
    <n v="1"/>
    <n v="1"/>
    <s v=""/>
    <s v=""/>
    <s v=""/>
    <s v=""/>
  </r>
  <r>
    <s v="Der_nackte_Koenig.csv"/>
    <s v="#Bader"/>
    <x v="0"/>
    <s v="adel:bader"/>
    <x v="3"/>
    <x v="3"/>
    <x v="1"/>
    <x v="1"/>
    <x v="1"/>
    <n v="1.1111111111111101"/>
    <n v="6.9444444444444406E-2"/>
    <n v="0.42857142857142899"/>
    <n v="0.33309027936334501"/>
    <x v="3"/>
    <n v="1"/>
    <s v=""/>
    <s v=""/>
    <s v=""/>
    <s v=""/>
    <s v=""/>
  </r>
  <r>
    <s v="Der_nackte_Koenig.csv"/>
    <s v="#Bader-gesinde"/>
    <x v="2"/>
    <s v="adel:bader"/>
    <x v="3"/>
    <x v="3"/>
    <x v="1"/>
    <x v="1"/>
    <x v="1"/>
    <n v="0.66666666666666696"/>
    <n v="1.85185185185185E-2"/>
    <n v="0.42857142857142899"/>
    <n v="0.13622536954321901"/>
    <x v="3"/>
    <n v="1"/>
    <s v=""/>
    <s v=""/>
    <s v=""/>
    <s v=""/>
    <s v=""/>
  </r>
  <r>
    <s v="Der_nackte_Koenig.csv"/>
    <s v="#Schenke"/>
    <x v="0"/>
    <s v="buergerlich:wirt"/>
    <x v="3"/>
    <x v="6"/>
    <x v="1"/>
    <x v="3"/>
    <x v="1"/>
    <n v="1.3333333333333299"/>
    <n v="0.171296296296296"/>
    <n v="0.52941176470588203"/>
    <n v="0.57925812999990201"/>
    <x v="6"/>
    <n v="1"/>
    <s v=""/>
    <s v=""/>
    <s v=""/>
    <s v=""/>
    <s v=""/>
  </r>
  <r>
    <s v="Der_nackte_Koenig.csv"/>
    <s v="#Portenaere"/>
    <x v="0"/>
    <s v="buergerlich:torwart"/>
    <x v="3"/>
    <x v="15"/>
    <x v="1"/>
    <x v="3"/>
    <x v="1"/>
    <n v="0.66666666666666696"/>
    <n v="0"/>
    <n v="0.34615384615384598"/>
    <n v="0.21736092644973701"/>
    <x v="12"/>
    <n v="1"/>
    <s v=""/>
    <s v=""/>
    <s v=""/>
    <s v=""/>
    <s v=""/>
  </r>
  <r>
    <s v="Der_nackte_Koenig.csv"/>
    <s v="#Hove-gesinde"/>
    <x v="2"/>
    <s v="adel:unbekannt"/>
    <x v="3"/>
    <x v="3"/>
    <x v="1"/>
    <x v="1"/>
    <x v="1"/>
    <n v="1.3333333333333299"/>
    <n v="0.180555555555556"/>
    <n v="0.52941176470588203"/>
    <n v="0.41989076013968601"/>
    <x v="3"/>
    <n v="1"/>
    <s v=""/>
    <s v=""/>
    <s v=""/>
    <s v=""/>
    <s v=""/>
  </r>
  <r>
    <s v="Der_nackte_Koenig.csv"/>
    <s v="#Kuenegin"/>
    <x v="1"/>
    <s v="adel:koenigin"/>
    <x v="3"/>
    <x v="1"/>
    <x v="1"/>
    <x v="1"/>
    <x v="1"/>
    <n v="1.1111111111111101"/>
    <n v="2.7777777777777801E-2"/>
    <n v="0.40909090909090901"/>
    <n v="0.37630478201439099"/>
    <x v="1"/>
    <n v="1"/>
    <s v=""/>
    <s v=""/>
    <s v=""/>
    <s v=""/>
    <s v=""/>
  </r>
  <r>
    <s v="Der_nackte_Koenig.csv"/>
    <s v="#Ritter"/>
    <x v="0"/>
    <s v="adel:ritter"/>
    <x v="3"/>
    <x v="3"/>
    <x v="1"/>
    <x v="1"/>
    <x v="1"/>
    <n v="0.66666666666666696"/>
    <n v="0.21296296296296299"/>
    <n v="0.5625"/>
    <n v="9.3655221265290703E-2"/>
    <x v="3"/>
    <n v="1"/>
    <s v=""/>
    <s v=""/>
    <s v=""/>
    <s v=""/>
    <s v=""/>
  </r>
  <r>
    <s v="Der_nackte_Koenig.csv"/>
    <s v="#Hove-riter"/>
    <x v="0"/>
    <s v="adel:ritter"/>
    <x v="2"/>
    <x v="3"/>
    <x v="1"/>
    <x v="1"/>
    <x v="1"/>
    <n v="0.44444444444444398"/>
    <n v="5.5555555555555601E-2"/>
    <n v="0.42857142857142899"/>
    <n v="5.56111076559632E-2"/>
    <x v="3"/>
    <n v="1"/>
    <s v=""/>
    <s v=""/>
    <s v=""/>
    <s v=""/>
    <s v=""/>
  </r>
  <r>
    <s v="Der_Nußberg.csv"/>
    <s v="#Ritter-von-nuzberk"/>
    <x v="0"/>
    <s v="adel:ritter"/>
    <x v="3"/>
    <x v="7"/>
    <x v="0"/>
    <x v="1"/>
    <x v="3"/>
    <n v="2"/>
    <n v="0"/>
    <n v="0.6"/>
    <n v="1"/>
    <x v="5"/>
    <n v="1"/>
    <s v=""/>
    <n v="2"/>
    <s v=""/>
    <s v=""/>
    <s v=""/>
  </r>
  <r>
    <s v="Der_Nußberg.csv"/>
    <s v="#Wip"/>
    <x v="1"/>
    <s v="adel:edelfrau"/>
    <x v="3"/>
    <x v="13"/>
    <x v="0"/>
    <x v="1"/>
    <x v="3"/>
    <n v="2"/>
    <n v="0.66666666666666696"/>
    <n v="1"/>
    <n v="0.49033010167086699"/>
    <x v="4"/>
    <n v="1"/>
    <n v="1"/>
    <s v=""/>
    <s v=""/>
    <s v=""/>
    <s v=""/>
  </r>
  <r>
    <s v="Der_Nußberg.csv"/>
    <s v="#Kuenik"/>
    <x v="0"/>
    <s v="adel:koenig"/>
    <x v="3"/>
    <x v="3"/>
    <x v="1"/>
    <x v="1"/>
    <x v="3"/>
    <n v="2"/>
    <n v="0"/>
    <n v="0.75"/>
    <n v="0.80636096254159195"/>
    <x v="3"/>
    <n v="1"/>
    <s v=""/>
    <s v=""/>
    <s v=""/>
    <s v=""/>
    <s v=""/>
  </r>
  <r>
    <s v="Der_Nußberg.csv"/>
    <s v="#Kuenik-der-heiden"/>
    <x v="0"/>
    <s v="adel:koenig"/>
    <x v="3"/>
    <x v="4"/>
    <x v="0"/>
    <x v="1"/>
    <x v="3"/>
    <n v="2"/>
    <n v="0"/>
    <n v="0.75"/>
    <n v="0.80636096254159195"/>
    <x v="4"/>
    <n v="1"/>
    <n v="1"/>
    <s v=""/>
    <s v=""/>
    <s v=""/>
    <s v=""/>
  </r>
  <r>
    <s v="Der_Pfaffe_im_Kaesekorb.csv"/>
    <s v="#Pur"/>
    <x v="0"/>
    <s v="bauer:meyer"/>
    <x v="3"/>
    <x v="7"/>
    <x v="0"/>
    <x v="5"/>
    <x v="3"/>
    <n v="0"/>
    <n v="0"/>
    <n v="0"/>
    <n v="0"/>
    <x v="5"/>
    <n v="1"/>
    <s v=""/>
    <n v="2"/>
    <s v=""/>
    <s v=""/>
    <s v=""/>
  </r>
  <r>
    <s v="Der_Pfaffe_im_Kaesekorb.csv"/>
    <s v="#Wib"/>
    <x v="1"/>
    <s v="bauer:ehefrau"/>
    <x v="3"/>
    <x v="13"/>
    <x v="0"/>
    <x v="5"/>
    <x v="3"/>
    <n v="0"/>
    <n v="0"/>
    <n v="0"/>
    <n v="0"/>
    <x v="4"/>
    <n v="1"/>
    <n v="1"/>
    <s v=""/>
    <s v=""/>
    <s v=""/>
    <s v=""/>
  </r>
  <r>
    <s v="Der_Pfaffe_im_Kaesekorb.csv"/>
    <s v="#Pfaffe"/>
    <x v="0"/>
    <s v="klerus:pfarrer"/>
    <x v="3"/>
    <x v="4"/>
    <x v="1"/>
    <x v="4"/>
    <x v="3"/>
    <n v="0"/>
    <n v="0"/>
    <n v="0"/>
    <n v="0"/>
    <x v="4"/>
    <n v="1"/>
    <n v="1"/>
    <s v=""/>
    <s v=""/>
    <s v=""/>
    <s v=""/>
  </r>
  <r>
    <s v="Der_Raubritter_und_sein_Kaemmerer.csv"/>
    <s v="#Ritter"/>
    <x v="0"/>
    <s v="adel:ritter"/>
    <x v="3"/>
    <x v="14"/>
    <x v="0"/>
    <x v="1"/>
    <x v="1"/>
    <n v="2"/>
    <n v="0.33333333333333298"/>
    <n v="0.2"/>
    <n v="0.91001080941258605"/>
    <x v="5"/>
    <n v="1"/>
    <s v=""/>
    <n v="2"/>
    <s v=""/>
    <s v=""/>
    <s v=""/>
  </r>
  <r>
    <s v="Der_Raubritter_und_sein_Kaemmerer.csv"/>
    <s v="#Muench"/>
    <x v="0"/>
    <s v="klerus:moench"/>
    <x v="3"/>
    <x v="6"/>
    <x v="0"/>
    <x v="4"/>
    <x v="1"/>
    <n v="2"/>
    <n v="0"/>
    <n v="0.16666666666666699"/>
    <n v="1"/>
    <x v="6"/>
    <n v="1"/>
    <s v=""/>
    <s v=""/>
    <s v=""/>
    <s v=""/>
    <s v=""/>
  </r>
  <r>
    <s v="Der_Raubritter_und_sein_Kaemmerer.csv"/>
    <s v="#Gesinde"/>
    <x v="2"/>
    <s v="adel:unbekannt"/>
    <x v="3"/>
    <x v="3"/>
    <x v="1"/>
    <x v="1"/>
    <x v="1"/>
    <n v="1.3333333333333299"/>
    <n v="0"/>
    <n v="0.15"/>
    <n v="0.78888576762637597"/>
    <x v="3"/>
    <n v="1"/>
    <s v=""/>
    <s v=""/>
    <s v=""/>
    <s v=""/>
    <s v=""/>
  </r>
  <r>
    <s v="Der_Raubritter_und_sein_Kaemmerer.csv"/>
    <s v="#Kamerer"/>
    <x v="0"/>
    <s v="adel:kaemmerer"/>
    <x v="3"/>
    <x v="4"/>
    <x v="0"/>
    <x v="1"/>
    <x v="1"/>
    <n v="1.3333333333333299"/>
    <n v="0.33333333333333298"/>
    <n v="0.2"/>
    <n v="0.45967116488522702"/>
    <x v="4"/>
    <n v="1"/>
    <n v="1"/>
    <s v=""/>
    <s v=""/>
    <s v=""/>
    <s v=""/>
  </r>
  <r>
    <s v="Der_Reiher.csv"/>
    <s v="#Man"/>
    <x v="0"/>
    <s v="adel:ritter"/>
    <x v="3"/>
    <x v="7"/>
    <x v="0"/>
    <x v="1"/>
    <x v="3"/>
    <n v="1.6"/>
    <n v="0.05"/>
    <n v="0.217391304347826"/>
    <n v="0.77462461884820499"/>
    <x v="5"/>
    <n v="1"/>
    <s v=""/>
    <n v="2"/>
    <s v=""/>
    <s v=""/>
    <s v=""/>
  </r>
  <r>
    <s v="Der_Reiher.csv"/>
    <s v="#Vrouwe"/>
    <x v="1"/>
    <s v="adel:edelfrau"/>
    <x v="3"/>
    <x v="13"/>
    <x v="0"/>
    <x v="1"/>
    <x v="3"/>
    <n v="2"/>
    <n v="0.3"/>
    <n v="0.29411764705882398"/>
    <n v="1"/>
    <x v="4"/>
    <n v="1"/>
    <n v="1"/>
    <s v=""/>
    <s v=""/>
    <s v=""/>
    <s v=""/>
  </r>
  <r>
    <s v="Der_Reiher.csv"/>
    <s v="#Koch"/>
    <x v="0"/>
    <s v="buergerlich:koch"/>
    <x v="3"/>
    <x v="3"/>
    <x v="1"/>
    <x v="3"/>
    <x v="3"/>
    <n v="0.8"/>
    <n v="0.15"/>
    <n v="0.238095238095238"/>
    <n v="0.13253896714941199"/>
    <x v="3"/>
    <n v="1"/>
    <s v=""/>
    <s v=""/>
    <s v=""/>
    <s v=""/>
    <s v=""/>
  </r>
  <r>
    <s v="Der_Reiher.csv"/>
    <s v="#Meit"/>
    <x v="1"/>
    <s v="adel:magd"/>
    <x v="3"/>
    <x v="15"/>
    <x v="1"/>
    <x v="1"/>
    <x v="3"/>
    <n v="0.8"/>
    <n v="0"/>
    <n v="0.18518518518518501"/>
    <n v="0.26336845883157001"/>
    <x v="12"/>
    <n v="1"/>
    <s v=""/>
    <s v=""/>
    <s v=""/>
    <s v=""/>
    <s v=""/>
  </r>
  <r>
    <s v="Der_Reiher.csv"/>
    <s v="#Gewatern"/>
    <x v="1"/>
    <s v="unbekannt"/>
    <x v="3"/>
    <x v="6"/>
    <x v="0"/>
    <x v="2"/>
    <x v="3"/>
    <n v="1.6"/>
    <n v="0.2"/>
    <n v="0.26315789473684198"/>
    <n v="0.76318014589525895"/>
    <x v="6"/>
    <n v="1"/>
    <s v=""/>
    <s v=""/>
    <s v=""/>
    <s v=""/>
    <s v=""/>
  </r>
  <r>
    <s v="Der_Reiher.csv"/>
    <s v="#Herre"/>
    <x v="0"/>
    <s v="adel:unbekannt"/>
    <x v="3"/>
    <x v="3"/>
    <x v="1"/>
    <x v="1"/>
    <x v="3"/>
    <n v="1.2"/>
    <n v="0.15"/>
    <n v="0.26315789473684198"/>
    <n v="0.285161079570807"/>
    <x v="3"/>
    <n v="1"/>
    <s v=""/>
    <s v=""/>
    <s v=""/>
    <s v=""/>
    <s v=""/>
  </r>
  <r>
    <s v="Der_Richter_und_der_Teufel.csv"/>
    <s v="#Rihter"/>
    <x v="0"/>
    <s v="buergerlich:richter"/>
    <x v="3"/>
    <x v="4"/>
    <x v="0"/>
    <x v="3"/>
    <x v="1"/>
    <n v="1.6"/>
    <n v="0.5"/>
    <n v="0.5"/>
    <n v="1"/>
    <x v="4"/>
    <n v="1"/>
    <n v="1"/>
    <s v=""/>
    <s v=""/>
    <s v=""/>
    <s v=""/>
  </r>
  <r>
    <s v="Der_Richter_und_der_Teufel.csv"/>
    <s v="#Wip-1"/>
    <x v="1"/>
    <s v="unbekannt"/>
    <x v="3"/>
    <x v="3"/>
    <x v="1"/>
    <x v="2"/>
    <x v="1"/>
    <n v="0"/>
    <n v="0"/>
    <n v="0.16666666666666699"/>
    <n v="0"/>
    <x v="3"/>
    <n v="1"/>
    <s v=""/>
    <s v=""/>
    <s v=""/>
    <s v=""/>
    <s v=""/>
  </r>
  <r>
    <s v="Der_Richter_und_der_Teufel.csv"/>
    <s v="#Wip-2"/>
    <x v="1"/>
    <s v="unbekannt"/>
    <x v="3"/>
    <x v="3"/>
    <x v="1"/>
    <x v="2"/>
    <x v="1"/>
    <n v="0.4"/>
    <n v="0"/>
    <n v="0.38461538461538503"/>
    <n v="0.42681725548354599"/>
    <x v="3"/>
    <n v="1"/>
    <s v=""/>
    <s v=""/>
    <s v=""/>
    <s v=""/>
    <s v=""/>
  </r>
  <r>
    <s v="Der_Richter_und_der_Teufel.csv"/>
    <s v="#Wip-3"/>
    <x v="1"/>
    <s v="unbekannt"/>
    <x v="3"/>
    <x v="3"/>
    <x v="1"/>
    <x v="2"/>
    <x v="1"/>
    <n v="0.8"/>
    <n v="0"/>
    <n v="0.41666666666666702"/>
    <n v="0.74464428590503995"/>
    <x v="3"/>
    <n v="1"/>
    <s v=""/>
    <s v=""/>
    <s v=""/>
    <s v=""/>
    <s v=""/>
  </r>
  <r>
    <s v="Der_Richter_und_der_Teufel.csv"/>
    <s v="#Kinde"/>
    <x v="3"/>
    <s v="unbekannt"/>
    <x v="1"/>
    <x v="2"/>
    <x v="1"/>
    <x v="2"/>
    <x v="1"/>
    <n v="0.8"/>
    <n v="0"/>
    <n v="0.41666666666666702"/>
    <n v="0.74464428590503995"/>
    <x v="2"/>
    <n v="1"/>
    <s v=""/>
    <s v=""/>
    <s v=""/>
    <s v=""/>
    <s v=""/>
  </r>
  <r>
    <s v="Der_Richter_und_der_Teufel.csv"/>
    <s v="#Witwe"/>
    <x v="1"/>
    <s v="unbekannt"/>
    <x v="2"/>
    <x v="6"/>
    <x v="1"/>
    <x v="2"/>
    <x v="1"/>
    <n v="0.4"/>
    <n v="0"/>
    <n v="0.38461538461538503"/>
    <n v="0.42681725548354599"/>
    <x v="6"/>
    <n v="1"/>
    <s v=""/>
    <s v=""/>
    <s v=""/>
    <s v=""/>
    <s v=""/>
  </r>
  <r>
    <s v="Der_Ritter_und_die_Nuesse.csv"/>
    <s v="#Ritter"/>
    <x v="0"/>
    <s v="adel:ritter"/>
    <x v="3"/>
    <x v="7"/>
    <x v="0"/>
    <x v="1"/>
    <x v="3"/>
    <n v="2"/>
    <n v="0.66666666666666696"/>
    <n v="0.14285714285714299"/>
    <n v="1"/>
    <x v="5"/>
    <n v="1"/>
    <s v=""/>
    <n v="2"/>
    <s v=""/>
    <s v=""/>
    <s v=""/>
  </r>
  <r>
    <s v="Der_Ritter_und_die_Nuesse.csv"/>
    <s v="#Vrouwe"/>
    <x v="1"/>
    <s v="adel:edelfrau"/>
    <x v="3"/>
    <x v="13"/>
    <x v="0"/>
    <x v="1"/>
    <x v="3"/>
    <n v="1.3333333333333299"/>
    <n v="0"/>
    <n v="9.375E-2"/>
    <n v="0.99244587365848402"/>
    <x v="4"/>
    <n v="1"/>
    <n v="1"/>
    <s v=""/>
    <s v=""/>
    <s v=""/>
    <s v=""/>
  </r>
  <r>
    <s v="Der_Ritter_und_die_Nuesse.csv"/>
    <s v="#Buoler"/>
    <x v="0"/>
    <s v="adel:ritter"/>
    <x v="3"/>
    <x v="4"/>
    <x v="0"/>
    <x v="1"/>
    <x v="3"/>
    <n v="1.3333333333333299"/>
    <n v="0"/>
    <n v="0.115384615384615"/>
    <n v="0.87776385500983101"/>
    <x v="4"/>
    <n v="1"/>
    <n v="1"/>
    <s v=""/>
    <s v=""/>
    <s v=""/>
    <s v=""/>
  </r>
  <r>
    <s v="Der_Ritter_und_die_Nuesse.csv"/>
    <s v="#Kint"/>
    <x v="2"/>
    <s v="unbekannt"/>
    <x v="1"/>
    <x v="6"/>
    <x v="1"/>
    <x v="2"/>
    <x v="3"/>
    <n v="0.66666666666666696"/>
    <n v="0"/>
    <n v="0.12"/>
    <n v="0.11013647429705301"/>
    <x v="6"/>
    <n v="1"/>
    <s v=""/>
    <s v=""/>
    <s v=""/>
    <s v=""/>
    <s v=""/>
  </r>
  <r>
    <s v="Der_Ritter_unterm_Zuber.csv"/>
    <s v="#Buoler"/>
    <x v="0"/>
    <s v="adel:ritter"/>
    <x v="3"/>
    <x v="4"/>
    <x v="0"/>
    <x v="1"/>
    <x v="3"/>
    <n v="2"/>
    <n v="0.36666666666666697"/>
    <n v="0.46153846153846201"/>
    <n v="0.78120374160726602"/>
    <x v="4"/>
    <n v="1"/>
    <n v="1"/>
    <s v=""/>
    <s v=""/>
    <s v=""/>
    <s v=""/>
  </r>
  <r>
    <s v="Der_Ritter_unterm_Zuber.csv"/>
    <s v="#Vrouwe"/>
    <x v="1"/>
    <s v="adel:edelfrau"/>
    <x v="3"/>
    <x v="13"/>
    <x v="0"/>
    <x v="1"/>
    <x v="3"/>
    <n v="2"/>
    <n v="0"/>
    <n v="0.375"/>
    <n v="0.96975939188064597"/>
    <x v="4"/>
    <n v="1"/>
    <n v="1"/>
    <s v=""/>
    <s v=""/>
    <s v=""/>
    <s v=""/>
  </r>
  <r>
    <s v="Der_Ritter_unterm_Zuber.csv"/>
    <s v="#Ritter"/>
    <x v="0"/>
    <s v="adel:ritter"/>
    <x v="3"/>
    <x v="7"/>
    <x v="0"/>
    <x v="1"/>
    <x v="3"/>
    <n v="1.3333333333333299"/>
    <n v="0"/>
    <n v="0.35294117647058798"/>
    <n v="1"/>
    <x v="5"/>
    <n v="1"/>
    <s v=""/>
    <n v="2"/>
    <s v=""/>
    <s v=""/>
    <s v=""/>
  </r>
  <r>
    <s v="Der_Ritter_unterm_Zuber.csv"/>
    <s v="#Brueder-dri-des-ritters"/>
    <x v="2"/>
    <s v="adel:unbekannt"/>
    <x v="3"/>
    <x v="6"/>
    <x v="1"/>
    <x v="1"/>
    <x v="3"/>
    <n v="1.3333333333333299"/>
    <n v="0"/>
    <n v="0.35294117647058798"/>
    <n v="0.74385367297630001"/>
    <x v="6"/>
    <n v="1"/>
    <s v=""/>
    <s v=""/>
    <s v=""/>
    <s v=""/>
    <s v=""/>
  </r>
  <r>
    <s v="Der_Ritter_unterm_Zuber.csv"/>
    <s v="#Einer-der-bruider"/>
    <x v="0"/>
    <s v="adel:unbekannt"/>
    <x v="3"/>
    <x v="3"/>
    <x v="1"/>
    <x v="1"/>
    <x v="3"/>
    <n v="0.66666666666666696"/>
    <n v="6.6666666666666693E-2"/>
    <n v="0.375"/>
    <n v="9.3260720348378998E-2"/>
    <x v="3"/>
    <n v="1"/>
    <s v=""/>
    <s v=""/>
    <s v=""/>
    <s v=""/>
    <s v=""/>
  </r>
  <r>
    <s v="Der_Ritter_unterm_Zuber.csv"/>
    <s v="#Brot-bekkerin"/>
    <x v="1"/>
    <s v="buergerlich:baecker"/>
    <x v="3"/>
    <x v="6"/>
    <x v="1"/>
    <x v="3"/>
    <x v="3"/>
    <n v="1.6666666666666701"/>
    <n v="0.6"/>
    <n v="0.5"/>
    <n v="0.19488398705766499"/>
    <x v="6"/>
    <n v="1"/>
    <s v=""/>
    <s v=""/>
    <s v=""/>
    <s v=""/>
    <s v=""/>
  </r>
  <r>
    <s v="Der_Ritter_unterm_Zuber.csv"/>
    <s v="#Megede-der-bekkerin"/>
    <x v="1"/>
    <s v="buergerlich:magd"/>
    <x v="3"/>
    <x v="15"/>
    <x v="1"/>
    <x v="3"/>
    <x v="3"/>
    <n v="1"/>
    <n v="0"/>
    <n v="0.35294117647058798"/>
    <n v="0.14654271480087999"/>
    <x v="12"/>
    <n v="1"/>
    <s v=""/>
    <s v=""/>
    <s v=""/>
    <s v=""/>
    <s v=""/>
  </r>
  <r>
    <s v="Der_Schlaegel.csv"/>
    <s v="#Koufman"/>
    <x v="0"/>
    <s v="buergerlich:kaufmann"/>
    <x v="2"/>
    <x v="14"/>
    <x v="0"/>
    <x v="3"/>
    <x v="1"/>
    <n v="1.5714285714285701"/>
    <n v="0.21978021978022"/>
    <n v="0.4"/>
    <n v="1"/>
    <x v="5"/>
    <n v="1"/>
    <s v=""/>
    <n v="2"/>
    <s v=""/>
    <s v=""/>
    <s v=""/>
  </r>
  <r>
    <s v="Der_Schlaegel.csv"/>
    <s v="#Zweite-tochter"/>
    <x v="1"/>
    <s v="buergerlich:ehefrau"/>
    <x v="0"/>
    <x v="4"/>
    <x v="0"/>
    <x v="3"/>
    <x v="1"/>
    <n v="1"/>
    <n v="0"/>
    <n v="0.34146341463414598"/>
    <n v="0.68258032424639303"/>
    <x v="4"/>
    <n v="1"/>
    <n v="1"/>
    <s v=""/>
    <s v=""/>
    <s v=""/>
    <s v=""/>
  </r>
  <r>
    <s v="Der_Schlaegel.csv"/>
    <s v="#Erste-tochter"/>
    <x v="1"/>
    <s v="buergerlich:ehefrau"/>
    <x v="0"/>
    <x v="4"/>
    <x v="0"/>
    <x v="3"/>
    <x v="1"/>
    <n v="1"/>
    <n v="0"/>
    <n v="0.34146341463414598"/>
    <n v="0.67361884454360299"/>
    <x v="4"/>
    <n v="1"/>
    <n v="1"/>
    <s v=""/>
    <s v=""/>
    <s v=""/>
    <s v=""/>
  </r>
  <r>
    <s v="Der_Schlaegel.csv"/>
    <s v="#Erster-sun"/>
    <x v="0"/>
    <s v="buergerlich:kaufmann"/>
    <x v="0"/>
    <x v="4"/>
    <x v="0"/>
    <x v="3"/>
    <x v="1"/>
    <n v="1.4285714285714299"/>
    <n v="0.31868131868131899"/>
    <n v="0.4"/>
    <n v="0.762272203631845"/>
    <x v="4"/>
    <n v="1"/>
    <n v="1"/>
    <s v=""/>
    <s v=""/>
    <s v=""/>
    <s v=""/>
  </r>
  <r>
    <s v="Der_Schlaegel.csv"/>
    <s v="#Zweiter-sun"/>
    <x v="0"/>
    <s v="buergerlich:kaufmann"/>
    <x v="0"/>
    <x v="4"/>
    <x v="0"/>
    <x v="3"/>
    <x v="1"/>
    <n v="1.28571428571429"/>
    <n v="0.12637362637362601"/>
    <n v="0.37837837837837801"/>
    <n v="0.74841887681967501"/>
    <x v="4"/>
    <n v="1"/>
    <n v="1"/>
    <s v=""/>
    <s v=""/>
    <s v=""/>
    <s v=""/>
  </r>
  <r>
    <s v="Der_Schlaegel.csv"/>
    <s v="#Dritter-sun"/>
    <x v="0"/>
    <s v="buergerlich:kaufmann"/>
    <x v="0"/>
    <x v="4"/>
    <x v="0"/>
    <x v="3"/>
    <x v="1"/>
    <n v="1.28571428571429"/>
    <n v="0.20329670329670299"/>
    <n v="0.38888888888888901"/>
    <n v="0.77167261148359301"/>
    <x v="4"/>
    <n v="1"/>
    <n v="1"/>
    <s v=""/>
    <s v=""/>
    <s v=""/>
    <s v=""/>
  </r>
  <r>
    <s v="Der_Schlaegel.csv"/>
    <s v="#Wip-des-koufmans"/>
    <x v="1"/>
    <s v="buergerlich:ehefrau"/>
    <x v="5"/>
    <x v="1"/>
    <x v="1"/>
    <x v="3"/>
    <x v="1"/>
    <n v="0.85714285714285698"/>
    <n v="0.63736263736263699"/>
    <n v="0.48275862068965503"/>
    <n v="5.00985771977304E-2"/>
    <x v="1"/>
    <n v="1"/>
    <s v=""/>
    <s v=""/>
    <s v=""/>
    <s v=""/>
    <s v=""/>
  </r>
  <r>
    <s v="Der_Schlaegel.csv"/>
    <s v="#Wip-des-zweiten"/>
    <x v="1"/>
    <s v="buergerlich:ehefrau"/>
    <x v="3"/>
    <x v="1"/>
    <x v="1"/>
    <x v="3"/>
    <x v="1"/>
    <n v="0.28571428571428598"/>
    <n v="0"/>
    <n v="0.29787234042553201"/>
    <n v="2.96841671453658E-2"/>
    <x v="1"/>
    <n v="1"/>
    <s v=""/>
    <s v=""/>
    <s v=""/>
    <s v=""/>
    <s v=""/>
  </r>
  <r>
    <s v="Der_Schlaegel.csv"/>
    <s v="#Wip-des-ersten"/>
    <x v="1"/>
    <s v="buergerlich:ehefrau"/>
    <x v="3"/>
    <x v="1"/>
    <x v="1"/>
    <x v="3"/>
    <x v="1"/>
    <n v="0.28571428571428598"/>
    <n v="0"/>
    <n v="0.20895522388059701"/>
    <n v="5.71000109438616E-2"/>
    <x v="1"/>
    <n v="1"/>
    <s v=""/>
    <s v=""/>
    <s v=""/>
    <s v=""/>
    <s v=""/>
  </r>
  <r>
    <s v="Der_Schlaegel.csv"/>
    <s v="#Wip-des-dritten"/>
    <x v="1"/>
    <s v="buergerlich:ehefrau"/>
    <x v="3"/>
    <x v="1"/>
    <x v="1"/>
    <x v="3"/>
    <x v="1"/>
    <n v="0.28571428571428598"/>
    <n v="0"/>
    <n v="0.20588235294117599"/>
    <n v="5.7404596915373501E-2"/>
    <x v="1"/>
    <n v="1"/>
    <s v=""/>
    <s v=""/>
    <s v=""/>
    <s v=""/>
    <s v=""/>
  </r>
  <r>
    <s v="Der_Schlaegel.csv"/>
    <s v="#Burgaer"/>
    <x v="0"/>
    <s v="buergerlich:kaufmann"/>
    <x v="3"/>
    <x v="6"/>
    <x v="1"/>
    <x v="3"/>
    <x v="1"/>
    <n v="0.85714285714285698"/>
    <n v="0"/>
    <n v="0.18181818181818199"/>
    <n v="0.33127928152897801"/>
    <x v="6"/>
    <n v="1"/>
    <s v=""/>
    <s v=""/>
    <s v=""/>
    <s v=""/>
    <s v=""/>
  </r>
  <r>
    <s v="Der_Schlaegel.csv"/>
    <s v="#Torwertel"/>
    <x v="0"/>
    <s v="buergerlich:torwaechter"/>
    <x v="3"/>
    <x v="3"/>
    <x v="1"/>
    <x v="3"/>
    <x v="1"/>
    <n v="0.14285714285714299"/>
    <n v="0"/>
    <n v="0.29166666666666702"/>
    <n v="8.2328846209414903E-3"/>
    <x v="3"/>
    <n v="1"/>
    <s v=""/>
    <s v=""/>
    <s v=""/>
    <s v=""/>
    <s v=""/>
  </r>
  <r>
    <s v="Der_Schlaegel.csv"/>
    <s v="#Kneht-des-ersten"/>
    <x v="0"/>
    <s v="buergerlich:knecht"/>
    <x v="3"/>
    <x v="3"/>
    <x v="1"/>
    <x v="3"/>
    <x v="1"/>
    <n v="0.14285714285714299"/>
    <n v="0"/>
    <n v="0.29166666666666702"/>
    <n v="8.2328846209414903E-3"/>
    <x v="3"/>
    <n v="1"/>
    <s v=""/>
    <s v=""/>
    <s v=""/>
    <s v=""/>
    <s v=""/>
  </r>
  <r>
    <s v="Der_Schlaegel.csv"/>
    <s v="#Knecht-des-zweiten"/>
    <x v="0"/>
    <s v="buergerlich:knecht"/>
    <x v="3"/>
    <x v="3"/>
    <x v="1"/>
    <x v="3"/>
    <x v="1"/>
    <n v="0.28571428571428598"/>
    <n v="0"/>
    <n v="0.30434782608695699"/>
    <n v="2.69669772096944E-2"/>
    <x v="3"/>
    <n v="1"/>
    <s v=""/>
    <s v=""/>
    <s v=""/>
    <s v=""/>
    <s v=""/>
  </r>
  <r>
    <s v="Der_Schlaegel.csv"/>
    <s v="#Magd-des-dritten"/>
    <x v="1"/>
    <s v="buergerlich:magd"/>
    <x v="3"/>
    <x v="3"/>
    <x v="1"/>
    <x v="3"/>
    <x v="1"/>
    <n v="0.14285714285714299"/>
    <n v="0"/>
    <n v="0.28571428571428598"/>
    <n v="8.3344132781121207E-3"/>
    <x v="3"/>
    <n v="1"/>
    <s v=""/>
    <s v=""/>
    <s v=""/>
    <s v=""/>
    <s v=""/>
  </r>
  <r>
    <s v="Der_Schueler_zu_Paris.csv"/>
    <s v="#Burgaere"/>
    <x v="0"/>
    <s v="buergerlich:buerger"/>
    <x v="2"/>
    <x v="3"/>
    <x v="1"/>
    <x v="3"/>
    <x v="2"/>
    <n v="0.22222222222222199"/>
    <n v="0"/>
    <n v="0.26470588235294101"/>
    <n v="1.8317626889649701E-2"/>
    <x v="3"/>
    <n v="2"/>
    <s v=""/>
    <s v=""/>
    <s v=""/>
    <s v=""/>
    <s v=""/>
  </r>
  <r>
    <s v="Der_Schueler_zu_Paris.csv"/>
    <s v="#Junc-vrouwe"/>
    <x v="1"/>
    <s v="buergerlich:unbekannt"/>
    <x v="0"/>
    <x v="12"/>
    <x v="0"/>
    <x v="3"/>
    <x v="2"/>
    <n v="1.7777777777777799"/>
    <n v="0.22222222222222199"/>
    <n v="0.34615384615384598"/>
    <n v="1"/>
    <x v="11"/>
    <n v="2"/>
    <s v=""/>
    <s v=""/>
    <s v=""/>
    <n v="4"/>
    <s v=""/>
  </r>
  <r>
    <s v="Der_Schueler_zu_Paris.csv"/>
    <s v="#Schuoler"/>
    <x v="0"/>
    <s v="buergerlich:schueler"/>
    <x v="0"/>
    <x v="10"/>
    <x v="0"/>
    <x v="3"/>
    <x v="2"/>
    <n v="1.55555555555556"/>
    <n v="0.194444444444444"/>
    <n v="0.375"/>
    <n v="0.97695490369002602"/>
    <x v="9"/>
    <n v="2"/>
    <s v=""/>
    <s v=""/>
    <n v="3"/>
    <s v=""/>
    <s v=""/>
  </r>
  <r>
    <s v="Der_Schueler_zu_Paris.csv"/>
    <s v="#Vater-der-vrouwe"/>
    <x v="0"/>
    <s v="buergerlich:unbekannt"/>
    <x v="2"/>
    <x v="11"/>
    <x v="1"/>
    <x v="3"/>
    <x v="2"/>
    <n v="1.3333333333333299"/>
    <n v="0.43518518518518501"/>
    <n v="0.45"/>
    <n v="0.352728361443373"/>
    <x v="10"/>
    <n v="2"/>
    <s v=""/>
    <s v=""/>
    <s v=""/>
    <s v=""/>
    <n v="5"/>
  </r>
  <r>
    <s v="Der_Schueler_zu_Paris.csv"/>
    <s v="#Megede-dri"/>
    <x v="2"/>
    <s v="buergerlich:magd"/>
    <x v="3"/>
    <x v="3"/>
    <x v="1"/>
    <x v="3"/>
    <x v="2"/>
    <n v="0.88888888888888895"/>
    <n v="0.17592592592592601"/>
    <n v="0.45"/>
    <n v="0.117864473744484"/>
    <x v="3"/>
    <n v="2"/>
    <s v=""/>
    <s v=""/>
    <s v=""/>
    <s v=""/>
    <s v=""/>
  </r>
  <r>
    <s v="Der_Schueler_zu_Paris.csv"/>
    <s v="#Kellaerin"/>
    <x v="1"/>
    <s v="buergerlich:magd"/>
    <x v="3"/>
    <x v="6"/>
    <x v="1"/>
    <x v="3"/>
    <x v="2"/>
    <n v="1.1111111111111101"/>
    <n v="0.22222222222222199"/>
    <n v="0.375"/>
    <n v="0.127845645839436"/>
    <x v="6"/>
    <n v="2"/>
    <s v=""/>
    <s v=""/>
    <s v=""/>
    <s v=""/>
    <s v=""/>
  </r>
  <r>
    <s v="Der_Schueler_zu_Paris.csv"/>
    <s v="#Barvuoz"/>
    <x v="0"/>
    <s v="klerus:priester"/>
    <x v="3"/>
    <x v="6"/>
    <x v="1"/>
    <x v="4"/>
    <x v="2"/>
    <n v="0.66666666666666696"/>
    <n v="0"/>
    <n v="0.28125"/>
    <n v="0.20214719872273099"/>
    <x v="6"/>
    <n v="2"/>
    <s v=""/>
    <s v=""/>
    <s v=""/>
    <s v=""/>
    <s v=""/>
  </r>
  <r>
    <s v="Der_Schueler_zu_Paris.csv"/>
    <s v="#Knecht-des-schuelers"/>
    <x v="0"/>
    <s v="buergerlich:knecht"/>
    <x v="0"/>
    <x v="3"/>
    <x v="1"/>
    <x v="3"/>
    <x v="2"/>
    <n v="0.44444444444444398"/>
    <n v="0"/>
    <n v="0.28125"/>
    <n v="9.1166002972406304E-2"/>
    <x v="3"/>
    <n v="2"/>
    <s v=""/>
    <s v=""/>
    <s v=""/>
    <s v=""/>
    <s v=""/>
  </r>
  <r>
    <s v="Der_Schueler_zu_Paris.csv"/>
    <s v="#Wirt-des-schuelers"/>
    <x v="0"/>
    <s v="buergerlich:wirt"/>
    <x v="3"/>
    <x v="3"/>
    <x v="1"/>
    <x v="3"/>
    <x v="2"/>
    <n v="0.66666666666666696"/>
    <n v="0.37962962962962998"/>
    <n v="0.45"/>
    <n v="6.0569764235582003E-2"/>
    <x v="3"/>
    <n v="2"/>
    <s v=""/>
    <s v=""/>
    <s v=""/>
    <s v=""/>
    <s v=""/>
  </r>
  <r>
    <s v="Der_Schueler_zu_Paris.csv"/>
    <s v="#Vriund-des-vaters"/>
    <x v="2"/>
    <s v="unbekannt"/>
    <x v="3"/>
    <x v="3"/>
    <x v="1"/>
    <x v="2"/>
    <x v="2"/>
    <n v="0.22222222222222199"/>
    <n v="0"/>
    <n v="0.32142857142857101"/>
    <n v="6.4611465183172E-3"/>
    <x v="3"/>
    <n v="2"/>
    <s v=""/>
    <s v=""/>
    <s v=""/>
    <s v=""/>
    <s v=""/>
  </r>
  <r>
    <s v="Der_schwangere_Moench.csv"/>
    <s v="#Muench"/>
    <x v="0"/>
    <s v="klerus:moench"/>
    <x v="0"/>
    <x v="14"/>
    <x v="0"/>
    <x v="4"/>
    <x v="1"/>
    <n v="2"/>
    <n v="0.125"/>
    <n v="0.38095238095238099"/>
    <n v="1"/>
    <x v="5"/>
    <n v="1"/>
    <s v=""/>
    <n v="2"/>
    <s v=""/>
    <s v=""/>
    <s v=""/>
  </r>
  <r>
    <s v="Der_schwangere_Moench.csv"/>
    <s v="#Apt"/>
    <x v="0"/>
    <s v="klerus:abt"/>
    <x v="3"/>
    <x v="3"/>
    <x v="1"/>
    <x v="4"/>
    <x v="1"/>
    <n v="1.75"/>
    <n v="0.33928571428571402"/>
    <n v="0.44444444444444398"/>
    <n v="0.51638670399931397"/>
    <x v="3"/>
    <n v="1"/>
    <s v=""/>
    <s v=""/>
    <s v=""/>
    <s v=""/>
    <s v=""/>
  </r>
  <r>
    <s v="Der_schwangere_Moench.csv"/>
    <s v="#Kneht[e-]"/>
    <x v="0"/>
    <s v="unbekannt:knecht"/>
    <x v="3"/>
    <x v="6"/>
    <x v="1"/>
    <x v="2"/>
    <x v="1"/>
    <n v="1"/>
    <n v="0"/>
    <n v="0.34782608695652201"/>
    <n v="0.61883230205109196"/>
    <x v="6"/>
    <n v="1"/>
    <s v=""/>
    <s v=""/>
    <s v=""/>
    <s v=""/>
    <s v=""/>
  </r>
  <r>
    <s v="Der_schwangere_Moench.csv"/>
    <s v="#Vrouwe"/>
    <x v="1"/>
    <s v="unbekannt"/>
    <x v="3"/>
    <x v="4"/>
    <x v="1"/>
    <x v="2"/>
    <x v="1"/>
    <n v="1.25"/>
    <n v="0.26785714285714302"/>
    <n v="0.47058823529411797"/>
    <n v="0.68992518323229102"/>
    <x v="4"/>
    <n v="1"/>
    <n v="1"/>
    <s v=""/>
    <s v=""/>
    <s v=""/>
    <s v=""/>
  </r>
  <r>
    <s v="Der_schwangere_Moench.csv"/>
    <s v="#Man-der-vrouwe"/>
    <x v="0"/>
    <s v="unbekannt"/>
    <x v="3"/>
    <x v="0"/>
    <x v="1"/>
    <x v="2"/>
    <x v="1"/>
    <n v="0.75"/>
    <n v="0.30357142857142899"/>
    <n v="0.44444444444444398"/>
    <n v="6.88296229739426E-2"/>
    <x v="0"/>
    <n v="1"/>
    <s v=""/>
    <s v=""/>
    <s v=""/>
    <s v=""/>
    <s v=""/>
  </r>
  <r>
    <s v="Der_schwangere_Moench.csv"/>
    <s v="#Muenche"/>
    <x v="2"/>
    <s v="klerus:moench"/>
    <x v="3"/>
    <x v="3"/>
    <x v="1"/>
    <x v="4"/>
    <x v="1"/>
    <n v="1"/>
    <n v="0.107142857142857"/>
    <n v="0.4"/>
    <n v="0.327618125355643"/>
    <x v="3"/>
    <n v="1"/>
    <s v=""/>
    <s v=""/>
    <s v=""/>
    <s v=""/>
    <s v=""/>
  </r>
  <r>
    <s v="Der_schwangere_Moench.csv"/>
    <s v="#Hof-man"/>
    <x v="0"/>
    <s v="bauer"/>
    <x v="3"/>
    <x v="3"/>
    <x v="1"/>
    <x v="5"/>
    <x v="1"/>
    <n v="0.5"/>
    <n v="8.9285714285714302E-2"/>
    <n v="0.36363636363636398"/>
    <n v="6.0601872719788299E-2"/>
    <x v="3"/>
    <n v="1"/>
    <s v=""/>
    <s v=""/>
    <s v=""/>
    <s v=""/>
    <s v=""/>
  </r>
  <r>
    <s v="Der_schwangere_Moench.csv"/>
    <s v="#Witwen-sun"/>
    <x v="0"/>
    <s v="unbekannt"/>
    <x v="3"/>
    <x v="3"/>
    <x v="1"/>
    <x v="2"/>
    <x v="1"/>
    <n v="0.5"/>
    <n v="0"/>
    <n v="0.25"/>
    <n v="0.20966391889111699"/>
    <x v="3"/>
    <n v="1"/>
    <s v=""/>
    <s v=""/>
    <s v=""/>
    <s v=""/>
    <s v=""/>
  </r>
  <r>
    <s v="Der_schwangere_Moench.csv"/>
    <s v="#Alter-muench"/>
    <x v="0"/>
    <s v="klerus:moench"/>
    <x v="2"/>
    <x v="15"/>
    <x v="1"/>
    <x v="4"/>
    <x v="1"/>
    <n v="0.75"/>
    <n v="8.9285714285714302E-2"/>
    <n v="0.38095238095238099"/>
    <n v="0.23384868200828701"/>
    <x v="12"/>
    <n v="1"/>
    <s v=""/>
    <s v=""/>
    <s v=""/>
    <s v=""/>
    <s v=""/>
  </r>
  <r>
    <s v="Der_Sperber.csv"/>
    <s v="#Nonnen"/>
    <x v="2"/>
    <s v="klerus:nonne"/>
    <x v="3"/>
    <x v="3"/>
    <x v="1"/>
    <x v="4"/>
    <x v="2"/>
    <n v="2"/>
    <n v="0.66666666666666696"/>
    <n v="0.75"/>
    <n v="0.20164722966590601"/>
    <x v="3"/>
    <n v="1"/>
    <s v=""/>
    <s v=""/>
    <s v=""/>
    <s v=""/>
    <s v=""/>
  </r>
  <r>
    <s v="Der_Sperber.csv"/>
    <s v="#Schuole-meisterin"/>
    <x v="1"/>
    <s v="klerus:nonne"/>
    <x v="3"/>
    <x v="6"/>
    <x v="1"/>
    <x v="4"/>
    <x v="2"/>
    <n v="2"/>
    <n v="0"/>
    <n v="0.6"/>
    <n v="0.37344680002823999"/>
    <x v="6"/>
    <n v="1"/>
    <s v=""/>
    <s v=""/>
    <s v=""/>
    <s v=""/>
    <s v=""/>
  </r>
  <r>
    <s v="Der_Sperber.csv"/>
    <s v="#Junk-vrouwe"/>
    <x v="1"/>
    <s v="klerus:nonne"/>
    <x v="0"/>
    <x v="14"/>
    <x v="0"/>
    <x v="4"/>
    <x v="2"/>
    <n v="2"/>
    <n v="0"/>
    <n v="0.375"/>
    <n v="1"/>
    <x v="5"/>
    <n v="1"/>
    <s v=""/>
    <n v="2"/>
    <s v=""/>
    <s v=""/>
    <s v=""/>
  </r>
  <r>
    <s v="Der_Sperber.csv"/>
    <s v="#Ritter"/>
    <x v="0"/>
    <s v="adel:ritter"/>
    <x v="3"/>
    <x v="4"/>
    <x v="1"/>
    <x v="1"/>
    <x v="2"/>
    <n v="2"/>
    <n v="0"/>
    <n v="0.6"/>
    <n v="0.946112034569356"/>
    <x v="4"/>
    <n v="1"/>
    <n v="1"/>
    <s v=""/>
    <s v=""/>
    <s v=""/>
    <s v=""/>
  </r>
  <r>
    <s v="Der_unbelehrbare_Zecher.csv"/>
    <s v="#Wines-slunt"/>
    <x v="0"/>
    <s v="unbekannt"/>
    <x v="3"/>
    <x v="3"/>
    <x v="0"/>
    <x v="2"/>
    <x v="1"/>
    <n v="0"/>
    <n v="0"/>
    <n v="0"/>
    <n v="0"/>
    <x v="3"/>
    <n v="1"/>
    <s v=""/>
    <s v=""/>
    <s v=""/>
    <s v=""/>
    <s v=""/>
  </r>
  <r>
    <s v="Der_unbelehrbare_Zecher.csv"/>
    <s v="#Freunt"/>
    <x v="0"/>
    <s v="unbekannt"/>
    <x v="3"/>
    <x v="11"/>
    <x v="0"/>
    <x v="2"/>
    <x v="1"/>
    <n v="0"/>
    <n v="0"/>
    <n v="0"/>
    <n v="0"/>
    <x v="10"/>
    <n v="1"/>
    <s v=""/>
    <s v=""/>
    <s v=""/>
    <s v=""/>
    <n v="5"/>
  </r>
  <r>
    <s v="Der_verkehrte_Wirt.csv"/>
    <s v="#Ritter"/>
    <x v="0"/>
    <s v="adel:ritter"/>
    <x v="2"/>
    <x v="7"/>
    <x v="0"/>
    <x v="1"/>
    <x v="3"/>
    <n v="1.5"/>
    <n v="0"/>
    <n v="0.16"/>
    <n v="1"/>
    <x v="5"/>
    <n v="1"/>
    <s v=""/>
    <n v="2"/>
    <s v=""/>
    <s v=""/>
    <s v=""/>
  </r>
  <r>
    <s v="Der_verkehrte_Wirt.csv"/>
    <s v="#Wip"/>
    <x v="1"/>
    <s v="adel:edelfrau"/>
    <x v="3"/>
    <x v="13"/>
    <x v="0"/>
    <x v="1"/>
    <x v="3"/>
    <n v="2"/>
    <n v="0.33333333333333298"/>
    <n v="0.25"/>
    <n v="0.99954369641468699"/>
    <x v="4"/>
    <n v="1"/>
    <n v="1"/>
    <s v=""/>
    <s v=""/>
    <s v=""/>
    <s v=""/>
  </r>
  <r>
    <s v="Der_verkehrte_Wirt.csv"/>
    <s v="#Buoler"/>
    <x v="0"/>
    <s v="adel:ritter"/>
    <x v="3"/>
    <x v="4"/>
    <x v="1"/>
    <x v="1"/>
    <x v="3"/>
    <n v="1.5"/>
    <n v="0.33333333333333298"/>
    <n v="0.25"/>
    <n v="0.44449245889201999"/>
    <x v="4"/>
    <n v="1"/>
    <n v="1"/>
    <s v=""/>
    <s v=""/>
    <s v=""/>
    <s v=""/>
  </r>
  <r>
    <s v="Der_verkehrte_Wirt.csv"/>
    <s v="#Bote"/>
    <x v="0"/>
    <s v="unbekannt"/>
    <x v="3"/>
    <x v="15"/>
    <x v="1"/>
    <x v="2"/>
    <x v="3"/>
    <n v="1"/>
    <n v="0.5"/>
    <n v="0.266666666666667"/>
    <n v="5.8059205976879698E-2"/>
    <x v="12"/>
    <n v="1"/>
    <s v=""/>
    <s v=""/>
    <s v=""/>
    <s v=""/>
    <s v=""/>
  </r>
  <r>
    <s v="Der_verkehrte_Wirt.csv"/>
    <s v="#Gevaterin"/>
    <x v="1"/>
    <s v="unbekannt"/>
    <x v="3"/>
    <x v="6"/>
    <x v="1"/>
    <x v="2"/>
    <x v="3"/>
    <n v="1"/>
    <n v="0"/>
    <n v="0.14285714285714299"/>
    <n v="0.52257051818489497"/>
    <x v="6"/>
    <n v="1"/>
    <s v=""/>
    <s v=""/>
    <s v=""/>
    <s v=""/>
    <s v=""/>
  </r>
  <r>
    <s v="Der_wahrsagende_Baum.csv"/>
    <s v="#Man"/>
    <x v="0"/>
    <s v="unbekannt"/>
    <x v="3"/>
    <x v="0"/>
    <x v="0"/>
    <x v="2"/>
    <x v="3"/>
    <n v="0"/>
    <n v="0"/>
    <n v="0"/>
    <n v="0"/>
    <x v="0"/>
    <n v="1"/>
    <s v=""/>
    <s v=""/>
    <s v=""/>
    <s v=""/>
    <s v=""/>
  </r>
  <r>
    <s v="Der_wahrsagende_Baum.csv"/>
    <s v="#Wip"/>
    <x v="1"/>
    <s v="unbekannt"/>
    <x v="3"/>
    <x v="1"/>
    <x v="0"/>
    <x v="2"/>
    <x v="3"/>
    <n v="0"/>
    <n v="0"/>
    <n v="0"/>
    <n v="0"/>
    <x v="1"/>
    <n v="1"/>
    <s v=""/>
    <s v=""/>
    <s v=""/>
    <s v=""/>
    <s v=""/>
  </r>
  <r>
    <s v="Der_weiße_Rosendorn.csv"/>
    <s v="#Junk-vrouw"/>
    <x v="1"/>
    <s v="unbekannt"/>
    <x v="3"/>
    <x v="11"/>
    <x v="0"/>
    <x v="2"/>
    <x v="1"/>
    <n v="0"/>
    <n v="0"/>
    <n v="0"/>
    <n v="0"/>
    <x v="10"/>
    <n v="3"/>
    <s v=""/>
    <s v=""/>
    <s v=""/>
    <s v=""/>
    <n v="5"/>
  </r>
  <r>
    <s v="Der_weiße_Rosendorn.csv"/>
    <s v="#Vut"/>
    <x v="4"/>
    <s v="NA"/>
    <x v="4"/>
    <x v="11"/>
    <x v="0"/>
    <x v="0"/>
    <x v="1"/>
    <n v="0"/>
    <n v="0"/>
    <n v="0"/>
    <n v="0"/>
    <x v="10"/>
    <n v="3"/>
    <s v=""/>
    <s v=""/>
    <s v=""/>
    <s v=""/>
    <n v="5"/>
  </r>
  <r>
    <s v="Der_weiße_Rosendorn.csv"/>
    <s v="#Schuoler"/>
    <x v="0"/>
    <s v="buergerlich:schueler"/>
    <x v="3"/>
    <x v="3"/>
    <x v="1"/>
    <x v="3"/>
    <x v="1"/>
    <n v="0"/>
    <n v="0"/>
    <n v="0"/>
    <n v="0"/>
    <x v="3"/>
    <n v="3"/>
    <s v=""/>
    <s v=""/>
    <s v=""/>
    <s v=""/>
    <s v=""/>
  </r>
  <r>
    <s v="Der_Welt_Lohn.csv"/>
    <s v="#Her-Wirent-da-von-Gravenberk"/>
    <x v="0"/>
    <s v="adel:ritter"/>
    <x v="3"/>
    <x v="3"/>
    <x v="0"/>
    <x v="1"/>
    <x v="1"/>
    <n v="0"/>
    <n v="0"/>
    <n v="0"/>
    <n v="0"/>
    <x v="3"/>
    <n v="4"/>
    <s v=""/>
    <s v=""/>
    <s v=""/>
    <s v=""/>
    <s v=""/>
  </r>
  <r>
    <s v="Der_Welt_Lohn.csv"/>
    <s v="#Werlt"/>
    <x v="1"/>
    <s v="NA"/>
    <x v="4"/>
    <x v="3"/>
    <x v="0"/>
    <x v="0"/>
    <x v="1"/>
    <n v="0"/>
    <n v="0"/>
    <n v="0"/>
    <n v="0"/>
    <x v="3"/>
    <n v="4"/>
    <s v=""/>
    <s v=""/>
    <s v=""/>
    <s v=""/>
    <s v=""/>
  </r>
  <r>
    <s v="Der_Weltheilige.csv"/>
    <s v="#Luoderaere"/>
    <x v="0"/>
    <s v="unbekannt"/>
    <x v="3"/>
    <x v="4"/>
    <x v="0"/>
    <x v="2"/>
    <x v="1"/>
    <n v="2"/>
    <n v="0.7"/>
    <n v="0.45454545454545497"/>
    <n v="1"/>
    <x v="4"/>
    <n v="1"/>
    <n v="1"/>
    <s v=""/>
    <s v=""/>
    <s v=""/>
    <s v=""/>
  </r>
  <r>
    <s v="Der_Weltheilige.csv"/>
    <s v="#Vriunden"/>
    <x v="2"/>
    <s v="unbekannt"/>
    <x v="3"/>
    <x v="3"/>
    <x v="1"/>
    <x v="2"/>
    <x v="1"/>
    <n v="0.8"/>
    <n v="0"/>
    <n v="0.217391304347826"/>
    <n v="0.67150236807641095"/>
    <x v="3"/>
    <n v="1"/>
    <s v=""/>
    <s v=""/>
    <s v=""/>
    <s v=""/>
    <s v=""/>
  </r>
  <r>
    <s v="Der_Weltheilige.csv"/>
    <s v="#Pfaffe"/>
    <x v="0"/>
    <s v="klerus:pfarrer"/>
    <x v="3"/>
    <x v="3"/>
    <x v="1"/>
    <x v="4"/>
    <x v="1"/>
    <n v="0.8"/>
    <n v="0.4"/>
    <n v="0.33333333333333298"/>
    <n v="0.29570716340551501"/>
    <x v="3"/>
    <n v="1"/>
    <s v=""/>
    <s v=""/>
    <s v=""/>
    <s v=""/>
    <s v=""/>
  </r>
  <r>
    <s v="Der_Weltheilige.csv"/>
    <s v="#Wip-1"/>
    <x v="1"/>
    <s v="unbekannt"/>
    <x v="3"/>
    <x v="6"/>
    <x v="1"/>
    <x v="2"/>
    <x v="1"/>
    <n v="1.2"/>
    <n v="0"/>
    <n v="0.3125"/>
    <n v="0.73116852160074197"/>
    <x v="6"/>
    <n v="1"/>
    <s v=""/>
    <s v=""/>
    <s v=""/>
    <s v=""/>
    <s v=""/>
  </r>
  <r>
    <s v="Der_Weltheilige.csv"/>
    <s v="#Knecht-von-wip-1"/>
    <x v="0"/>
    <s v="unbekannt:knecht"/>
    <x v="3"/>
    <x v="20"/>
    <x v="1"/>
    <x v="2"/>
    <x v="1"/>
    <n v="0.8"/>
    <n v="0.3"/>
    <n v="0.38461538461538503"/>
    <n v="0.15313138128802001"/>
    <x v="14"/>
    <n v="1"/>
    <s v=""/>
    <s v=""/>
    <s v=""/>
    <s v=""/>
    <s v=""/>
  </r>
  <r>
    <s v="Der_Weltheilige.csv"/>
    <s v="#Wip-2"/>
    <x v="1"/>
    <s v="unbekannt"/>
    <x v="3"/>
    <x v="3"/>
    <x v="1"/>
    <x v="2"/>
    <x v="1"/>
    <n v="0.8"/>
    <n v="0"/>
    <n v="0.27777777777777801"/>
    <n v="0.37093864148094902"/>
    <x v="3"/>
    <n v="1"/>
    <s v=""/>
    <s v=""/>
    <s v=""/>
    <s v=""/>
    <s v=""/>
  </r>
  <r>
    <s v="Der_Wiener_Meerfahrt.csv"/>
    <s v="#Burgaere"/>
    <x v="2"/>
    <s v="buergerlich:unbekannt"/>
    <x v="3"/>
    <x v="4"/>
    <x v="0"/>
    <x v="3"/>
    <x v="1"/>
    <n v="1.6923076923076901"/>
    <n v="0.354700854700855"/>
    <n v="0.29545454545454503"/>
    <n v="1"/>
    <x v="4"/>
    <n v="1"/>
    <n v="1"/>
    <s v=""/>
    <s v=""/>
    <s v=""/>
    <s v=""/>
  </r>
  <r>
    <s v="Der_Wiener_Meerfahrt.csv"/>
    <s v="#Wirt"/>
    <x v="0"/>
    <s v="buergerlich:wirt"/>
    <x v="3"/>
    <x v="3"/>
    <x v="1"/>
    <x v="3"/>
    <x v="1"/>
    <n v="0.46153846153846201"/>
    <n v="0"/>
    <n v="0.22807017543859601"/>
    <n v="0.171088408347843"/>
    <x v="3"/>
    <n v="1"/>
    <s v=""/>
    <s v=""/>
    <s v=""/>
    <s v=""/>
    <s v=""/>
  </r>
  <r>
    <s v="Der_Wiener_Meerfahrt.csv"/>
    <s v="#Einer"/>
    <x v="0"/>
    <s v="buergerlich:unbekannt"/>
    <x v="3"/>
    <x v="3"/>
    <x v="1"/>
    <x v="3"/>
    <x v="1"/>
    <n v="0.76923076923076905"/>
    <n v="2.6068376068376101E-2"/>
    <n v="0.245283018867925"/>
    <n v="0.53880985936399495"/>
    <x v="3"/>
    <n v="1"/>
    <s v=""/>
    <s v=""/>
    <s v=""/>
    <s v=""/>
    <s v=""/>
  </r>
  <r>
    <s v="Der_Wiener_Meerfahrt.csv"/>
    <s v="#Ein-ander"/>
    <x v="0"/>
    <s v="buergerlich:unbekannt"/>
    <x v="3"/>
    <x v="3"/>
    <x v="1"/>
    <x v="3"/>
    <x v="1"/>
    <n v="0.92307692307692302"/>
    <n v="4.6153846153846101E-2"/>
    <n v="0.25490196078431399"/>
    <n v="0.442325029869159"/>
    <x v="3"/>
    <n v="1"/>
    <s v=""/>
    <s v=""/>
    <s v=""/>
    <s v=""/>
    <s v=""/>
  </r>
  <r>
    <s v="Der_Wiener_Meerfahrt.csv"/>
    <s v="#Schribaere"/>
    <x v="0"/>
    <s v="buergerlich:schreiber"/>
    <x v="3"/>
    <x v="3"/>
    <x v="1"/>
    <x v="3"/>
    <x v="1"/>
    <n v="0.76923076923076905"/>
    <n v="6.7307692307692304E-2"/>
    <n v="0.26"/>
    <n v="0.33076300976294698"/>
    <x v="3"/>
    <n v="1"/>
    <s v=""/>
    <s v=""/>
    <s v=""/>
    <s v=""/>
    <s v=""/>
  </r>
  <r>
    <s v="Der_Wiener_Meerfahrt.csv"/>
    <s v="#Ein-burger"/>
    <x v="0"/>
    <s v="buergerlich:unbekannt"/>
    <x v="3"/>
    <x v="3"/>
    <x v="1"/>
    <x v="3"/>
    <x v="1"/>
    <n v="0.30769230769230799"/>
    <n v="4.48717948717949E-2"/>
    <n v="0.25490196078431399"/>
    <n v="9.2309779935597094E-2"/>
    <x v="3"/>
    <n v="1"/>
    <s v=""/>
    <s v=""/>
    <s v=""/>
    <s v=""/>
    <s v=""/>
  </r>
  <r>
    <s v="Der_Wiener_Meerfahrt.csv"/>
    <s v="#Einer-2"/>
    <x v="0"/>
    <s v="buergerlich:unbekannt"/>
    <x v="3"/>
    <x v="3"/>
    <x v="1"/>
    <x v="3"/>
    <x v="1"/>
    <n v="0.15384615384615399"/>
    <n v="0"/>
    <n v="7.69230769230769E-2"/>
    <n v="4.0528826699823401E-17"/>
    <x v="3"/>
    <n v="1"/>
    <s v=""/>
    <s v=""/>
    <s v=""/>
    <s v=""/>
    <s v=""/>
  </r>
  <r>
    <s v="Der_Wiener_Meerfahrt.csv"/>
    <s v="#Dri-buerger"/>
    <x v="2"/>
    <s v="buergerlich:unbekannt"/>
    <x v="3"/>
    <x v="3"/>
    <x v="1"/>
    <x v="3"/>
    <x v="1"/>
    <n v="0.15384615384615399"/>
    <n v="0"/>
    <n v="7.69230769230769E-2"/>
    <n v="4.5273225956579E-17"/>
    <x v="3"/>
    <n v="1"/>
    <s v=""/>
    <s v=""/>
    <s v=""/>
    <s v=""/>
    <s v=""/>
  </r>
  <r>
    <s v="Der_Wiener_Meerfahrt.csv"/>
    <s v="#Richer-burger"/>
    <x v="0"/>
    <s v="buergerlich:unbekannt"/>
    <x v="3"/>
    <x v="14"/>
    <x v="0"/>
    <x v="3"/>
    <x v="1"/>
    <n v="1.07692307692308"/>
    <n v="6.41025641025641E-3"/>
    <n v="0.25"/>
    <n v="0.83713576155104497"/>
    <x v="5"/>
    <n v="1"/>
    <s v=""/>
    <n v="2"/>
    <s v=""/>
    <s v=""/>
    <s v=""/>
  </r>
  <r>
    <s v="Der_Wiener_Meerfahrt.csv"/>
    <s v="#Dritte"/>
    <x v="0"/>
    <s v="buergerlich:unbekannt"/>
    <x v="3"/>
    <x v="3"/>
    <x v="1"/>
    <x v="3"/>
    <x v="1"/>
    <n v="0.61538461538461497"/>
    <n v="4.6367521367521397E-2"/>
    <n v="0.27083333333333298"/>
    <n v="0.145465960922014"/>
    <x v="3"/>
    <n v="1"/>
    <s v=""/>
    <s v=""/>
    <s v=""/>
    <s v=""/>
    <s v=""/>
  </r>
  <r>
    <s v="Der_Wiener_Meerfahrt.csv"/>
    <s v="#Vierde"/>
    <x v="0"/>
    <s v="buergerlich:unbekannt"/>
    <x v="3"/>
    <x v="3"/>
    <x v="1"/>
    <x v="3"/>
    <x v="1"/>
    <n v="0.61538461538461497"/>
    <n v="4.6367521367521397E-2"/>
    <n v="0.27083333333333298"/>
    <n v="0.145465960922014"/>
    <x v="3"/>
    <n v="1"/>
    <s v=""/>
    <s v=""/>
    <s v=""/>
    <s v=""/>
    <s v=""/>
  </r>
  <r>
    <s v="Der_Wiener_Meerfahrt.csv"/>
    <s v="#Vijnfte"/>
    <x v="0"/>
    <s v="buergerlich:unbekannt"/>
    <x v="3"/>
    <x v="3"/>
    <x v="1"/>
    <x v="3"/>
    <x v="1"/>
    <n v="0.15384615384615399"/>
    <n v="0"/>
    <n v="0.240740740740741"/>
    <n v="5.9987775210739502E-2"/>
    <x v="3"/>
    <n v="1"/>
    <s v=""/>
    <s v=""/>
    <s v=""/>
    <s v=""/>
    <s v=""/>
  </r>
  <r>
    <s v="Der_Wiener_Meerfahrt.csv"/>
    <s v="#Nuechterne"/>
    <x v="2"/>
    <s v="buergerlich:unbekannt"/>
    <x v="3"/>
    <x v="3"/>
    <x v="1"/>
    <x v="3"/>
    <x v="1"/>
    <n v="0.61538461538461497"/>
    <n v="0.111538461538462"/>
    <n v="0.27659574468085102"/>
    <n v="0.19052854903915101"/>
    <x v="3"/>
    <n v="1"/>
    <s v=""/>
    <s v=""/>
    <s v=""/>
    <s v=""/>
    <s v=""/>
  </r>
  <r>
    <s v="Der_Wiener_Meerfahrt.csv"/>
    <s v="#Vriunde-des-richen"/>
    <x v="2"/>
    <s v="buergerlich:unbekannt"/>
    <x v="3"/>
    <x v="11"/>
    <x v="1"/>
    <x v="3"/>
    <x v="1"/>
    <n v="0.30769230769230799"/>
    <n v="0"/>
    <n v="0.245283018867925"/>
    <n v="0.16042359898033001"/>
    <x v="10"/>
    <n v="1"/>
    <s v=""/>
    <s v=""/>
    <s v=""/>
    <s v=""/>
    <n v="5"/>
  </r>
  <r>
    <s v="Des_Bruders_Felix_Verzueckung.csv"/>
    <s v="#Felix"/>
    <x v="0"/>
    <s v="klerus:moench"/>
    <x v="3"/>
    <x v="3"/>
    <x v="0"/>
    <x v="4"/>
    <x v="1"/>
    <n v="2"/>
    <n v="0"/>
    <n v="0.44444444444444398"/>
    <n v="1"/>
    <x v="3"/>
    <n v="4"/>
    <s v=""/>
    <s v=""/>
    <s v=""/>
    <s v=""/>
    <s v=""/>
  </r>
  <r>
    <s v="Des_Bruders_Felix_Verzueckung.csv"/>
    <s v="#Pfortenaere"/>
    <x v="0"/>
    <s v="klerus:pfortner"/>
    <x v="3"/>
    <x v="11"/>
    <x v="1"/>
    <x v="4"/>
    <x v="1"/>
    <n v="1"/>
    <n v="0"/>
    <n v="0.4"/>
    <n v="0.46203707670192201"/>
    <x v="10"/>
    <n v="4"/>
    <s v=""/>
    <s v=""/>
    <s v=""/>
    <s v=""/>
    <n v="5"/>
  </r>
  <r>
    <s v="Des_Bruders_Felix_Verzueckung.csv"/>
    <s v="#Apt"/>
    <x v="0"/>
    <s v="klerus:abt"/>
    <x v="3"/>
    <x v="3"/>
    <x v="1"/>
    <x v="4"/>
    <x v="1"/>
    <n v="2"/>
    <n v="0.33333333333333298"/>
    <n v="0.5"/>
    <n v="0.96406043082997095"/>
    <x v="3"/>
    <n v="4"/>
    <s v=""/>
    <s v=""/>
    <s v=""/>
    <s v=""/>
    <s v=""/>
  </r>
  <r>
    <s v="Des_Bruders_Felix_Verzueckung.csv"/>
    <s v="#Eldisten"/>
    <x v="2"/>
    <s v="klerus:moench"/>
    <x v="3"/>
    <x v="3"/>
    <x v="1"/>
    <x v="4"/>
    <x v="1"/>
    <n v="1.5"/>
    <n v="0"/>
    <n v="0.5"/>
    <n v="0.50448143521806499"/>
    <x v="3"/>
    <n v="4"/>
    <s v=""/>
    <s v=""/>
    <s v=""/>
    <s v=""/>
    <s v=""/>
  </r>
  <r>
    <s v="Des_Bruders_Felix_Verzueckung.csv"/>
    <s v="#Muench"/>
    <x v="0"/>
    <s v="klerus:moench"/>
    <x v="2"/>
    <x v="6"/>
    <x v="1"/>
    <x v="4"/>
    <x v="1"/>
    <n v="1.5"/>
    <n v="0.25"/>
    <n v="0.57142857142857095"/>
    <n v="0.400092167716463"/>
    <x v="6"/>
    <n v="4"/>
    <s v=""/>
    <s v=""/>
    <s v=""/>
    <s v=""/>
    <s v=""/>
  </r>
  <r>
    <s v="Die_alte_Mutter_und_Kaiser_Friedrich.csv"/>
    <s v="#Keiser-Vridrich"/>
    <x v="0"/>
    <s v="adel:kaiser"/>
    <x v="3"/>
    <x v="6"/>
    <x v="1"/>
    <x v="1"/>
    <x v="1"/>
    <n v="1.1111111111111101"/>
    <n v="7.6388888888888895E-2"/>
    <n v="0.33333333333333298"/>
    <n v="0.68078474513314302"/>
    <x v="6"/>
    <n v="1"/>
    <s v=""/>
    <s v=""/>
    <s v=""/>
    <s v=""/>
    <s v=""/>
  </r>
  <r>
    <s v="Die_alte_Mutter_und_Kaiser_Friedrich.csv"/>
    <s v="#Fremder-ritter"/>
    <x v="0"/>
    <s v="adel:ritter"/>
    <x v="3"/>
    <x v="14"/>
    <x v="0"/>
    <x v="1"/>
    <x v="1"/>
    <n v="1.55555555555556"/>
    <n v="5.7870370370370398E-2"/>
    <n v="0.36"/>
    <n v="0.88699304273590596"/>
    <x v="5"/>
    <n v="1"/>
    <s v=""/>
    <n v="2"/>
    <s v=""/>
    <s v=""/>
    <s v=""/>
  </r>
  <r>
    <s v="Die_alte_Mutter_und_Kaiser_Friedrich.csv"/>
    <s v="#Muoter"/>
    <x v="1"/>
    <s v="adel:edelfrau"/>
    <x v="2"/>
    <x v="14"/>
    <x v="0"/>
    <x v="1"/>
    <x v="1"/>
    <n v="1.7777777777777799"/>
    <n v="0.26388888888888901"/>
    <n v="0.39130434782608697"/>
    <n v="1"/>
    <x v="5"/>
    <n v="1"/>
    <s v=""/>
    <n v="2"/>
    <s v=""/>
    <s v=""/>
    <s v=""/>
  </r>
  <r>
    <s v="Die_alte_Mutter_und_Kaiser_Friedrich.csv"/>
    <s v="#Ein-ritter"/>
    <x v="0"/>
    <s v="adel:ritter"/>
    <x v="3"/>
    <x v="3"/>
    <x v="1"/>
    <x v="1"/>
    <x v="1"/>
    <n v="0"/>
    <n v="0"/>
    <n v="0.1"/>
    <n v="0"/>
    <x v="3"/>
    <n v="1"/>
    <s v=""/>
    <s v=""/>
    <s v=""/>
    <s v=""/>
    <s v=""/>
  </r>
  <r>
    <s v="Die_alte_Mutter_und_Kaiser_Friedrich.csv"/>
    <s v="#Liute"/>
    <x v="2"/>
    <s v="unbekannt"/>
    <x v="3"/>
    <x v="3"/>
    <x v="1"/>
    <x v="2"/>
    <x v="1"/>
    <n v="0.88888888888888895"/>
    <n v="0"/>
    <n v="0.3"/>
    <n v="0.27620196624966498"/>
    <x v="3"/>
    <n v="1"/>
    <s v=""/>
    <s v=""/>
    <s v=""/>
    <s v=""/>
    <s v=""/>
  </r>
  <r>
    <s v="Die_alte_Mutter_und_Kaiser_Friedrich.csv"/>
    <s v="#Man-der-muoter"/>
    <x v="0"/>
    <s v="adel:unbekannt"/>
    <x v="5"/>
    <x v="3"/>
    <x v="1"/>
    <x v="1"/>
    <x v="1"/>
    <n v="0.44444444444444398"/>
    <n v="3.4722222222222203E-2"/>
    <n v="0.33333333333333298"/>
    <n v="5.0943220616632798E-2"/>
    <x v="3"/>
    <n v="1"/>
    <s v=""/>
    <s v=""/>
    <s v=""/>
    <s v=""/>
    <s v=""/>
  </r>
  <r>
    <s v="Die_alte_Mutter_und_Kaiser_Friedrich.csv"/>
    <s v="#Sun"/>
    <x v="0"/>
    <s v="adel:ritter"/>
    <x v="0"/>
    <x v="4"/>
    <x v="0"/>
    <x v="1"/>
    <x v="1"/>
    <n v="1.3333333333333299"/>
    <n v="8.7962962962963007E-2"/>
    <n v="0.34615384615384598"/>
    <n v="0.59414139280215195"/>
    <x v="4"/>
    <n v="1"/>
    <n v="1"/>
    <s v=""/>
    <s v=""/>
    <s v=""/>
    <s v=""/>
  </r>
  <r>
    <s v="Die_alte_Mutter_und_Kaiser_Friedrich.csv"/>
    <s v="#Herre"/>
    <x v="0"/>
    <s v="unbekannt"/>
    <x v="3"/>
    <x v="3"/>
    <x v="1"/>
    <x v="2"/>
    <x v="1"/>
    <n v="0.66666666666666696"/>
    <n v="0.101851851851852"/>
    <n v="0.36"/>
    <n v="7.928843670947E-2"/>
    <x v="3"/>
    <n v="1"/>
    <s v=""/>
    <s v=""/>
    <s v=""/>
    <s v=""/>
    <s v=""/>
  </r>
  <r>
    <s v="Die_alte_Mutter_und_Kaiser_Friedrich.csv"/>
    <s v="#Ein-ritter-2"/>
    <x v="0"/>
    <s v="adel:ritter"/>
    <x v="3"/>
    <x v="3"/>
    <x v="1"/>
    <x v="1"/>
    <x v="1"/>
    <n v="0.66666666666666696"/>
    <n v="0.180555555555556"/>
    <n v="0.375"/>
    <n v="8.2057257237367898E-2"/>
    <x v="3"/>
    <n v="1"/>
    <s v=""/>
    <s v=""/>
    <s v=""/>
    <s v=""/>
    <s v=""/>
  </r>
  <r>
    <s v="Die_alte_Mutter_und_Kaiser_Friedrich.csv"/>
    <s v="#Schar-des-suns"/>
    <x v="2"/>
    <s v="unbekannt"/>
    <x v="3"/>
    <x v="3"/>
    <x v="1"/>
    <x v="2"/>
    <x v="1"/>
    <n v="0.44444444444444398"/>
    <n v="0"/>
    <n v="0.31034482758620702"/>
    <n v="8.8646958028771594E-2"/>
    <x v="3"/>
    <n v="1"/>
    <s v=""/>
    <s v=""/>
    <s v=""/>
    <s v=""/>
    <s v=""/>
  </r>
  <r>
    <s v="Die_Beichte.csv"/>
    <s v="#Man"/>
    <x v="0"/>
    <s v="unbekannt"/>
    <x v="3"/>
    <x v="17"/>
    <x v="0"/>
    <x v="2"/>
    <x v="3"/>
    <n v="0"/>
    <n v="0"/>
    <n v="0"/>
    <n v="0"/>
    <x v="5"/>
    <n v="1"/>
    <s v=""/>
    <n v="2"/>
    <s v=""/>
    <s v=""/>
    <s v=""/>
  </r>
  <r>
    <s v="Die_Beichte.csv"/>
    <s v="#Vrouwe"/>
    <x v="1"/>
    <s v="unbekannt"/>
    <x v="3"/>
    <x v="16"/>
    <x v="0"/>
    <x v="2"/>
    <x v="3"/>
    <n v="0"/>
    <n v="0"/>
    <n v="0"/>
    <n v="0"/>
    <x v="5"/>
    <n v="1"/>
    <s v=""/>
    <n v="2"/>
    <s v=""/>
    <s v=""/>
    <s v=""/>
  </r>
  <r>
    <s v="Die_drei_Moenche_von_Kolmar.csv"/>
    <s v="#Man"/>
    <x v="0"/>
    <s v="unbekannt"/>
    <x v="3"/>
    <x v="21"/>
    <x v="0"/>
    <x v="2"/>
    <x v="1"/>
    <n v="1.6666666666666701"/>
    <n v="0"/>
    <n v="0.12765957446808501"/>
    <n v="0.95661262941960301"/>
    <x v="4"/>
    <n v="1"/>
    <n v="1"/>
    <s v=""/>
    <s v=""/>
    <s v=""/>
    <s v=""/>
  </r>
  <r>
    <s v="Die_drei_Moenche_von_Kolmar.csv"/>
    <s v="#Vrouwe"/>
    <x v="1"/>
    <s v="unbekannt"/>
    <x v="0"/>
    <x v="13"/>
    <x v="0"/>
    <x v="2"/>
    <x v="1"/>
    <n v="1.3333333333333299"/>
    <n v="0"/>
    <n v="0.11764705882352899"/>
    <n v="1"/>
    <x v="4"/>
    <n v="1"/>
    <n v="1"/>
    <s v=""/>
    <s v=""/>
    <s v=""/>
    <s v=""/>
  </r>
  <r>
    <s v="Die_drei_Moenche_von_Kolmar.csv"/>
    <s v="#Bruoder-TetiÃ "/>
    <x v="0"/>
    <s v="klerus:moench"/>
    <x v="3"/>
    <x v="14"/>
    <x v="1"/>
    <x v="4"/>
    <x v="1"/>
    <n v="2"/>
    <n v="5.5555555555555601E-2"/>
    <n v="0.25"/>
    <n v="0.95222085104804999"/>
    <x v="5"/>
    <n v="1"/>
    <s v=""/>
    <n v="2"/>
    <s v=""/>
    <s v=""/>
    <s v=""/>
  </r>
  <r>
    <s v="Die_drei_Moenche_von_Kolmar.csv"/>
    <s v="#Muench"/>
    <x v="0"/>
    <s v="klerus:moench"/>
    <x v="3"/>
    <x v="14"/>
    <x v="1"/>
    <x v="4"/>
    <x v="1"/>
    <n v="2"/>
    <n v="0"/>
    <n v="0.230769230769231"/>
    <n v="0.87113382517415705"/>
    <x v="5"/>
    <n v="1"/>
    <s v=""/>
    <n v="2"/>
    <s v=""/>
    <s v=""/>
    <s v=""/>
  </r>
  <r>
    <s v="Die_drei_Moenche_von_Kolmar.csv"/>
    <s v="#Augustiner-muench"/>
    <x v="0"/>
    <s v="klerus:moench"/>
    <x v="3"/>
    <x v="14"/>
    <x v="1"/>
    <x v="4"/>
    <x v="1"/>
    <n v="2"/>
    <n v="0.53333333333333299"/>
    <n v="0.28571428571428598"/>
    <n v="0.67807182041540304"/>
    <x v="5"/>
    <n v="1"/>
    <s v=""/>
    <n v="2"/>
    <s v=""/>
    <s v=""/>
    <s v=""/>
  </r>
  <r>
    <s v="Die_drei_Moenche_von_Kolmar.csv"/>
    <s v="#Schuoler"/>
    <x v="0"/>
    <s v="buergerlich:schueler"/>
    <x v="3"/>
    <x v="6"/>
    <x v="1"/>
    <x v="3"/>
    <x v="1"/>
    <n v="1.6666666666666701"/>
    <n v="0"/>
    <n v="0.1875"/>
    <n v="0.37870162876688301"/>
    <x v="6"/>
    <n v="1"/>
    <s v=""/>
    <s v=""/>
    <s v=""/>
    <s v=""/>
    <s v=""/>
  </r>
  <r>
    <s v="Die_drei_Moenche_von_Kolmar.csv"/>
    <s v="#Ein-bruoder"/>
    <x v="0"/>
    <s v="klerus:moench"/>
    <x v="3"/>
    <x v="14"/>
    <x v="1"/>
    <x v="4"/>
    <x v="1"/>
    <n v="1.3333333333333299"/>
    <n v="0.51111111111111096"/>
    <n v="0.28571428571428598"/>
    <n v="9.4801868264653699E-2"/>
    <x v="5"/>
    <n v="1"/>
    <s v=""/>
    <n v="2"/>
    <s v=""/>
    <s v=""/>
    <s v=""/>
  </r>
  <r>
    <s v="Die_drei_Wuensche.csv"/>
    <s v="#Man"/>
    <x v="0"/>
    <s v="bauer"/>
    <x v="3"/>
    <x v="0"/>
    <x v="0"/>
    <x v="5"/>
    <x v="3"/>
    <n v="0"/>
    <n v="0"/>
    <n v="0"/>
    <n v="0"/>
    <x v="0"/>
    <n v="1"/>
    <s v=""/>
    <s v=""/>
    <s v=""/>
    <s v=""/>
    <s v=""/>
  </r>
  <r>
    <s v="Die_drei_Wuensche.csv"/>
    <s v="#Wibe"/>
    <x v="1"/>
    <s v="bauer"/>
    <x v="3"/>
    <x v="24"/>
    <x v="0"/>
    <x v="5"/>
    <x v="3"/>
    <n v="0"/>
    <n v="0"/>
    <n v="0"/>
    <n v="0"/>
    <x v="17"/>
    <n v="1"/>
    <s v=""/>
    <s v=""/>
    <s v=""/>
    <s v=""/>
    <s v=""/>
  </r>
  <r>
    <s v="Die_drei_Wuensche.csv"/>
    <s v="#Vriund-der-vrouwe"/>
    <x v="2"/>
    <s v="unbekannt"/>
    <x v="3"/>
    <x v="6"/>
    <x v="1"/>
    <x v="2"/>
    <x v="3"/>
    <n v="0"/>
    <n v="0"/>
    <n v="0"/>
    <n v="0"/>
    <x v="6"/>
    <n v="1"/>
    <s v=""/>
    <s v=""/>
    <s v=""/>
    <s v=""/>
    <s v=""/>
  </r>
  <r>
    <s v="Die_eingemauerte_Frau.csv"/>
    <s v="#Ritter"/>
    <x v="0"/>
    <s v="adel:ritter"/>
    <x v="3"/>
    <x v="0"/>
    <x v="0"/>
    <x v="1"/>
    <x v="3"/>
    <n v="1.71428571428571"/>
    <n v="0.119047619047619"/>
    <n v="0.5"/>
    <n v="0.92679401514459703"/>
    <x v="0"/>
    <n v="1"/>
    <s v=""/>
    <s v=""/>
    <s v=""/>
    <s v=""/>
    <s v=""/>
  </r>
  <r>
    <s v="Die_eingemauerte_Frau.csv"/>
    <s v="#Wip"/>
    <x v="1"/>
    <s v="adel:edelfrau"/>
    <x v="3"/>
    <x v="1"/>
    <x v="0"/>
    <x v="1"/>
    <x v="3"/>
    <n v="2"/>
    <n v="0.15079365079365101"/>
    <n v="0.53846153846153799"/>
    <n v="1"/>
    <x v="1"/>
    <n v="1"/>
    <s v=""/>
    <s v=""/>
    <s v=""/>
    <s v=""/>
    <s v=""/>
  </r>
  <r>
    <s v="Die_eingemauerte_Frau.csv"/>
    <s v="#Ein-Wip"/>
    <x v="1"/>
    <s v="unbekannt"/>
    <x v="3"/>
    <x v="3"/>
    <x v="1"/>
    <x v="2"/>
    <x v="3"/>
    <n v="0.57142857142857095"/>
    <n v="2.3809523809523801E-2"/>
    <n v="0.41176470588235298"/>
    <n v="0.102434267109328"/>
    <x v="3"/>
    <n v="1"/>
    <s v=""/>
    <s v=""/>
    <s v=""/>
    <s v=""/>
    <s v=""/>
  </r>
  <r>
    <s v="Die_eingemauerte_Frau.csv"/>
    <s v="#Ire-mage"/>
    <x v="2"/>
    <s v="unbekannt"/>
    <x v="3"/>
    <x v="3"/>
    <x v="1"/>
    <x v="2"/>
    <x v="3"/>
    <n v="0.85714285714285698"/>
    <n v="0"/>
    <n v="0.38888888888888901"/>
    <n v="0.26679899506945498"/>
    <x v="3"/>
    <n v="1"/>
    <s v=""/>
    <s v=""/>
    <s v=""/>
    <s v=""/>
    <s v=""/>
  </r>
  <r>
    <s v="Die_eingemauerte_Frau.csv"/>
    <s v="#Ire-vriunden"/>
    <x v="2"/>
    <s v="unbekannt"/>
    <x v="3"/>
    <x v="3"/>
    <x v="1"/>
    <x v="2"/>
    <x v="3"/>
    <n v="1.71428571428571"/>
    <n v="0.40476190476190499"/>
    <n v="0.58333333333333304"/>
    <n v="0.58245763204958501"/>
    <x v="3"/>
    <n v="1"/>
    <s v=""/>
    <s v=""/>
    <s v=""/>
    <s v=""/>
    <s v=""/>
  </r>
  <r>
    <s v="Die_eingemauerte_Frau.csv"/>
    <s v="#Ein-friunt"/>
    <x v="3"/>
    <s v="unbekannt"/>
    <x v="3"/>
    <x v="3"/>
    <x v="1"/>
    <x v="2"/>
    <x v="3"/>
    <n v="0.85714285714285698"/>
    <n v="0.317460317460317"/>
    <n v="0.58333333333333304"/>
    <n v="0.13339949753472699"/>
    <x v="3"/>
    <n v="1"/>
    <s v=""/>
    <s v=""/>
    <s v=""/>
    <s v=""/>
    <s v=""/>
  </r>
  <r>
    <s v="Die_eingemauerte_Frau.csv"/>
    <s v="#Pfaffe"/>
    <x v="0"/>
    <s v="klerus:pfarrer"/>
    <x v="3"/>
    <x v="6"/>
    <x v="1"/>
    <x v="4"/>
    <x v="3"/>
    <n v="0.85714285714285698"/>
    <n v="0"/>
    <n v="0.38888888888888901"/>
    <n v="0.44459415307636202"/>
    <x v="6"/>
    <n v="1"/>
    <s v=""/>
    <s v=""/>
    <s v=""/>
    <s v=""/>
    <s v=""/>
  </r>
  <r>
    <s v="Die_eingemauerte_Frau.csv"/>
    <s v="#Sumliche"/>
    <x v="2"/>
    <s v="unbekannt"/>
    <x v="3"/>
    <x v="3"/>
    <x v="1"/>
    <x v="2"/>
    <x v="3"/>
    <n v="0.57142857142857095"/>
    <n v="0"/>
    <n v="0.4375"/>
    <n v="0.137291351748379"/>
    <x v="3"/>
    <n v="1"/>
    <s v=""/>
    <s v=""/>
    <s v=""/>
    <s v=""/>
    <s v=""/>
  </r>
  <r>
    <s v="Die_halbe_Birn.csv"/>
    <s v="#Kuenig"/>
    <x v="0"/>
    <s v="adel:koenig"/>
    <x v="2"/>
    <x v="8"/>
    <x v="1"/>
    <x v="1"/>
    <x v="2"/>
    <n v="0.72727272727272696"/>
    <n v="0.118181818181818"/>
    <n v="0.36666666666666697"/>
    <n v="0.11230244846644601"/>
    <x v="7"/>
    <n v="1"/>
    <s v=""/>
    <s v=""/>
    <s v=""/>
    <s v=""/>
    <s v=""/>
  </r>
  <r>
    <s v="Die_halbe_Birn.csv"/>
    <s v="#Koenigin"/>
    <x v="1"/>
    <s v="adel:koenigin"/>
    <x v="2"/>
    <x v="9"/>
    <x v="1"/>
    <x v="1"/>
    <x v="2"/>
    <n v="0.36363636363636398"/>
    <n v="2.27272727272727E-2"/>
    <n v="0.35483870967741898"/>
    <n v="4.05085057459025E-2"/>
    <x v="8"/>
    <n v="1"/>
    <s v=""/>
    <s v=""/>
    <s v=""/>
    <s v=""/>
    <s v=""/>
  </r>
  <r>
    <s v="Die_halbe_Birn.csv"/>
    <s v="#Tohter-des-kuniks"/>
    <x v="1"/>
    <s v="adel:koenigstochter"/>
    <x v="0"/>
    <x v="25"/>
    <x v="0"/>
    <x v="1"/>
    <x v="2"/>
    <n v="1.8181818181818199"/>
    <n v="0.49545454545454498"/>
    <n v="0.44"/>
    <n v="0.99658329577265603"/>
    <x v="4"/>
    <n v="1"/>
    <n v="1"/>
    <s v=""/>
    <s v=""/>
    <s v=""/>
    <s v=""/>
  </r>
  <r>
    <s v="Die_halbe_Birn.csv"/>
    <s v="#Vuersten"/>
    <x v="0"/>
    <s v="adel:fuerst"/>
    <x v="3"/>
    <x v="3"/>
    <x v="1"/>
    <x v="1"/>
    <x v="2"/>
    <n v="0.36363636363636398"/>
    <n v="2.27272727272727E-2"/>
    <n v="0.35483870967741898"/>
    <n v="4.05085057459025E-2"/>
    <x v="3"/>
    <n v="1"/>
    <s v=""/>
    <s v=""/>
    <s v=""/>
    <s v=""/>
    <s v=""/>
  </r>
  <r>
    <s v="Die_halbe_Birn.csv"/>
    <s v="#Ritter-Arnolt"/>
    <x v="0"/>
    <s v="adel:ritter"/>
    <x v="3"/>
    <x v="25"/>
    <x v="0"/>
    <x v="1"/>
    <x v="2"/>
    <n v="1.4545454545454499"/>
    <n v="0.35"/>
    <n v="0.407407407407407"/>
    <n v="1"/>
    <x v="4"/>
    <n v="1"/>
    <n v="1"/>
    <s v=""/>
    <s v=""/>
    <s v=""/>
    <s v=""/>
  </r>
  <r>
    <s v="Die_halbe_Birn.csv"/>
    <s v="#Heinrich-der-kneht"/>
    <x v="0"/>
    <s v="adel:knecht"/>
    <x v="3"/>
    <x v="6"/>
    <x v="1"/>
    <x v="1"/>
    <x v="2"/>
    <n v="0.36363636363636398"/>
    <n v="0"/>
    <n v="0.2"/>
    <n v="0.29187211658206402"/>
    <x v="6"/>
    <n v="1"/>
    <s v=""/>
    <s v=""/>
    <s v=""/>
    <s v=""/>
    <s v=""/>
  </r>
  <r>
    <s v="Die_halbe_Birn.csv"/>
    <s v="#Liute"/>
    <x v="2"/>
    <s v="unbekannt"/>
    <x v="3"/>
    <x v="3"/>
    <x v="1"/>
    <x v="2"/>
    <x v="2"/>
    <n v="0.18181818181818199"/>
    <n v="0"/>
    <n v="0.23404255319148901"/>
    <n v="7.3061640401371905E-2"/>
    <x v="3"/>
    <n v="1"/>
    <s v=""/>
    <s v=""/>
    <s v=""/>
    <s v=""/>
    <s v=""/>
  </r>
  <r>
    <s v="Die_halbe_Birn.csv"/>
    <s v="#junk-vrouwen-der-tohter"/>
    <x v="2"/>
    <s v="adel:hofstaat"/>
    <x v="3"/>
    <x v="3"/>
    <x v="1"/>
    <x v="1"/>
    <x v="2"/>
    <n v="0.36363636363636398"/>
    <n v="0"/>
    <n v="0.25581395348837199"/>
    <n v="0.18240447098781401"/>
    <x v="3"/>
    <n v="1"/>
    <s v=""/>
    <s v=""/>
    <s v=""/>
    <s v=""/>
    <s v=""/>
  </r>
  <r>
    <s v="Die_halbe_Birn.csv"/>
    <s v="#Eine-vrouwe"/>
    <x v="1"/>
    <s v="adel:hofstaat"/>
    <x v="3"/>
    <x v="6"/>
    <x v="1"/>
    <x v="1"/>
    <x v="2"/>
    <n v="0.36363636363636398"/>
    <n v="9.0909090909090898E-2"/>
    <n v="0.39285714285714302"/>
    <n v="7.2936825393563803E-2"/>
    <x v="6"/>
    <n v="1"/>
    <s v=""/>
    <s v=""/>
    <s v=""/>
    <s v=""/>
    <s v=""/>
  </r>
  <r>
    <s v="Die_halbe_Birn.csv"/>
    <s v="#Eine-kamerruze"/>
    <x v="1"/>
    <s v="adel:kammerzofe"/>
    <x v="3"/>
    <x v="3"/>
    <x v="1"/>
    <x v="1"/>
    <x v="2"/>
    <n v="0.18181818181818199"/>
    <n v="0"/>
    <n v="0.314285714285714"/>
    <n v="3.6406005192877899E-2"/>
    <x v="3"/>
    <n v="1"/>
    <s v=""/>
    <s v=""/>
    <s v=""/>
    <s v=""/>
    <s v=""/>
  </r>
  <r>
    <s v="Die_halbe_Birn.csv"/>
    <s v="#Zwei-vroeuwelin"/>
    <x v="2"/>
    <s v="adel:hofstaat"/>
    <x v="3"/>
    <x v="3"/>
    <x v="1"/>
    <x v="1"/>
    <x v="2"/>
    <n v="0.36363636363636398"/>
    <n v="0"/>
    <n v="0.32352941176470601"/>
    <n v="0.10934283058644199"/>
    <x v="3"/>
    <n v="1"/>
    <s v=""/>
    <s v=""/>
    <s v=""/>
    <s v=""/>
    <s v=""/>
  </r>
  <r>
    <s v="Die_halbe_Birn.csv"/>
    <s v="#Kamer-wip-Irmegart"/>
    <x v="1"/>
    <s v="adel:kammerzofe"/>
    <x v="2"/>
    <x v="6"/>
    <x v="1"/>
    <x v="1"/>
    <x v="2"/>
    <n v="0.36363636363636398"/>
    <n v="0"/>
    <n v="0.14864864864864899"/>
    <n v="0.401090132160697"/>
    <x v="6"/>
    <n v="1"/>
    <s v=""/>
    <s v=""/>
    <s v=""/>
    <s v=""/>
    <s v=""/>
  </r>
  <r>
    <s v="Die_halbe_Decke.csv"/>
    <s v="#Burgaer"/>
    <x v="0"/>
    <s v="buergerlich:unbekannt"/>
    <x v="2"/>
    <x v="14"/>
    <x v="0"/>
    <x v="3"/>
    <x v="1"/>
    <n v="2"/>
    <n v="0.4"/>
    <n v="0.33333333333333298"/>
    <n v="1"/>
    <x v="5"/>
    <n v="1"/>
    <s v=""/>
    <n v="2"/>
    <s v=""/>
    <s v=""/>
    <s v=""/>
  </r>
  <r>
    <s v="Die_halbe_Decke.csv"/>
    <s v="#Wip-des-alten"/>
    <x v="1"/>
    <s v="buergerlich:ehefrau"/>
    <x v="5"/>
    <x v="1"/>
    <x v="1"/>
    <x v="3"/>
    <x v="1"/>
    <n v="0.4"/>
    <n v="0"/>
    <n v="0.26315789473684198"/>
    <n v="5.3215731250487702E-2"/>
    <x v="1"/>
    <n v="1"/>
    <s v=""/>
    <s v=""/>
    <s v=""/>
    <s v=""/>
    <s v=""/>
  </r>
  <r>
    <s v="Die_halbe_Decke.csv"/>
    <s v="#Sun-des-buergers"/>
    <x v="0"/>
    <s v="buergerlich:unbekannt"/>
    <x v="0"/>
    <x v="4"/>
    <x v="0"/>
    <x v="3"/>
    <x v="1"/>
    <n v="1.2"/>
    <n v="0"/>
    <n v="0.217391304347826"/>
    <n v="0.79493345639628898"/>
    <x v="4"/>
    <n v="1"/>
    <n v="1"/>
    <s v=""/>
    <s v=""/>
    <s v=""/>
    <s v=""/>
  </r>
  <r>
    <s v="Die_halbe_Decke.csv"/>
    <s v="#Kindelin"/>
    <x v="0"/>
    <s v="buergerlich:NA"/>
    <x v="1"/>
    <x v="6"/>
    <x v="0"/>
    <x v="3"/>
    <x v="1"/>
    <n v="1.6"/>
    <n v="0.2"/>
    <n v="0.29411764705882398"/>
    <n v="0.85354916609651099"/>
    <x v="6"/>
    <n v="1"/>
    <s v=""/>
    <s v=""/>
    <s v=""/>
    <s v=""/>
    <s v=""/>
  </r>
  <r>
    <s v="Die_halbe_Decke.csv"/>
    <s v="#Vrouwe-des-jungen"/>
    <x v="1"/>
    <s v="buergerlich:ehefrau"/>
    <x v="0"/>
    <x v="1"/>
    <x v="1"/>
    <x v="3"/>
    <x v="1"/>
    <n v="1.2"/>
    <n v="0.4"/>
    <n v="0.33333333333333298"/>
    <n v="0.33509761017081602"/>
    <x v="1"/>
    <n v="1"/>
    <s v=""/>
    <s v=""/>
    <s v=""/>
    <s v=""/>
    <s v=""/>
  </r>
  <r>
    <s v="Die_halbe_Decke.csv"/>
    <s v="#Kneh?"/>
    <x v="2"/>
    <s v="buergerlich:knecht"/>
    <x v="3"/>
    <x v="3"/>
    <x v="1"/>
    <x v="3"/>
    <x v="1"/>
    <n v="0.8"/>
    <n v="0.2"/>
    <n v="0.29411764705882398"/>
    <n v="0.19727594856511499"/>
    <x v="3"/>
    <n v="1"/>
    <s v=""/>
    <s v=""/>
    <s v=""/>
    <s v=""/>
    <s v=""/>
  </r>
  <r>
    <s v="Die_Heidin.csv"/>
    <s v="#Koenig-der-heiden"/>
    <x v="0"/>
    <s v="adel:koenig"/>
    <x v="3"/>
    <x v="7"/>
    <x v="0"/>
    <x v="1"/>
    <x v="3"/>
    <n v="0.91666666666666696"/>
    <n v="8.4194559466298599E-2"/>
    <n v="0.42857142857142899"/>
    <n v="0.63811100899106199"/>
    <x v="5"/>
    <n v="1"/>
    <s v=""/>
    <n v="2"/>
    <s v=""/>
    <s v=""/>
    <s v=""/>
  </r>
  <r>
    <s v="Die_Heidin.csv"/>
    <s v="#Kuenegin-Demuot"/>
    <x v="1"/>
    <s v="adel:koenigin"/>
    <x v="0"/>
    <x v="13"/>
    <x v="0"/>
    <x v="1"/>
    <x v="3"/>
    <n v="1.0833333333333299"/>
    <n v="0.14272271106510201"/>
    <n v="0.46153846153846201"/>
    <n v="0.96755371858738204"/>
    <x v="4"/>
    <n v="1"/>
    <n v="1"/>
    <s v=""/>
    <s v=""/>
    <s v=""/>
    <s v=""/>
  </r>
  <r>
    <s v="Die_Heidin.csv"/>
    <s v="#Grave-Alpharius"/>
    <x v="0"/>
    <s v="adel:graf"/>
    <x v="3"/>
    <x v="4"/>
    <x v="0"/>
    <x v="1"/>
    <x v="3"/>
    <n v="1.5833333333333299"/>
    <n v="0.51665947780078203"/>
    <n v="0.57142857142857095"/>
    <n v="1"/>
    <x v="4"/>
    <n v="1"/>
    <n v="1"/>
    <s v=""/>
    <s v=""/>
    <s v=""/>
    <s v=""/>
  </r>
  <r>
    <s v="Die_Heidin.csv"/>
    <s v="#Ritter-des-graven"/>
    <x v="2"/>
    <s v="adel:ritter"/>
    <x v="3"/>
    <x v="20"/>
    <x v="1"/>
    <x v="1"/>
    <x v="3"/>
    <n v="0.58333333333333304"/>
    <n v="6.9760754543363196E-2"/>
    <n v="0.34782608695652201"/>
    <n v="0.265179101006282"/>
    <x v="14"/>
    <n v="1"/>
    <s v=""/>
    <s v=""/>
    <s v=""/>
    <s v=""/>
    <s v=""/>
  </r>
  <r>
    <s v="Die_Heidin.csv"/>
    <s v="#Knehte-des-graven"/>
    <x v="2"/>
    <s v="adel:knecht"/>
    <x v="3"/>
    <x v="20"/>
    <x v="1"/>
    <x v="1"/>
    <x v="3"/>
    <n v="0.5"/>
    <n v="2.1128076834598601E-2"/>
    <n v="0.28571428571428598"/>
    <n v="0.25548775811783703"/>
    <x v="14"/>
    <n v="1"/>
    <s v=""/>
    <s v=""/>
    <s v=""/>
    <s v=""/>
    <s v=""/>
  </r>
  <r>
    <s v="Die_Heidin.csv"/>
    <s v="#Ratman"/>
    <x v="0"/>
    <s v="adel:berater"/>
    <x v="3"/>
    <x v="3"/>
    <x v="1"/>
    <x v="1"/>
    <x v="3"/>
    <n v="0.16666666666666699"/>
    <n v="8.6697722567287798E-3"/>
    <n v="0.266666666666667"/>
    <n v="6.0060240748399099E-3"/>
    <x v="3"/>
    <n v="1"/>
    <s v=""/>
    <s v=""/>
    <s v=""/>
    <s v=""/>
    <s v=""/>
  </r>
  <r>
    <s v="Die_Heidin.csv"/>
    <s v="#Hou(b)-est-dienst-man"/>
    <x v="0"/>
    <s v="adel:hauptmann"/>
    <x v="3"/>
    <x v="3"/>
    <x v="1"/>
    <x v="1"/>
    <x v="3"/>
    <n v="0.16666666666666699"/>
    <n v="7.8821601104209799E-2"/>
    <n v="0.40677966101694901"/>
    <n v="1.4594161326900701E-2"/>
    <x v="3"/>
    <n v="1"/>
    <s v=""/>
    <s v=""/>
    <s v=""/>
    <s v=""/>
    <s v=""/>
  </r>
  <r>
    <s v="Die_Heidin.csv"/>
    <s v="#Ein-bote-1"/>
    <x v="0"/>
    <s v="buergerlich:bote"/>
    <x v="3"/>
    <x v="15"/>
    <x v="1"/>
    <x v="3"/>
    <x v="3"/>
    <n v="8.3333333333333301E-2"/>
    <n v="0"/>
    <n v="0.36923076923076897"/>
    <n v="1.15352532422429E-2"/>
    <x v="12"/>
    <n v="1"/>
    <s v=""/>
    <s v=""/>
    <s v=""/>
    <s v=""/>
    <s v=""/>
  </r>
  <r>
    <s v="Die_Heidin.csv"/>
    <s v="#Herren-von-den-vesten"/>
    <x v="2"/>
    <s v="unbekannt"/>
    <x v="3"/>
    <x v="3"/>
    <x v="1"/>
    <x v="2"/>
    <x v="3"/>
    <n v="0.25"/>
    <n v="0"/>
    <n v="0.233009708737864"/>
    <n v="5.2623831951248597E-2"/>
    <x v="3"/>
    <n v="1"/>
    <s v=""/>
    <s v=""/>
    <s v=""/>
    <s v=""/>
    <s v=""/>
  </r>
  <r>
    <s v="Die_Heidin.csv"/>
    <s v="#Ein-bote-2"/>
    <x v="0"/>
    <s v="buergerlich:bote"/>
    <x v="3"/>
    <x v="15"/>
    <x v="1"/>
    <x v="3"/>
    <x v="3"/>
    <n v="0.25"/>
    <n v="1.1214630779848201E-3"/>
    <n v="0.36363636363636398"/>
    <n v="4.1592255739240198E-2"/>
    <x v="12"/>
    <n v="1"/>
    <s v=""/>
    <s v=""/>
    <s v=""/>
    <s v=""/>
    <s v=""/>
  </r>
  <r>
    <s v="Die_Heidin.csv"/>
    <s v="#Heren-des-heiden"/>
    <x v="2"/>
    <s v="unbekannt"/>
    <x v="3"/>
    <x v="3"/>
    <x v="1"/>
    <x v="2"/>
    <x v="3"/>
    <n v="0.25"/>
    <n v="7.1325051759834293E-2"/>
    <n v="0.4"/>
    <n v="1.8796943947652502E-2"/>
    <x v="3"/>
    <n v="1"/>
    <s v=""/>
    <s v=""/>
    <s v=""/>
    <s v=""/>
    <s v=""/>
  </r>
  <r>
    <s v="Die_Heidin.csv"/>
    <s v="#Ritter-Ringelolt"/>
    <x v="0"/>
    <s v="adel:ritter"/>
    <x v="3"/>
    <x v="18"/>
    <x v="1"/>
    <x v="1"/>
    <x v="3"/>
    <n v="0.66666666666666696"/>
    <n v="8.9447463768115895E-2"/>
    <n v="0.38095238095238099"/>
    <n v="2.38568401680475E-2"/>
    <x v="13"/>
    <n v="1"/>
    <s v=""/>
    <s v=""/>
    <s v=""/>
    <s v=""/>
    <s v=""/>
  </r>
  <r>
    <s v="Die_Heidin.csv"/>
    <s v="#Helde-dri"/>
    <x v="2"/>
    <s v="adel:ritter"/>
    <x v="3"/>
    <x v="18"/>
    <x v="1"/>
    <x v="1"/>
    <x v="3"/>
    <n v="0.33333333333333298"/>
    <n v="1.8115942028985501E-3"/>
    <n v="0.34782608695652201"/>
    <n v="4.2457017268458401E-4"/>
    <x v="13"/>
    <n v="1"/>
    <s v=""/>
    <s v=""/>
    <s v=""/>
    <s v=""/>
    <s v=""/>
  </r>
  <r>
    <s v="Die_Heidin.csv"/>
    <s v="#Ritter-Wolfart"/>
    <x v="0"/>
    <s v="adel:ritter"/>
    <x v="3"/>
    <x v="18"/>
    <x v="1"/>
    <x v="1"/>
    <x v="3"/>
    <n v="0.33333333333333298"/>
    <n v="1.8115942028985501E-3"/>
    <n v="0.34782608695652201"/>
    <n v="4.2457017268464998E-4"/>
    <x v="13"/>
    <n v="1"/>
    <s v=""/>
    <s v=""/>
    <s v=""/>
    <s v=""/>
    <s v=""/>
  </r>
  <r>
    <s v="Die_Heidin.csv"/>
    <s v="#Ritter-Tituban"/>
    <x v="0"/>
    <s v="adel:ritter"/>
    <x v="3"/>
    <x v="18"/>
    <x v="1"/>
    <x v="1"/>
    <x v="3"/>
    <n v="0.33333333333333298"/>
    <n v="1.8115942028985501E-3"/>
    <n v="0.34782608695652201"/>
    <n v="4.24570172684562E-4"/>
    <x v="13"/>
    <n v="1"/>
    <s v=""/>
    <s v=""/>
    <s v=""/>
    <s v=""/>
    <s v=""/>
  </r>
  <r>
    <s v="Die_Heidin.csv"/>
    <s v="#Ritter-Kuonrich"/>
    <x v="0"/>
    <s v="adel:ritter"/>
    <x v="3"/>
    <x v="18"/>
    <x v="1"/>
    <x v="1"/>
    <x v="3"/>
    <n v="0.41666666666666702"/>
    <n v="0.14492753623188401"/>
    <n v="0.42105263157894701"/>
    <n v="1.21003352014222E-2"/>
    <x v="13"/>
    <n v="1"/>
    <s v=""/>
    <s v=""/>
    <s v=""/>
    <s v=""/>
    <s v=""/>
  </r>
  <r>
    <s v="Die_Heidin.csv"/>
    <s v="#Genoz-des-Ringlelolt"/>
    <x v="0"/>
    <s v="adel:ritter"/>
    <x v="3"/>
    <x v="18"/>
    <x v="1"/>
    <x v="1"/>
    <x v="3"/>
    <n v="0.25"/>
    <n v="1.24532723717506E-2"/>
    <n v="0.42105263157894701"/>
    <n v="1.19482743050577E-2"/>
    <x v="13"/>
    <n v="1"/>
    <s v=""/>
    <s v=""/>
    <s v=""/>
    <s v=""/>
    <s v=""/>
  </r>
  <r>
    <s v="Die_Heidin.csv"/>
    <s v="#Vierter-ritter"/>
    <x v="0"/>
    <s v="adel:ritter"/>
    <x v="3"/>
    <x v="18"/>
    <x v="1"/>
    <x v="1"/>
    <x v="3"/>
    <n v="0.25"/>
    <n v="1.24532723717506E-2"/>
    <n v="0.42105263157894701"/>
    <n v="1.19482743050577E-2"/>
    <x v="13"/>
    <n v="1"/>
    <s v=""/>
    <s v=""/>
    <s v=""/>
    <s v=""/>
    <s v=""/>
  </r>
  <r>
    <s v="Die_Heidin.csv"/>
    <s v="#Fuenfter-ritter"/>
    <x v="0"/>
    <s v="adel:ritter"/>
    <x v="3"/>
    <x v="18"/>
    <x v="1"/>
    <x v="1"/>
    <x v="3"/>
    <n v="0.58333333333333304"/>
    <n v="1.4783183804922899E-2"/>
    <n v="0.46153846153846201"/>
    <n v="3.1510949632662502E-2"/>
    <x v="13"/>
    <n v="1"/>
    <s v=""/>
    <s v=""/>
    <s v=""/>
    <s v=""/>
    <s v=""/>
  </r>
  <r>
    <s v="Die_Heidin.csv"/>
    <s v="#Sehster-ritter"/>
    <x v="0"/>
    <s v="adel:ritter"/>
    <x v="3"/>
    <x v="18"/>
    <x v="1"/>
    <x v="1"/>
    <x v="3"/>
    <n v="0.58333333333333304"/>
    <n v="1.4783183804922899E-2"/>
    <n v="0.46153846153846201"/>
    <n v="3.1510949632662599E-2"/>
    <x v="13"/>
    <n v="1"/>
    <s v=""/>
    <s v=""/>
    <s v=""/>
    <s v=""/>
    <s v=""/>
  </r>
  <r>
    <s v="Die_Heidin.csv"/>
    <s v="#Sibender-ritter"/>
    <x v="0"/>
    <s v="adel:ritter"/>
    <x v="3"/>
    <x v="18"/>
    <x v="1"/>
    <x v="1"/>
    <x v="3"/>
    <n v="0.58333333333333304"/>
    <n v="1.4783183804922899E-2"/>
    <n v="0.46153846153846201"/>
    <n v="3.1510949632662599E-2"/>
    <x v="13"/>
    <n v="1"/>
    <s v=""/>
    <s v=""/>
    <s v=""/>
    <s v=""/>
    <s v=""/>
  </r>
  <r>
    <s v="Die_Heidin.csv"/>
    <s v="#Ahter-ritter"/>
    <x v="0"/>
    <s v="adel:ritter"/>
    <x v="3"/>
    <x v="18"/>
    <x v="1"/>
    <x v="1"/>
    <x v="3"/>
    <n v="0.58333333333333304"/>
    <n v="1.4783183804922899E-2"/>
    <n v="0.46153846153846201"/>
    <n v="3.1510949632662502E-2"/>
    <x v="13"/>
    <n v="1"/>
    <s v=""/>
    <s v=""/>
    <s v=""/>
    <s v=""/>
    <s v=""/>
  </r>
  <r>
    <s v="Die_Heidin.csv"/>
    <s v="#Niunder-ritter"/>
    <x v="0"/>
    <s v="adel:ritter"/>
    <x v="3"/>
    <x v="18"/>
    <x v="1"/>
    <x v="1"/>
    <x v="3"/>
    <n v="0.58333333333333304"/>
    <n v="1.4783183804922899E-2"/>
    <n v="0.46153846153846201"/>
    <n v="3.1510949632662599E-2"/>
    <x v="13"/>
    <n v="1"/>
    <s v=""/>
    <s v=""/>
    <s v=""/>
    <s v=""/>
    <s v=""/>
  </r>
  <r>
    <s v="Die_Heidin.csv"/>
    <s v="#Die-heidenschaft"/>
    <x v="2"/>
    <s v="unbekannt"/>
    <x v="3"/>
    <x v="3"/>
    <x v="1"/>
    <x v="2"/>
    <x v="3"/>
    <n v="0.16666666666666699"/>
    <n v="6.1860190936277896E-3"/>
    <n v="0.41379310344827602"/>
    <n v="2.2696230411622199E-2"/>
    <x v="3"/>
    <n v="1"/>
    <s v=""/>
    <s v=""/>
    <s v=""/>
    <s v=""/>
    <s v=""/>
  </r>
  <r>
    <s v="Die_Heidin.csv"/>
    <s v="#Ein-bote-3"/>
    <x v="0"/>
    <s v="buergerlich:bote"/>
    <x v="3"/>
    <x v="15"/>
    <x v="1"/>
    <x v="3"/>
    <x v="3"/>
    <n v="0.16666666666666699"/>
    <n v="0"/>
    <n v="0.296296296296296"/>
    <n v="4.5392460823244503E-2"/>
    <x v="12"/>
    <n v="1"/>
    <s v=""/>
    <s v=""/>
    <s v=""/>
    <s v=""/>
    <s v=""/>
  </r>
  <r>
    <s v="Die_Katze_als_Nonne.csv"/>
    <s v="#Katz"/>
    <x v="5"/>
    <s v="NA"/>
    <x v="4"/>
    <x v="3"/>
    <x v="0"/>
    <x v="0"/>
    <x v="1"/>
    <n v="0"/>
    <n v="0"/>
    <n v="0"/>
    <n v="0"/>
    <x v="3"/>
    <n v="4"/>
    <s v=""/>
    <s v=""/>
    <s v=""/>
    <s v=""/>
    <s v=""/>
  </r>
  <r>
    <s v="Die_Katze_als_Nonne.csv"/>
    <s v="#Ein-muÃŸ"/>
    <x v="5"/>
    <s v="NA"/>
    <x v="4"/>
    <x v="18"/>
    <x v="1"/>
    <x v="0"/>
    <x v="1"/>
    <n v="0"/>
    <n v="0"/>
    <n v="0"/>
    <n v="0"/>
    <x v="13"/>
    <n v="4"/>
    <s v=""/>
    <s v=""/>
    <s v=""/>
    <s v=""/>
    <s v=""/>
  </r>
  <r>
    <s v="Die_Katze_als_Nonne.csv"/>
    <s v="#Nunnen"/>
    <x v="2"/>
    <s v="klerus:nonne"/>
    <x v="3"/>
    <x v="11"/>
    <x v="1"/>
    <x v="4"/>
    <x v="1"/>
    <n v="0"/>
    <n v="0"/>
    <n v="0"/>
    <n v="0"/>
    <x v="10"/>
    <n v="4"/>
    <s v=""/>
    <s v=""/>
    <s v=""/>
    <s v=""/>
    <n v="5"/>
  </r>
  <r>
    <s v="Die_Koenigin_von_Frankreich_und_der_ungetreue_Marschall.csv"/>
    <s v="#Kuenik-von-Frankreich"/>
    <x v="0"/>
    <s v="adel:koenig"/>
    <x v="0"/>
    <x v="7"/>
    <x v="0"/>
    <x v="1"/>
    <x v="3"/>
    <n v="2"/>
    <n v="0.52752525252525295"/>
    <n v="0.375"/>
    <n v="1"/>
    <x v="5"/>
    <n v="1"/>
    <s v=""/>
    <n v="2"/>
    <s v=""/>
    <s v=""/>
    <s v=""/>
  </r>
  <r>
    <s v="Die_Koenigin_von_Frankreich_und_der_ungetreue_Marschall.csv"/>
    <s v="#Koenigin-von-Frankreich"/>
    <x v="1"/>
    <s v="adel:koenigin"/>
    <x v="0"/>
    <x v="5"/>
    <x v="0"/>
    <x v="1"/>
    <x v="3"/>
    <n v="1.5"/>
    <n v="5.5303030303030298E-2"/>
    <n v="0.22222222222222199"/>
    <n v="0.99170278756153496"/>
    <x v="5"/>
    <n v="1"/>
    <s v=""/>
    <n v="2"/>
    <s v=""/>
    <s v=""/>
    <s v=""/>
  </r>
  <r>
    <s v="Die_Koenigin_von_Frankreich_und_der_ungetreue_Marschall.csv"/>
    <s v="#Marschal"/>
    <x v="0"/>
    <s v="adel:marschall"/>
    <x v="3"/>
    <x v="4"/>
    <x v="0"/>
    <x v="1"/>
    <x v="3"/>
    <n v="1.3333333333333299"/>
    <n v="0.117676767676768"/>
    <n v="0.27906976744186002"/>
    <n v="0.70018176391376896"/>
    <x v="4"/>
    <n v="1"/>
    <n v="1"/>
    <s v=""/>
    <s v=""/>
    <s v=""/>
    <s v=""/>
  </r>
  <r>
    <s v="Die_Koenigin_von_Frankreich_und_der_ungetreue_Marschall.csv"/>
    <s v="#Twerig"/>
    <x v="6"/>
    <s v="unbekannt"/>
    <x v="3"/>
    <x v="14"/>
    <x v="1"/>
    <x v="2"/>
    <x v="3"/>
    <n v="0.5"/>
    <n v="2.5757575757575799E-2"/>
    <n v="0.21052631578947401"/>
    <n v="0.22666581876425701"/>
    <x v="5"/>
    <n v="1"/>
    <s v=""/>
    <n v="2"/>
    <s v=""/>
    <s v=""/>
    <s v=""/>
  </r>
  <r>
    <s v="Die_Koenigin_von_Frankreich_und_der_ungetreue_Marschall.csv"/>
    <s v="#Herzoge-Liupolt"/>
    <x v="0"/>
    <s v="adel:herzog"/>
    <x v="3"/>
    <x v="6"/>
    <x v="1"/>
    <x v="1"/>
    <x v="3"/>
    <n v="1.1666666666666701"/>
    <n v="3.8383838383838402E-2"/>
    <n v="0.27906976744186002"/>
    <n v="0.48045950198083498"/>
    <x v="6"/>
    <n v="1"/>
    <s v=""/>
    <s v=""/>
    <s v=""/>
    <s v=""/>
    <s v=""/>
  </r>
  <r>
    <s v="Die_Koenigin_von_Frankreich_und_der_ungetreue_Marschall.csv"/>
    <s v="#Ritter"/>
    <x v="0"/>
    <s v="adel:ritter"/>
    <x v="3"/>
    <x v="3"/>
    <x v="1"/>
    <x v="1"/>
    <x v="3"/>
    <n v="0.83333333333333304"/>
    <n v="0.114646464646465"/>
    <n v="0.33333333333333298"/>
    <n v="0.28987206203439903"/>
    <x v="3"/>
    <n v="1"/>
    <s v=""/>
    <s v=""/>
    <s v=""/>
    <s v=""/>
    <s v=""/>
  </r>
  <r>
    <s v="Die_Koenigin_von_Frankreich_und_der_ungetreue_Marschall.csv"/>
    <s v="#Koler"/>
    <x v="0"/>
    <s v="buergerlich:koler"/>
    <x v="3"/>
    <x v="6"/>
    <x v="1"/>
    <x v="3"/>
    <x v="3"/>
    <n v="0.83333333333333304"/>
    <n v="3.03030303030303E-2"/>
    <n v="0.22222222222222199"/>
    <n v="0.51888118596430899"/>
    <x v="6"/>
    <n v="1"/>
    <s v=""/>
    <s v=""/>
    <s v=""/>
    <s v=""/>
    <s v=""/>
  </r>
  <r>
    <s v="Die_Koenigin_von_Frankreich_und_der_ungetreue_Marschall.csv"/>
    <s v="#Kint"/>
    <x v="0"/>
    <s v="adel:koenigssohn"/>
    <x v="1"/>
    <x v="3"/>
    <x v="1"/>
    <x v="1"/>
    <x v="3"/>
    <n v="0.5"/>
    <n v="0"/>
    <n v="0.1875"/>
    <n v="0.31141074098357902"/>
    <x v="3"/>
    <n v="1"/>
    <s v=""/>
    <s v=""/>
    <s v=""/>
    <s v=""/>
    <s v=""/>
  </r>
  <r>
    <s v="Die_Koenigin_von_Frankreich_und_der_ungetreue_Marschall.csv"/>
    <s v="#Hunt"/>
    <x v="5"/>
    <s v="NA"/>
    <x v="4"/>
    <x v="6"/>
    <x v="1"/>
    <x v="0"/>
    <x v="3"/>
    <n v="0.83333333333333304"/>
    <n v="5.8080808080808101E-2"/>
    <n v="0.230769230769231"/>
    <n v="0.33027665177238302"/>
    <x v="6"/>
    <n v="1"/>
    <s v=""/>
    <s v=""/>
    <s v=""/>
    <s v=""/>
    <s v=""/>
  </r>
  <r>
    <s v="Die_Koenigin_von_Frankreich_und_der_ungetreue_Marschall.csv"/>
    <s v="#Alter-ritter"/>
    <x v="0"/>
    <s v="adel:ritter"/>
    <x v="2"/>
    <x v="3"/>
    <x v="1"/>
    <x v="1"/>
    <x v="3"/>
    <n v="0.33333333333333298"/>
    <n v="7.6010101010101E-2"/>
    <n v="0.30769230769230799"/>
    <n v="4.6012104942066603E-2"/>
    <x v="3"/>
    <n v="1"/>
    <s v=""/>
    <s v=""/>
    <s v=""/>
    <s v=""/>
    <s v=""/>
  </r>
  <r>
    <s v="Die_Koenigin_von_Frankreich_und_der_ungetreue_Marschall.csv"/>
    <s v="#Henker"/>
    <x v="0"/>
    <s v="buergerlich:henker"/>
    <x v="3"/>
    <x v="3"/>
    <x v="1"/>
    <x v="3"/>
    <x v="3"/>
    <n v="0.33333333333333298"/>
    <n v="7.6010101010101E-2"/>
    <n v="0.30769230769230799"/>
    <n v="4.6012104942066499E-2"/>
    <x v="3"/>
    <n v="1"/>
    <s v=""/>
    <s v=""/>
    <s v=""/>
    <s v=""/>
    <s v=""/>
  </r>
  <r>
    <s v="Die_Koenigin_von_Frankreich_und_der_ungetreue_Marschall.csv"/>
    <s v="#Kramerin"/>
    <x v="1"/>
    <s v="buergerlich:kraemer"/>
    <x v="3"/>
    <x v="15"/>
    <x v="1"/>
    <x v="3"/>
    <x v="3"/>
    <n v="0.66666666666666696"/>
    <n v="0.115656565656566"/>
    <n v="0.3"/>
    <n v="0.18873202389641"/>
    <x v="12"/>
    <n v="1"/>
    <s v=""/>
    <s v=""/>
    <s v=""/>
    <s v=""/>
    <s v=""/>
  </r>
  <r>
    <s v="Die_Koenigin_von_Frankreich_und_der_ungetreue_Marschall.csv"/>
    <s v="#Herren"/>
    <x v="2"/>
    <s v="unbekannt"/>
    <x v="3"/>
    <x v="3"/>
    <x v="1"/>
    <x v="2"/>
    <x v="3"/>
    <n v="0.16666666666666699"/>
    <n v="0"/>
    <n v="0.27906976744186002"/>
    <n v="2.7063050503581501E-2"/>
    <x v="3"/>
    <n v="1"/>
    <s v=""/>
    <s v=""/>
    <s v=""/>
    <s v=""/>
    <s v=""/>
  </r>
  <r>
    <s v="Die_Meierin_mit_der_Geiß.csv"/>
    <s v="#Meir"/>
    <x v="0"/>
    <s v="bauer:meyer"/>
    <x v="3"/>
    <x v="7"/>
    <x v="0"/>
    <x v="5"/>
    <x v="3"/>
    <n v="1.1428571428571399"/>
    <n v="4.7619047619047603E-2"/>
    <n v="0.41176470588235298"/>
    <n v="0.47837768827359201"/>
    <x v="5"/>
    <n v="1"/>
    <s v=""/>
    <n v="2"/>
    <s v=""/>
    <s v=""/>
    <s v=""/>
  </r>
  <r>
    <s v="Die_Meierin_mit_der_Geiß.csv"/>
    <s v="#Wip"/>
    <x v="1"/>
    <s v="bauer:meyer"/>
    <x v="0"/>
    <x v="13"/>
    <x v="0"/>
    <x v="5"/>
    <x v="3"/>
    <n v="2"/>
    <n v="0.22222222222222199"/>
    <n v="0.53846153846153799"/>
    <n v="1"/>
    <x v="4"/>
    <n v="1"/>
    <n v="1"/>
    <s v=""/>
    <s v=""/>
    <s v=""/>
    <s v=""/>
  </r>
  <r>
    <s v="Die_Meierin_mit_der_Geiß.csv"/>
    <s v="#Swester-des-mannes"/>
    <x v="1"/>
    <s v="unbekannt"/>
    <x v="3"/>
    <x v="3"/>
    <x v="1"/>
    <x v="2"/>
    <x v="3"/>
    <n v="0.85714285714285698"/>
    <n v="0.158730158730159"/>
    <n v="0.5"/>
    <n v="0.18107133974885001"/>
    <x v="3"/>
    <n v="1"/>
    <s v=""/>
    <s v=""/>
    <s v=""/>
    <s v=""/>
    <s v=""/>
  </r>
  <r>
    <s v="Die_Meierin_mit_der_Geiß.csv"/>
    <s v="#Ritter"/>
    <x v="0"/>
    <s v="adel:ritter"/>
    <x v="3"/>
    <x v="4"/>
    <x v="0"/>
    <x v="1"/>
    <x v="3"/>
    <n v="2"/>
    <n v="0.25396825396825401"/>
    <n v="0.53846153846153799"/>
    <n v="0.95738655250610305"/>
    <x v="4"/>
    <n v="1"/>
    <n v="1"/>
    <s v=""/>
    <s v=""/>
    <s v=""/>
    <s v=""/>
  </r>
  <r>
    <s v="Die_Meierin_mit_der_Geiß.csv"/>
    <s v="#Werberin"/>
    <x v="1"/>
    <s v="bauer:weber"/>
    <x v="3"/>
    <x v="3"/>
    <x v="1"/>
    <x v="5"/>
    <x v="3"/>
    <n v="0.57142857142857095"/>
    <n v="0"/>
    <n v="0.30434782608695699"/>
    <n v="0.29101881005955599"/>
    <x v="3"/>
    <n v="1"/>
    <s v=""/>
    <s v=""/>
    <s v=""/>
    <s v=""/>
    <s v=""/>
  </r>
  <r>
    <s v="Die_Meierin_mit_der_Geiß.csv"/>
    <s v="#Bote"/>
    <x v="1"/>
    <s v="unbekannt"/>
    <x v="2"/>
    <x v="15"/>
    <x v="1"/>
    <x v="2"/>
    <x v="3"/>
    <n v="0.57142857142857095"/>
    <n v="0"/>
    <n v="0.24137931034482801"/>
    <n v="0.43652821508933498"/>
    <x v="12"/>
    <n v="1"/>
    <s v=""/>
    <s v=""/>
    <s v=""/>
    <s v=""/>
    <s v=""/>
  </r>
  <r>
    <s v="Die_Meierin_mit_der_Geiß.csv"/>
    <s v="#Schuoler-des-ritters"/>
    <x v="0"/>
    <s v="adel:schueler"/>
    <x v="3"/>
    <x v="6"/>
    <x v="1"/>
    <x v="1"/>
    <x v="3"/>
    <n v="1.1428571428571399"/>
    <n v="4.7619047619047603E-2"/>
    <n v="0.41176470588235298"/>
    <n v="0.33927261075889498"/>
    <x v="6"/>
    <n v="1"/>
    <s v=""/>
    <s v=""/>
    <s v=""/>
    <s v=""/>
    <s v=""/>
  </r>
  <r>
    <s v="Die_Meierin_mit_der_Geiß.csv"/>
    <s v="#Kneht-des-ritter"/>
    <x v="0"/>
    <s v="adel:knecht"/>
    <x v="3"/>
    <x v="3"/>
    <x v="1"/>
    <x v="1"/>
    <x v="3"/>
    <n v="0.85714285714285698"/>
    <n v="0.119047619047619"/>
    <n v="0.5"/>
    <n v="0.17073046096848399"/>
    <x v="3"/>
    <n v="1"/>
    <s v=""/>
    <s v=""/>
    <s v=""/>
    <s v=""/>
    <s v=""/>
  </r>
  <r>
    <s v="Die_Nachtigall.csv"/>
    <s v="#Vater-der-vrouwe"/>
    <x v="0"/>
    <s v="adel:ritter"/>
    <x v="2"/>
    <x v="8"/>
    <x v="1"/>
    <x v="1"/>
    <x v="2"/>
    <n v="2"/>
    <n v="0.4"/>
    <n v="0.55555555555555602"/>
    <n v="0.77702982441856205"/>
    <x v="7"/>
    <n v="2"/>
    <s v=""/>
    <s v=""/>
    <s v=""/>
    <s v=""/>
    <s v=""/>
  </r>
  <r>
    <s v="Die_Nachtigall.csv"/>
    <s v="#Tohter"/>
    <x v="1"/>
    <s v="adel:edelfrau"/>
    <x v="0"/>
    <x v="12"/>
    <x v="0"/>
    <x v="1"/>
    <x v="2"/>
    <n v="2"/>
    <n v="0.1"/>
    <n v="0.45454545454545497"/>
    <n v="1"/>
    <x v="11"/>
    <n v="2"/>
    <s v=""/>
    <s v=""/>
    <s v=""/>
    <n v="4"/>
    <s v=""/>
  </r>
  <r>
    <s v="Die_Nachtigall.csv"/>
    <s v="#Vater-des-jungen"/>
    <x v="0"/>
    <s v="adel:ritter"/>
    <x v="2"/>
    <x v="8"/>
    <x v="1"/>
    <x v="1"/>
    <x v="2"/>
    <n v="1.2"/>
    <n v="0.4"/>
    <n v="0.55555555555555602"/>
    <n v="0.16654704276367199"/>
    <x v="7"/>
    <n v="2"/>
    <s v=""/>
    <s v=""/>
    <s v=""/>
    <s v=""/>
    <s v=""/>
  </r>
  <r>
    <s v="Die_Nachtigall.csv"/>
    <s v="#Sun"/>
    <x v="0"/>
    <s v="adel:unbekannt"/>
    <x v="0"/>
    <x v="10"/>
    <x v="0"/>
    <x v="1"/>
    <x v="2"/>
    <n v="1.6"/>
    <n v="0"/>
    <n v="0.35714285714285698"/>
    <n v="0.85433040660473902"/>
    <x v="9"/>
    <n v="2"/>
    <s v=""/>
    <s v=""/>
    <n v="3"/>
    <s v=""/>
    <s v=""/>
  </r>
  <r>
    <s v="Die_Nachtigall.csv"/>
    <s v="#Bote"/>
    <x v="0"/>
    <s v="unbekannt"/>
    <x v="3"/>
    <x v="15"/>
    <x v="1"/>
    <x v="2"/>
    <x v="2"/>
    <n v="0.8"/>
    <n v="0.1"/>
    <n v="0.45454545454545497"/>
    <n v="8.4906864357060297E-2"/>
    <x v="12"/>
    <n v="2"/>
    <s v=""/>
    <s v=""/>
    <s v=""/>
    <s v=""/>
    <s v=""/>
  </r>
  <r>
    <s v="Die_Nachtigall.csv"/>
    <s v="#Muoter-der-vrouwe"/>
    <x v="1"/>
    <s v="adel:edelfrau"/>
    <x v="2"/>
    <x v="9"/>
    <x v="1"/>
    <x v="1"/>
    <x v="2"/>
    <n v="1.2"/>
    <n v="0"/>
    <n v="0.35714285714285698"/>
    <n v="0.44257476100925203"/>
    <x v="8"/>
    <n v="2"/>
    <s v=""/>
    <s v=""/>
    <s v=""/>
    <s v=""/>
    <s v=""/>
  </r>
  <r>
    <s v="Die_Teufelsacht.csv"/>
    <s v="#Vrouwe"/>
    <x v="1"/>
    <s v="unbekannt"/>
    <x v="0"/>
    <x v="5"/>
    <x v="0"/>
    <x v="2"/>
    <x v="3"/>
    <n v="1.6666666666666701"/>
    <n v="0.33333333333333298"/>
    <n v="0.66666666666666696"/>
    <n v="1"/>
    <x v="5"/>
    <n v="1"/>
    <s v=""/>
    <n v="2"/>
    <s v=""/>
    <s v=""/>
    <s v=""/>
  </r>
  <r>
    <s v="Die_Teufelsacht.csv"/>
    <s v="#Man"/>
    <x v="0"/>
    <s v="unbekannt"/>
    <x v="0"/>
    <x v="21"/>
    <x v="0"/>
    <x v="2"/>
    <x v="3"/>
    <n v="1.3333333333333299"/>
    <n v="0"/>
    <n v="0.54545454545454497"/>
    <n v="0.96261356875522597"/>
    <x v="4"/>
    <n v="1"/>
    <n v="1"/>
    <s v=""/>
    <s v=""/>
    <s v=""/>
    <s v=""/>
  </r>
  <r>
    <s v="Die_Teufelsacht.csv"/>
    <s v="#Muoter-der-vrouwe"/>
    <x v="1"/>
    <s v="unbekannt"/>
    <x v="3"/>
    <x v="6"/>
    <x v="1"/>
    <x v="2"/>
    <x v="3"/>
    <n v="1.3333333333333299"/>
    <n v="0"/>
    <n v="0.54545454545454497"/>
    <n v="0.64191747675994204"/>
    <x v="6"/>
    <n v="1"/>
    <s v=""/>
    <s v=""/>
    <s v=""/>
    <s v=""/>
    <s v=""/>
  </r>
  <r>
    <s v="Die_Teufelsacht.csv"/>
    <s v="#Swester-des-mans"/>
    <x v="1"/>
    <s v="unbekannt"/>
    <x v="3"/>
    <x v="3"/>
    <x v="1"/>
    <x v="2"/>
    <x v="3"/>
    <n v="0.33333333333333298"/>
    <n v="0"/>
    <n v="0.42857142857142899"/>
    <n v="3.3992095868854003E-2"/>
    <x v="3"/>
    <n v="1"/>
    <s v=""/>
    <s v=""/>
    <s v=""/>
    <s v=""/>
    <s v=""/>
  </r>
  <r>
    <s v="Die_Teufelsacht.csv"/>
    <s v="#Knehte-und-man"/>
    <x v="2"/>
    <s v="unbekannt"/>
    <x v="3"/>
    <x v="3"/>
    <x v="1"/>
    <x v="2"/>
    <x v="3"/>
    <n v="1.3333333333333299"/>
    <n v="0.16666666666666699"/>
    <n v="0.75"/>
    <n v="9.1652411912467494E-2"/>
    <x v="3"/>
    <n v="1"/>
    <s v=""/>
    <s v=""/>
    <s v=""/>
    <s v=""/>
    <s v=""/>
  </r>
  <r>
    <s v="Die_Teufelsacht.csv"/>
    <s v="#Vrouwen"/>
    <x v="2"/>
    <s v="unbekannt"/>
    <x v="3"/>
    <x v="3"/>
    <x v="1"/>
    <x v="2"/>
    <x v="3"/>
    <n v="1.6666666666666701"/>
    <n v="0.5"/>
    <n v="0.85714285714285698"/>
    <n v="9.1754945971641397E-2"/>
    <x v="3"/>
    <n v="1"/>
    <s v=""/>
    <s v=""/>
    <s v=""/>
    <s v=""/>
    <s v=""/>
  </r>
  <r>
    <s v="Die_Teufelsacht.csv"/>
    <s v="#Bote"/>
    <x v="0"/>
    <s v="unbekannt"/>
    <x v="3"/>
    <x v="15"/>
    <x v="1"/>
    <x v="2"/>
    <x v="3"/>
    <n v="0.33333333333333298"/>
    <n v="0"/>
    <n v="0.5"/>
    <n v="3.1189429199095799E-3"/>
    <x v="12"/>
    <n v="1"/>
    <s v=""/>
    <s v=""/>
    <s v=""/>
    <s v=""/>
    <s v=""/>
  </r>
  <r>
    <s v="Drei_listige_Frauen.csv"/>
    <s v="#Frau-Maechilt"/>
    <x v="1"/>
    <s v="unbekannt"/>
    <x v="3"/>
    <x v="13"/>
    <x v="0"/>
    <x v="2"/>
    <x v="3"/>
    <n v="1.55555555555556"/>
    <n v="6.9444444444444406E-2"/>
    <n v="0.39130434782608697"/>
    <n v="0.68723480271770299"/>
    <x v="4"/>
    <n v="1"/>
    <n v="1"/>
    <s v=""/>
    <s v=""/>
    <s v=""/>
    <s v=""/>
  </r>
  <r>
    <s v="Drei_listige_Frauen.csv"/>
    <s v="#Frau-Juet"/>
    <x v="1"/>
    <s v="unbekannt"/>
    <x v="3"/>
    <x v="13"/>
    <x v="0"/>
    <x v="2"/>
    <x v="3"/>
    <n v="1.55555555555556"/>
    <n v="0.33055555555555499"/>
    <n v="0.47368421052631599"/>
    <n v="0.811734277068903"/>
    <x v="4"/>
    <n v="1"/>
    <n v="1"/>
    <s v=""/>
    <s v=""/>
    <s v=""/>
    <s v=""/>
  </r>
  <r>
    <s v="Drei_listige_Frauen.csv"/>
    <s v="#Frau-Hiltgart"/>
    <x v="1"/>
    <s v="unbekannt"/>
    <x v="3"/>
    <x v="13"/>
    <x v="0"/>
    <x v="2"/>
    <x v="3"/>
    <n v="1.55555555555556"/>
    <n v="0.20092592592592601"/>
    <n v="0.42857142857142899"/>
    <n v="1"/>
    <x v="4"/>
    <n v="1"/>
    <n v="1"/>
    <s v=""/>
    <s v=""/>
    <s v=""/>
    <s v=""/>
  </r>
  <r>
    <s v="Drei_listige_Frauen.csv"/>
    <s v="#Mair-Perchtold"/>
    <x v="0"/>
    <s v="unbekannt"/>
    <x v="3"/>
    <x v="7"/>
    <x v="0"/>
    <x v="2"/>
    <x v="3"/>
    <n v="2"/>
    <n v="9.0740740740740705E-2"/>
    <n v="0.39130434782608697"/>
    <n v="0.96558739483465805"/>
    <x v="5"/>
    <n v="1"/>
    <s v=""/>
    <n v="2"/>
    <s v=""/>
    <s v=""/>
    <s v=""/>
  </r>
  <r>
    <s v="Drei_listige_Frauen.csv"/>
    <s v="#Knecht-Heinz-von-Mair-Perchtold"/>
    <x v="0"/>
    <s v="unbekannt:knecht"/>
    <x v="3"/>
    <x v="6"/>
    <x v="1"/>
    <x v="2"/>
    <x v="3"/>
    <n v="0.88888888888888895"/>
    <n v="4.1666666666666699E-2"/>
    <n v="0.36"/>
    <n v="0.44119177254382003"/>
    <x v="6"/>
    <n v="1"/>
    <s v=""/>
    <s v=""/>
    <s v=""/>
    <s v=""/>
    <s v=""/>
  </r>
  <r>
    <s v="Drei_listige_Frauen.csv"/>
    <s v="#Pfarrer"/>
    <x v="0"/>
    <s v="klerus:pfarrer"/>
    <x v="3"/>
    <x v="3"/>
    <x v="1"/>
    <x v="4"/>
    <x v="3"/>
    <n v="0.44444444444444398"/>
    <n v="0"/>
    <n v="0.25714285714285701"/>
    <n v="0.113415250393356"/>
    <x v="3"/>
    <n v="1"/>
    <s v=""/>
    <s v=""/>
    <s v=""/>
    <s v=""/>
    <s v=""/>
  </r>
  <r>
    <s v="Drei_listige_Frauen.csv"/>
    <s v="#Nachpuerin"/>
    <x v="1"/>
    <s v="unbekannt"/>
    <x v="3"/>
    <x v="3"/>
    <x v="1"/>
    <x v="2"/>
    <x v="3"/>
    <n v="0.88888888888888895"/>
    <n v="0.483333333333333"/>
    <n v="0.52941176470588203"/>
    <n v="9.9953210196523798E-2"/>
    <x v="3"/>
    <n v="1"/>
    <s v=""/>
    <s v=""/>
    <s v=""/>
    <s v=""/>
    <s v=""/>
  </r>
  <r>
    <s v="Drei_listige_Frauen.csv"/>
    <s v="#Mair-Cuonrat"/>
    <x v="0"/>
    <s v="unbekannt"/>
    <x v="3"/>
    <x v="7"/>
    <x v="0"/>
    <x v="2"/>
    <x v="3"/>
    <n v="1.3333333333333299"/>
    <n v="1.94444444444444E-2"/>
    <n v="0.29032258064516098"/>
    <n v="0.65431990766178705"/>
    <x v="5"/>
    <n v="1"/>
    <s v=""/>
    <n v="2"/>
    <s v=""/>
    <s v=""/>
    <s v=""/>
  </r>
  <r>
    <s v="Drei_listige_Frauen.csv"/>
    <s v="#Mair-Seifrid"/>
    <x v="0"/>
    <s v="unbekannt"/>
    <x v="3"/>
    <x v="7"/>
    <x v="0"/>
    <x v="2"/>
    <x v="3"/>
    <n v="1.1111111111111101"/>
    <n v="0.181018518518518"/>
    <n v="0.39130434782608697"/>
    <n v="0.38444313996726798"/>
    <x v="5"/>
    <n v="1"/>
    <s v=""/>
    <n v="2"/>
    <s v=""/>
    <s v=""/>
    <s v=""/>
  </r>
  <r>
    <s v="Drei_listige_Frauen.csv"/>
    <s v="#Volk"/>
    <x v="2"/>
    <s v="unbekannt"/>
    <x v="3"/>
    <x v="3"/>
    <x v="1"/>
    <x v="2"/>
    <x v="3"/>
    <n v="0.66666666666666696"/>
    <n v="4.8611111111111098E-2"/>
    <n v="0.31034482758620702"/>
    <n v="0.16027544071918401"/>
    <x v="3"/>
    <n v="1"/>
    <s v=""/>
    <s v=""/>
    <s v=""/>
    <s v=""/>
    <s v=""/>
  </r>
  <r>
    <s v="Edelmann_und_Pferdehaendler.csv"/>
    <s v="#Man"/>
    <x v="0"/>
    <s v="unbekannt"/>
    <x v="3"/>
    <x v="4"/>
    <x v="0"/>
    <x v="2"/>
    <x v="1"/>
    <n v="2"/>
    <n v="0"/>
    <n v="0.5"/>
    <n v="1"/>
    <x v="4"/>
    <n v="1"/>
    <n v="1"/>
    <s v=""/>
    <s v=""/>
    <s v=""/>
    <s v=""/>
  </r>
  <r>
    <s v="Edelmann_und_Pferdehaendler.csv"/>
    <s v="#Rosteuscher"/>
    <x v="0"/>
    <s v="buergerlich:pferdehaendler"/>
    <x v="3"/>
    <x v="14"/>
    <x v="0"/>
    <x v="3"/>
    <x v="1"/>
    <n v="2"/>
    <n v="0"/>
    <n v="0.5"/>
    <n v="0.97376888933608796"/>
    <x v="5"/>
    <n v="1"/>
    <s v=""/>
    <n v="2"/>
    <s v=""/>
    <s v=""/>
    <s v=""/>
  </r>
  <r>
    <s v="Edelmann_und_Pferdehaendler.csv"/>
    <s v="#Sine-magen"/>
    <x v="2"/>
    <s v="unbekannt"/>
    <x v="3"/>
    <x v="6"/>
    <x v="1"/>
    <x v="2"/>
    <x v="1"/>
    <n v="2"/>
    <n v="0"/>
    <n v="0.375"/>
    <n v="0.76755963250737502"/>
    <x v="6"/>
    <n v="1"/>
    <s v=""/>
    <s v=""/>
    <s v=""/>
    <s v=""/>
    <s v=""/>
  </r>
  <r>
    <s v="Edelmann_und_Pferdehaendler.csv"/>
    <s v="#Einer-der-magen"/>
    <x v="0"/>
    <s v="unbekannt"/>
    <x v="3"/>
    <x v="3"/>
    <x v="1"/>
    <x v="2"/>
    <x v="1"/>
    <n v="2"/>
    <n v="1"/>
    <n v="0.75"/>
    <n v="0.203279190560956"/>
    <x v="3"/>
    <n v="1"/>
    <s v=""/>
    <s v=""/>
    <s v=""/>
    <s v=""/>
    <s v=""/>
  </r>
  <r>
    <s v="Ehe_im_Leben_und_Tode.csv"/>
    <s v="#Man"/>
    <x v="0"/>
    <s v="unbekannt"/>
    <x v="3"/>
    <x v="7"/>
    <x v="0"/>
    <x v="2"/>
    <x v="3"/>
    <n v="2"/>
    <n v="0.3"/>
    <n v="0.3125"/>
    <n v="1"/>
    <x v="5"/>
    <n v="1"/>
    <s v=""/>
    <n v="2"/>
    <s v=""/>
    <s v=""/>
    <s v=""/>
  </r>
  <r>
    <s v="Ehe_im_Leben_und_Tode.csv"/>
    <s v="#Wip"/>
    <x v="1"/>
    <s v="unbekannt"/>
    <x v="3"/>
    <x v="13"/>
    <x v="0"/>
    <x v="2"/>
    <x v="3"/>
    <n v="2"/>
    <n v="0"/>
    <n v="0.29411764705882398"/>
    <n v="0.98923123871989205"/>
    <x v="4"/>
    <n v="1"/>
    <n v="1"/>
    <s v=""/>
    <s v=""/>
    <s v=""/>
    <s v=""/>
  </r>
  <r>
    <s v="Ehe_im_Leben_und_Tode.csv"/>
    <s v="#Gevatern"/>
    <x v="1"/>
    <s v="unbekannt"/>
    <x v="3"/>
    <x v="6"/>
    <x v="1"/>
    <x v="2"/>
    <x v="3"/>
    <n v="0.8"/>
    <n v="0.1"/>
    <n v="0.27777777777777801"/>
    <n v="0.12875531469443099"/>
    <x v="6"/>
    <n v="1"/>
    <s v=""/>
    <s v=""/>
    <s v=""/>
    <s v=""/>
    <s v=""/>
  </r>
  <r>
    <s v="Ehe_im_Leben_und_Tode.csv"/>
    <s v="#Vriunt-und-onch"/>
    <x v="2"/>
    <s v="unbekannt"/>
    <x v="3"/>
    <x v="3"/>
    <x v="1"/>
    <x v="2"/>
    <x v="3"/>
    <n v="1.6"/>
    <n v="0.25"/>
    <n v="0.35714285714285698"/>
    <n v="0.345080753859143"/>
    <x v="3"/>
    <n v="1"/>
    <s v=""/>
    <s v=""/>
    <s v=""/>
    <s v=""/>
    <s v=""/>
  </r>
  <r>
    <s v="Ehe_im_Leben_und_Tode.csv"/>
    <s v="#Ihre-magen"/>
    <x v="2"/>
    <s v="unbekannt:magd"/>
    <x v="3"/>
    <x v="3"/>
    <x v="1"/>
    <x v="2"/>
    <x v="3"/>
    <n v="1.6"/>
    <n v="0"/>
    <n v="0.238095238095238"/>
    <n v="0.56093514929539601"/>
    <x v="3"/>
    <n v="1"/>
    <s v=""/>
    <s v=""/>
    <s v=""/>
    <s v=""/>
    <s v=""/>
  </r>
  <r>
    <s v="Ehe_im_Leben_und_Tode.csv"/>
    <s v="#Seine-magen"/>
    <x v="2"/>
    <s v="unbekannt:magd"/>
    <x v="3"/>
    <x v="3"/>
    <x v="1"/>
    <x v="2"/>
    <x v="3"/>
    <n v="1.6"/>
    <n v="0"/>
    <n v="0.27777777777777801"/>
    <n v="0.44654867864479197"/>
    <x v="3"/>
    <n v="1"/>
    <s v=""/>
    <s v=""/>
    <s v=""/>
    <s v=""/>
    <s v=""/>
  </r>
  <r>
    <s v="Ehefrau_und_Buhlerin.csv"/>
    <s v="#Man"/>
    <x v="0"/>
    <s v="unbekannt"/>
    <x v="3"/>
    <x v="17"/>
    <x v="0"/>
    <x v="2"/>
    <x v="3"/>
    <n v="2"/>
    <n v="0.58796296296296302"/>
    <n v="0.47368421052631599"/>
    <n v="1"/>
    <x v="5"/>
    <n v="1"/>
    <s v=""/>
    <n v="2"/>
    <s v=""/>
    <s v=""/>
    <s v=""/>
  </r>
  <r>
    <s v="Ehefrau_und_Buhlerin.csv"/>
    <s v="#Wip"/>
    <x v="1"/>
    <s v="unbekannt"/>
    <x v="3"/>
    <x v="5"/>
    <x v="0"/>
    <x v="2"/>
    <x v="3"/>
    <n v="0.66666666666666696"/>
    <n v="4.6296296296296301E-2"/>
    <n v="0.33333333333333298"/>
    <n v="0.577589939030275"/>
    <x v="5"/>
    <n v="1"/>
    <s v=""/>
    <n v="2"/>
    <s v=""/>
    <s v=""/>
    <s v=""/>
  </r>
  <r>
    <s v="Ehefrau_und_Buhlerin.csv"/>
    <s v="#Buhlerin-1"/>
    <x v="1"/>
    <s v="unbekannt"/>
    <x v="3"/>
    <x v="4"/>
    <x v="0"/>
    <x v="2"/>
    <x v="3"/>
    <n v="1.1111111111111101"/>
    <n v="0.29166666666666702"/>
    <n v="0.39130434782608697"/>
    <n v="0.53929299768885397"/>
    <x v="4"/>
    <n v="1"/>
    <n v="1"/>
    <s v=""/>
    <s v=""/>
    <s v=""/>
    <s v=""/>
  </r>
  <r>
    <s v="Ehefrau_und_Buhlerin.csv"/>
    <s v="#Buhlerin-2"/>
    <x v="1"/>
    <s v="unbekannt"/>
    <x v="3"/>
    <x v="4"/>
    <x v="0"/>
    <x v="2"/>
    <x v="3"/>
    <n v="1.1111111111111101"/>
    <n v="0.148148148148148"/>
    <n v="0.39130434782608697"/>
    <n v="0.66598735349279603"/>
    <x v="4"/>
    <n v="1"/>
    <n v="1"/>
    <s v=""/>
    <s v=""/>
    <s v=""/>
    <s v=""/>
  </r>
  <r>
    <s v="Ehefrau_und_Buhlerin.csv"/>
    <s v="#Ander-man"/>
    <x v="0"/>
    <s v="unbekannt"/>
    <x v="3"/>
    <x v="3"/>
    <x v="1"/>
    <x v="2"/>
    <x v="3"/>
    <n v="0.66666666666666696"/>
    <n v="0.50925925925925897"/>
    <n v="0.47368421052631599"/>
    <n v="8.3770092636581001E-2"/>
    <x v="3"/>
    <n v="1"/>
    <s v=""/>
    <s v=""/>
    <s v=""/>
    <s v=""/>
    <s v=""/>
  </r>
  <r>
    <s v="Ehefrau_und_Buhlerin.csv"/>
    <s v="#Einer"/>
    <x v="0"/>
    <s v="unbekannt"/>
    <x v="3"/>
    <x v="3"/>
    <x v="1"/>
    <x v="2"/>
    <x v="3"/>
    <n v="0.22222222222222199"/>
    <n v="0"/>
    <n v="0.33333333333333298"/>
    <n v="3.7986142030284102E-2"/>
    <x v="3"/>
    <n v="1"/>
    <s v=""/>
    <s v=""/>
    <s v=""/>
    <s v=""/>
    <s v=""/>
  </r>
  <r>
    <s v="Ehefrau_und_Buhlerin.csv"/>
    <s v="#Ein-anderer-man"/>
    <x v="0"/>
    <s v="unbekannt"/>
    <x v="3"/>
    <x v="18"/>
    <x v="1"/>
    <x v="2"/>
    <x v="3"/>
    <n v="0.44444444444444398"/>
    <n v="0"/>
    <n v="0.27272727272727298"/>
    <n v="8.2218620448337401E-2"/>
    <x v="13"/>
    <n v="1"/>
    <s v=""/>
    <s v=""/>
    <s v=""/>
    <s v=""/>
    <s v=""/>
  </r>
  <r>
    <s v="Ehefrau_und_Buhlerin.csv"/>
    <s v="#Ein-man"/>
    <x v="0"/>
    <s v="unbekannt"/>
    <x v="3"/>
    <x v="18"/>
    <x v="1"/>
    <x v="2"/>
    <x v="3"/>
    <n v="0.44444444444444398"/>
    <n v="0"/>
    <n v="0.27272727272727298"/>
    <n v="8.2218620448337304E-2"/>
    <x v="13"/>
    <n v="1"/>
    <s v=""/>
    <s v=""/>
    <s v=""/>
    <s v=""/>
    <s v=""/>
  </r>
  <r>
    <s v="Ehefrau_und_Buhlerin.csv"/>
    <s v="#Burger"/>
    <x v="0"/>
    <s v="buergerlich:unbekannt"/>
    <x v="2"/>
    <x v="6"/>
    <x v="1"/>
    <x v="3"/>
    <x v="3"/>
    <n v="0.44444444444444398"/>
    <n v="0"/>
    <n v="0.230769230769231"/>
    <n v="0.26888817299399798"/>
    <x v="6"/>
    <n v="1"/>
    <s v=""/>
    <s v=""/>
    <s v=""/>
    <s v=""/>
    <s v=""/>
  </r>
  <r>
    <s v="Ehefrau_und_Buhlerin.csv"/>
    <s v="#Zwo-voruwen"/>
    <x v="2"/>
    <s v="unbekannt"/>
    <x v="3"/>
    <x v="3"/>
    <x v="1"/>
    <x v="2"/>
    <x v="3"/>
    <n v="0.44444444444444398"/>
    <n v="0"/>
    <n v="0.29032258064516098"/>
    <n v="0.12656886446086901"/>
    <x v="3"/>
    <n v="1"/>
    <s v=""/>
    <s v=""/>
    <s v=""/>
    <s v=""/>
    <s v=""/>
  </r>
  <r>
    <s v="Ehestand_Tod_und_Hochzeit.csv"/>
    <s v="#Man"/>
    <x v="0"/>
    <s v="bauer"/>
    <x v="0"/>
    <x v="14"/>
    <x v="0"/>
    <x v="5"/>
    <x v="3"/>
    <n v="1.6666666666666701"/>
    <n v="0.43333333333333302"/>
    <n v="0.6"/>
    <n v="1"/>
    <x v="5"/>
    <n v="1"/>
    <s v=""/>
    <n v="2"/>
    <s v=""/>
    <s v=""/>
    <s v=""/>
  </r>
  <r>
    <s v="Ehestand_Tod_und_Hochzeit.csv"/>
    <s v="#Wip"/>
    <x v="1"/>
    <s v="bauer"/>
    <x v="0"/>
    <x v="4"/>
    <x v="0"/>
    <x v="5"/>
    <x v="3"/>
    <n v="1.3333333333333299"/>
    <n v="0.1"/>
    <n v="0.5"/>
    <n v="0.94780937787963404"/>
    <x v="4"/>
    <n v="1"/>
    <n v="1"/>
    <s v=""/>
    <s v=""/>
    <s v=""/>
    <s v=""/>
  </r>
  <r>
    <s v="Ehestand_Tod_und_Hochzeit.csv"/>
    <s v="#Gevater"/>
    <x v="1"/>
    <s v="unbekannt"/>
    <x v="3"/>
    <x v="6"/>
    <x v="0"/>
    <x v="2"/>
    <x v="3"/>
    <n v="1"/>
    <n v="0"/>
    <n v="0.31578947368421101"/>
    <n v="0.88284932783126602"/>
    <x v="6"/>
    <n v="1"/>
    <s v=""/>
    <s v=""/>
    <s v=""/>
    <s v=""/>
    <s v=""/>
  </r>
  <r>
    <s v="Ehestand_Tod_und_Hochzeit.csv"/>
    <s v="#Pfaffe"/>
    <x v="0"/>
    <s v="klerus:pfarrer"/>
    <x v="3"/>
    <x v="3"/>
    <x v="1"/>
    <x v="4"/>
    <x v="3"/>
    <n v="1.3333333333333299"/>
    <n v="0.66666666666666696"/>
    <n v="0.66666666666666696"/>
    <n v="0.114936789177064"/>
    <x v="3"/>
    <n v="1"/>
    <s v=""/>
    <s v=""/>
    <s v=""/>
    <s v=""/>
    <s v=""/>
  </r>
  <r>
    <s v="Ehestand_Tod_und_Hochzeit.csv"/>
    <s v="#Knehte-des-pfarrers"/>
    <x v="2"/>
    <s v="unbekannt:knecht"/>
    <x v="3"/>
    <x v="3"/>
    <x v="1"/>
    <x v="2"/>
    <x v="3"/>
    <n v="0.33333333333333298"/>
    <n v="0"/>
    <n v="0.42857142857142899"/>
    <n v="3.55400726737818E-3"/>
    <x v="3"/>
    <n v="1"/>
    <s v=""/>
    <s v=""/>
    <s v=""/>
    <s v=""/>
    <s v=""/>
  </r>
  <r>
    <s v="Ehestand_Tod_und_Hochzeit.csv"/>
    <s v="#Vriunde-des-mans"/>
    <x v="2"/>
    <s v="unbekannt"/>
    <x v="3"/>
    <x v="3"/>
    <x v="1"/>
    <x v="2"/>
    <x v="3"/>
    <n v="0.66666666666666696"/>
    <n v="6.6666666666666693E-2"/>
    <n v="0.46153846153846201"/>
    <n v="6.0229007039575899E-2"/>
    <x v="3"/>
    <n v="1"/>
    <s v=""/>
    <s v=""/>
    <s v=""/>
    <s v=""/>
    <s v=""/>
  </r>
  <r>
    <s v="Ehestand_Tod_und_Hochzeit.csv"/>
    <s v="#Lant-liute"/>
    <x v="2"/>
    <s v="unbekannt"/>
    <x v="3"/>
    <x v="3"/>
    <x v="1"/>
    <x v="2"/>
    <x v="3"/>
    <n v="0.33333333333333298"/>
    <n v="0"/>
    <n v="0.4"/>
    <n v="3.09214072606738E-2"/>
    <x v="3"/>
    <n v="1"/>
    <s v=""/>
    <s v=""/>
    <s v=""/>
    <s v=""/>
    <s v=""/>
  </r>
  <r>
    <s v="Ein_boeses_Weib_scheidet_eine_Ehe.csv"/>
    <s v="#Man"/>
    <x v="0"/>
    <s v="unbekannt"/>
    <x v="3"/>
    <x v="7"/>
    <x v="0"/>
    <x v="2"/>
    <x v="3"/>
    <n v="2"/>
    <n v="0"/>
    <n v="0.57142857142857095"/>
    <n v="1"/>
    <x v="5"/>
    <n v="1"/>
    <s v=""/>
    <n v="2"/>
    <s v=""/>
    <s v=""/>
    <s v=""/>
  </r>
  <r>
    <s v="Ein_boeses_Weib_scheidet_eine_Ehe.csv"/>
    <s v="#Wib"/>
    <x v="1"/>
    <s v="unbekannt"/>
    <x v="3"/>
    <x v="5"/>
    <x v="0"/>
    <x v="2"/>
    <x v="3"/>
    <n v="1.5"/>
    <n v="0"/>
    <n v="0.5"/>
    <n v="0.91119618750437403"/>
    <x v="5"/>
    <n v="1"/>
    <s v=""/>
    <n v="2"/>
    <s v=""/>
    <s v=""/>
    <s v=""/>
  </r>
  <r>
    <s v="Ein_boeses_Weib_scheidet_eine_Ehe.csv"/>
    <s v="#Gesellen"/>
    <x v="2"/>
    <s v="unbekannt"/>
    <x v="3"/>
    <x v="3"/>
    <x v="1"/>
    <x v="2"/>
    <x v="3"/>
    <n v="1.5"/>
    <n v="0.33333333333333298"/>
    <n v="0.66666666666666696"/>
    <n v="0.26212957968259598"/>
    <x v="3"/>
    <n v="1"/>
    <s v=""/>
    <s v=""/>
    <s v=""/>
    <s v=""/>
    <s v=""/>
  </r>
  <r>
    <s v="Ein_boeses_Weib_scheidet_eine_Ehe.csv"/>
    <s v="#Einer"/>
    <x v="0"/>
    <s v="unbekannt"/>
    <x v="3"/>
    <x v="11"/>
    <x v="1"/>
    <x v="2"/>
    <x v="3"/>
    <n v="1.5"/>
    <n v="0.33333333333333298"/>
    <n v="0.66666666666666696"/>
    <n v="0.34672333816259299"/>
    <x v="10"/>
    <n v="1"/>
    <s v=""/>
    <s v=""/>
    <s v=""/>
    <s v=""/>
    <n v="5"/>
  </r>
  <r>
    <s v="Ein_boeses_Weib_scheidet_eine_Ehe.csv"/>
    <s v="#Frowen"/>
    <x v="1"/>
    <s v="unbekannt"/>
    <x v="2"/>
    <x v="4"/>
    <x v="0"/>
    <x v="2"/>
    <x v="3"/>
    <n v="1.5"/>
    <n v="0"/>
    <n v="0.36363636363636398"/>
    <n v="0.86222985510054095"/>
    <x v="4"/>
    <n v="1"/>
    <n v="1"/>
    <s v=""/>
    <s v=""/>
    <s v=""/>
    <s v=""/>
  </r>
  <r>
    <s v="Frauenbestaendigkeit.csv"/>
    <s v="#Man"/>
    <x v="0"/>
    <s v="adel:ritter"/>
    <x v="3"/>
    <x v="21"/>
    <x v="0"/>
    <x v="1"/>
    <x v="3"/>
    <n v="2"/>
    <n v="0.65"/>
    <n v="0.38461538461538503"/>
    <n v="0.91789203004382203"/>
    <x v="4"/>
    <n v="1"/>
    <n v="1"/>
    <s v=""/>
    <s v=""/>
    <s v=""/>
    <s v=""/>
  </r>
  <r>
    <s v="Frauenbestaendigkeit.csv"/>
    <s v="#Vrouwe"/>
    <x v="1"/>
    <s v="adel:edelfrau"/>
    <x v="3"/>
    <x v="5"/>
    <x v="0"/>
    <x v="1"/>
    <x v="3"/>
    <n v="2"/>
    <n v="0"/>
    <n v="0.26315789473684198"/>
    <n v="1"/>
    <x v="5"/>
    <n v="1"/>
    <s v=""/>
    <n v="2"/>
    <s v=""/>
    <s v=""/>
    <s v=""/>
  </r>
  <r>
    <s v="Frauenbestaendigkeit.csv"/>
    <s v="#Kneht-Henselin"/>
    <x v="0"/>
    <s v="adel:knecht"/>
    <x v="0"/>
    <x v="4"/>
    <x v="0"/>
    <x v="1"/>
    <x v="3"/>
    <n v="0.8"/>
    <n v="0"/>
    <n v="0.12195121951219499"/>
    <n v="0.77147114603007705"/>
    <x v="4"/>
    <n v="1"/>
    <n v="1"/>
    <s v=""/>
    <s v=""/>
    <s v=""/>
    <s v=""/>
  </r>
  <r>
    <s v="Frauenbestaendigkeit.csv"/>
    <s v="#JÃºnk-vrouwen"/>
    <x v="2"/>
    <s v="adel:edelfrau"/>
    <x v="0"/>
    <x v="6"/>
    <x v="1"/>
    <x v="1"/>
    <x v="3"/>
    <n v="1.2"/>
    <n v="0"/>
    <n v="0.25"/>
    <n v="0.31461619084110198"/>
    <x v="6"/>
    <n v="1"/>
    <s v=""/>
    <s v=""/>
    <s v=""/>
    <s v=""/>
    <s v=""/>
  </r>
  <r>
    <s v="Frauenbestaendigkeit.csv"/>
    <s v="#Kamer-wip"/>
    <x v="1"/>
    <s v="adel:magd"/>
    <x v="2"/>
    <x v="6"/>
    <x v="1"/>
    <x v="1"/>
    <x v="3"/>
    <n v="1.2"/>
    <n v="0"/>
    <n v="0.3125"/>
    <n v="0.22741781155799601"/>
    <x v="6"/>
    <n v="1"/>
    <s v=""/>
    <s v=""/>
    <s v=""/>
    <s v=""/>
    <s v=""/>
  </r>
  <r>
    <s v="Frauenbestaendigkeit.csv"/>
    <s v="#Arzt"/>
    <x v="0"/>
    <s v="buergerlich:arzt"/>
    <x v="3"/>
    <x v="3"/>
    <x v="1"/>
    <x v="3"/>
    <x v="3"/>
    <n v="0.8"/>
    <n v="0.25"/>
    <n v="0.33333333333333298"/>
    <n v="9.5920579422089605E-2"/>
    <x v="3"/>
    <n v="1"/>
    <s v=""/>
    <s v=""/>
    <s v=""/>
    <s v=""/>
    <s v=""/>
  </r>
  <r>
    <s v="Frauenlist.csv"/>
    <s v="#Schuolaer"/>
    <x v="0"/>
    <s v="buergerlich:schueler"/>
    <x v="0"/>
    <x v="4"/>
    <x v="0"/>
    <x v="3"/>
    <x v="3"/>
    <n v="2"/>
    <n v="0.33333333333333298"/>
    <n v="0.3"/>
    <n v="0.96417092020800998"/>
    <x v="4"/>
    <n v="1"/>
    <n v="1"/>
    <s v=""/>
    <s v=""/>
    <s v=""/>
    <s v=""/>
  </r>
  <r>
    <s v="Frauenlist.csv"/>
    <s v="#Vrouwe"/>
    <x v="1"/>
    <s v="unbekannt"/>
    <x v="3"/>
    <x v="13"/>
    <x v="0"/>
    <x v="2"/>
    <x v="3"/>
    <n v="2"/>
    <n v="0"/>
    <n v="0.230769230769231"/>
    <n v="1"/>
    <x v="4"/>
    <n v="1"/>
    <n v="1"/>
    <s v=""/>
    <s v=""/>
    <s v=""/>
    <s v=""/>
  </r>
  <r>
    <s v="Frauenlist.csv"/>
    <s v="#Dirne"/>
    <x v="1"/>
    <s v="unbekannt:magd"/>
    <x v="3"/>
    <x v="3"/>
    <x v="1"/>
    <x v="2"/>
    <x v="3"/>
    <n v="1.3333333333333299"/>
    <n v="0.33333333333333298"/>
    <n v="0.3"/>
    <n v="0.177660242290957"/>
    <x v="3"/>
    <n v="1"/>
    <s v=""/>
    <s v=""/>
    <s v=""/>
    <s v=""/>
    <s v=""/>
  </r>
  <r>
    <s v="Frauenlist.csv"/>
    <s v="#E-man"/>
    <x v="0"/>
    <s v="unbekannt"/>
    <x v="3"/>
    <x v="7"/>
    <x v="1"/>
    <x v="2"/>
    <x v="3"/>
    <n v="1.3333333333333299"/>
    <n v="0"/>
    <n v="0.17647058823529399"/>
    <n v="0.49099623494289202"/>
    <x v="5"/>
    <n v="1"/>
    <s v=""/>
    <n v="2"/>
    <s v=""/>
    <s v=""/>
    <s v=""/>
  </r>
  <r>
    <s v="Frauentreue.csv"/>
    <s v="#Vrouwen"/>
    <x v="1"/>
    <s v="buergerlich:unbekannt"/>
    <x v="0"/>
    <x v="1"/>
    <x v="0"/>
    <x v="3"/>
    <x v="2"/>
    <n v="1.6666666666666701"/>
    <n v="0.266666666666667"/>
    <n v="0.26086956521739102"/>
    <n v="0.98310577465358695"/>
    <x v="1"/>
    <n v="2"/>
    <s v=""/>
    <s v=""/>
    <s v=""/>
    <s v=""/>
    <s v=""/>
  </r>
  <r>
    <s v="Frauentreue.csv"/>
    <s v="#Ritter"/>
    <x v="0"/>
    <s v="adel:ritter"/>
    <x v="3"/>
    <x v="10"/>
    <x v="0"/>
    <x v="1"/>
    <x v="2"/>
    <n v="2"/>
    <n v="0.4"/>
    <n v="0.3"/>
    <n v="1"/>
    <x v="9"/>
    <n v="2"/>
    <s v=""/>
    <s v=""/>
    <n v="3"/>
    <s v=""/>
    <s v=""/>
  </r>
  <r>
    <s v="Frauentreue.csv"/>
    <s v="#Buerger"/>
    <x v="0"/>
    <s v="buergerlich:unbekannt"/>
    <x v="0"/>
    <x v="0"/>
    <x v="0"/>
    <x v="3"/>
    <x v="2"/>
    <n v="1"/>
    <n v="0"/>
    <n v="0.17142857142857101"/>
    <n v="0.58393144868476099"/>
    <x v="0"/>
    <n v="2"/>
    <s v=""/>
    <s v=""/>
    <s v=""/>
    <s v=""/>
    <s v=""/>
  </r>
  <r>
    <s v="Frauentreue.csv"/>
    <s v="#Ein-tumber"/>
    <x v="0"/>
    <s v="unbekannt"/>
    <x v="3"/>
    <x v="18"/>
    <x v="1"/>
    <x v="2"/>
    <x v="2"/>
    <n v="0.33333333333333298"/>
    <n v="0"/>
    <n v="0.2"/>
    <n v="4.4644943960943498E-2"/>
    <x v="13"/>
    <n v="2"/>
    <s v=""/>
    <s v=""/>
    <s v=""/>
    <s v=""/>
    <s v=""/>
  </r>
  <r>
    <s v="Frauentreue.csv"/>
    <s v="#Arzt"/>
    <x v="0"/>
    <s v="buergerlich:arzt"/>
    <x v="3"/>
    <x v="3"/>
    <x v="1"/>
    <x v="3"/>
    <x v="2"/>
    <n v="0.66666666666666696"/>
    <n v="0.133333333333333"/>
    <n v="0.25"/>
    <n v="8.8912767049959804E-2"/>
    <x v="3"/>
    <n v="2"/>
    <s v=""/>
    <s v=""/>
    <s v=""/>
    <s v=""/>
    <s v=""/>
  </r>
  <r>
    <s v="Frauentreue.csv"/>
    <s v="#Magd-der-vrouwe"/>
    <x v="1"/>
    <s v="buergerlich:magd"/>
    <x v="3"/>
    <x v="3"/>
    <x v="1"/>
    <x v="3"/>
    <x v="2"/>
    <n v="1"/>
    <n v="0.33333333333333298"/>
    <n v="0.24"/>
    <n v="0.18081840717915701"/>
    <x v="3"/>
    <n v="2"/>
    <s v=""/>
    <s v=""/>
    <s v=""/>
    <s v=""/>
    <s v=""/>
  </r>
  <r>
    <s v="Frauentreue.csv"/>
    <s v="#Ritters-knehte"/>
    <x v="2"/>
    <s v="adel:knecht"/>
    <x v="3"/>
    <x v="3"/>
    <x v="1"/>
    <x v="1"/>
    <x v="2"/>
    <n v="0.66666666666666696"/>
    <n v="0"/>
    <n v="0.22222222222222199"/>
    <n v="0.11085811815850501"/>
    <x v="3"/>
    <n v="2"/>
    <s v=""/>
    <s v=""/>
    <s v=""/>
    <s v=""/>
    <s v=""/>
  </r>
  <r>
    <s v="Frauenzucht.csv"/>
    <s v="#Vater"/>
    <x v="0"/>
    <s v="adel:ritter"/>
    <x v="3"/>
    <x v="8"/>
    <x v="0"/>
    <x v="1"/>
    <x v="3"/>
    <n v="1.2"/>
    <n v="0"/>
    <n v="0.12195121951219499"/>
    <n v="0.86660102782214898"/>
    <x v="7"/>
    <n v="1"/>
    <s v=""/>
    <s v=""/>
    <s v=""/>
    <s v=""/>
    <s v=""/>
  </r>
  <r>
    <s v="Frauenzucht.csv"/>
    <s v="#Muoter"/>
    <x v="1"/>
    <s v="adel:edelfrau"/>
    <x v="3"/>
    <x v="9"/>
    <x v="0"/>
    <x v="1"/>
    <x v="3"/>
    <n v="1.6"/>
    <n v="0.1"/>
    <n v="0.27777777777777801"/>
    <n v="0.86875827609624301"/>
    <x v="8"/>
    <n v="1"/>
    <s v=""/>
    <s v=""/>
    <s v=""/>
    <s v=""/>
    <s v=""/>
  </r>
  <r>
    <s v="Frauenzucht.csv"/>
    <s v="#Tohter"/>
    <x v="1"/>
    <s v="adel:edelfrau"/>
    <x v="0"/>
    <x v="1"/>
    <x v="0"/>
    <x v="1"/>
    <x v="3"/>
    <n v="1.6"/>
    <n v="0.15"/>
    <n v="0.29411764705882398"/>
    <n v="0.90345687342862402"/>
    <x v="1"/>
    <n v="1"/>
    <s v=""/>
    <s v=""/>
    <s v=""/>
    <s v=""/>
    <s v=""/>
  </r>
  <r>
    <s v="Frauenzucht.csv"/>
    <s v="#Ritter"/>
    <x v="0"/>
    <s v="adel:ritter"/>
    <x v="3"/>
    <x v="0"/>
    <x v="0"/>
    <x v="1"/>
    <x v="3"/>
    <n v="2"/>
    <n v="0.4"/>
    <n v="0.33333333333333298"/>
    <n v="1"/>
    <x v="0"/>
    <n v="1"/>
    <s v=""/>
    <s v=""/>
    <s v=""/>
    <s v=""/>
    <s v=""/>
  </r>
  <r>
    <s v="Frauenzucht.csv"/>
    <s v="#Sin-vriunt"/>
    <x v="2"/>
    <s v="unbekannt"/>
    <x v="3"/>
    <x v="3"/>
    <x v="1"/>
    <x v="2"/>
    <x v="3"/>
    <n v="0.8"/>
    <n v="0.35"/>
    <n v="0.33333333333333298"/>
    <n v="7.4055764941341307E-2"/>
    <x v="3"/>
    <n v="1"/>
    <s v=""/>
    <s v=""/>
    <s v=""/>
    <s v=""/>
    <s v=""/>
  </r>
  <r>
    <s v="Frauenzucht.csv"/>
    <s v="#Zwen-knehte"/>
    <x v="2"/>
    <s v="adel:knecht"/>
    <x v="3"/>
    <x v="3"/>
    <x v="1"/>
    <x v="1"/>
    <x v="3"/>
    <n v="0.8"/>
    <n v="0.3"/>
    <n v="0.3125"/>
    <n v="7.2705783650085301E-2"/>
    <x v="3"/>
    <n v="1"/>
    <s v=""/>
    <s v=""/>
    <s v=""/>
    <s v=""/>
    <s v=""/>
  </r>
  <r>
    <s v="Heinrich_von_Kempten_und_des_Kaisers_Bart.csv"/>
    <s v="#Keiser-Otte"/>
    <x v="0"/>
    <s v="adel:kaiser"/>
    <x v="3"/>
    <x v="11"/>
    <x v="0"/>
    <x v="1"/>
    <x v="1"/>
    <n v="1.5"/>
    <n v="0.42857142857142899"/>
    <n v="0.42105263157894701"/>
    <n v="0.979312096629257"/>
    <x v="10"/>
    <n v="3"/>
    <s v=""/>
    <s v=""/>
    <s v=""/>
    <s v=""/>
    <n v="5"/>
  </r>
  <r>
    <s v="Heinrich_von_Kempten_und_des_Kaisers_Bart.csv"/>
    <s v="#Junk-herre-von-Heinrich"/>
    <x v="0"/>
    <s v="adel:unbekannt"/>
    <x v="0"/>
    <x v="3"/>
    <x v="1"/>
    <x v="1"/>
    <x v="1"/>
    <n v="0.75"/>
    <n v="0.107142857142857"/>
    <n v="0.4"/>
    <n v="0.116909047627392"/>
    <x v="3"/>
    <n v="3"/>
    <s v=""/>
    <s v=""/>
    <s v=""/>
    <s v=""/>
    <s v=""/>
  </r>
  <r>
    <s v="Heinrich_von_Kempten_und_des_Kaisers_Bart.csv"/>
    <s v="#Truhsaeze"/>
    <x v="0"/>
    <s v="buergerlich:truhtsaeze"/>
    <x v="3"/>
    <x v="11"/>
    <x v="1"/>
    <x v="3"/>
    <x v="1"/>
    <n v="0.75"/>
    <n v="0"/>
    <n v="0.34782608695652201"/>
    <n v="0.147888950359849"/>
    <x v="10"/>
    <n v="3"/>
    <s v=""/>
    <s v=""/>
    <s v=""/>
    <s v=""/>
    <n v="5"/>
  </r>
  <r>
    <s v="Heinrich_von_Kempten_und_des_Kaisers_Bart.csv"/>
    <s v="#Heinrich-von-Kempten"/>
    <x v="0"/>
    <s v="adel:ritter"/>
    <x v="3"/>
    <x v="14"/>
    <x v="0"/>
    <x v="1"/>
    <x v="1"/>
    <n v="1.75"/>
    <n v="0.42857142857142899"/>
    <n v="0.38095238095238099"/>
    <n v="1"/>
    <x v="5"/>
    <n v="3"/>
    <s v=""/>
    <n v="2"/>
    <s v=""/>
    <s v=""/>
    <s v=""/>
  </r>
  <r>
    <s v="Heinrich_von_Kempten_und_des_Kaisers_Bart.csv"/>
    <s v="#Herr-von-Heinrich"/>
    <x v="0"/>
    <s v="adel:unbekannt"/>
    <x v="3"/>
    <x v="6"/>
    <x v="0"/>
    <x v="1"/>
    <x v="1"/>
    <n v="0.5"/>
    <n v="0"/>
    <n v="0.24242424242424199"/>
    <n v="0.10375008095898"/>
    <x v="6"/>
    <n v="3"/>
    <s v=""/>
    <s v=""/>
    <s v=""/>
    <s v=""/>
    <s v=""/>
  </r>
  <r>
    <s v="Heinrich_von_Kempten_und_des_Kaisers_Bart.csv"/>
    <s v="#Bote"/>
    <x v="0"/>
    <s v="unbekannt"/>
    <x v="3"/>
    <x v="15"/>
    <x v="1"/>
    <x v="2"/>
    <x v="1"/>
    <n v="0.5"/>
    <n v="0.25"/>
    <n v="0.30769230769230799"/>
    <n v="3.7697681684529097E-2"/>
    <x v="12"/>
    <n v="3"/>
    <s v=""/>
    <s v=""/>
    <s v=""/>
    <s v=""/>
    <s v=""/>
  </r>
  <r>
    <s v="Heinrich_von_Kempten_und_des_Kaisers_Bart.csv"/>
    <s v="#Burgaere"/>
    <x v="2"/>
    <s v="buergerlich:buerger"/>
    <x v="3"/>
    <x v="18"/>
    <x v="1"/>
    <x v="3"/>
    <x v="1"/>
    <n v="0.75"/>
    <n v="0"/>
    <n v="0.25"/>
    <n v="0.31297245224541198"/>
    <x v="13"/>
    <n v="3"/>
    <s v=""/>
    <s v=""/>
    <s v=""/>
    <s v=""/>
    <s v=""/>
  </r>
  <r>
    <s v="Heinrich_von_Kempten_und_des_Kaisers_Bart.csv"/>
    <s v="#Keiser-maere"/>
    <x v="2"/>
    <s v="unbekannt"/>
    <x v="3"/>
    <x v="18"/>
    <x v="1"/>
    <x v="2"/>
    <x v="1"/>
    <n v="0.75"/>
    <n v="0.35714285714285698"/>
    <n v="0.44444444444444398"/>
    <n v="0.12313460552687901"/>
    <x v="13"/>
    <n v="3"/>
    <s v=""/>
    <s v=""/>
    <s v=""/>
    <s v=""/>
    <s v=""/>
  </r>
  <r>
    <s v="Heinrich_von_Kempten_und_des_Kaisers_Bart.csv"/>
    <s v="#Vuersten"/>
    <x v="2"/>
    <s v="adel:fuerst"/>
    <x v="3"/>
    <x v="3"/>
    <x v="1"/>
    <x v="1"/>
    <x v="1"/>
    <n v="0.25"/>
    <n v="0"/>
    <n v="0.30769230769230799"/>
    <n v="3.3447604059483202E-2"/>
    <x v="3"/>
    <n v="3"/>
    <s v=""/>
    <s v=""/>
    <s v=""/>
    <s v=""/>
    <s v=""/>
  </r>
  <r>
    <s v="Hero_und_Leander.csv"/>
    <s v="#Leander"/>
    <x v="0"/>
    <s v="adel:unbekannt"/>
    <x v="0"/>
    <x v="10"/>
    <x v="0"/>
    <x v="1"/>
    <x v="2"/>
    <n v="1.1428571428571399"/>
    <n v="0.476190476190476"/>
    <n v="0.28000000000000003"/>
    <n v="1"/>
    <x v="9"/>
    <n v="2"/>
    <s v=""/>
    <s v=""/>
    <n v="3"/>
    <s v=""/>
    <s v=""/>
  </r>
  <r>
    <s v="Hero_und_Leander.csv"/>
    <s v="#Vater-Leanders"/>
    <x v="0"/>
    <s v="adel:unbekannt"/>
    <x v="2"/>
    <x v="8"/>
    <x v="1"/>
    <x v="1"/>
    <x v="2"/>
    <n v="0.57142857142857095"/>
    <n v="0"/>
    <n v="0.2"/>
    <n v="0.19612003075071399"/>
    <x v="7"/>
    <n v="2"/>
    <s v=""/>
    <s v=""/>
    <s v=""/>
    <s v=""/>
    <s v=""/>
  </r>
  <r>
    <s v="Hero_und_Leander.csv"/>
    <s v="#Muoter-Leanders"/>
    <x v="1"/>
    <s v="adel:unbekannt"/>
    <x v="2"/>
    <x v="9"/>
    <x v="1"/>
    <x v="1"/>
    <x v="2"/>
    <n v="0.57142857142857095"/>
    <n v="0"/>
    <n v="0.2"/>
    <n v="0.19612003075071399"/>
    <x v="8"/>
    <n v="2"/>
    <s v=""/>
    <s v=""/>
    <s v=""/>
    <s v=""/>
    <s v=""/>
  </r>
  <r>
    <s v="Hero_und_Leander.csv"/>
    <s v="#Hero"/>
    <x v="1"/>
    <s v="adel:koenigstochter"/>
    <x v="0"/>
    <x v="12"/>
    <x v="0"/>
    <x v="1"/>
    <x v="2"/>
    <n v="1.4285714285714299"/>
    <n v="0.57142857142857095"/>
    <n v="0.33333333333333298"/>
    <n v="0.97859293433193695"/>
    <x v="11"/>
    <n v="2"/>
    <s v=""/>
    <s v=""/>
    <s v=""/>
    <n v="4"/>
    <s v=""/>
  </r>
  <r>
    <s v="Hero_und_Leander.csv"/>
    <s v="#Vater-Heros"/>
    <x v="0"/>
    <s v="adel:unbekannt"/>
    <x v="5"/>
    <x v="8"/>
    <x v="1"/>
    <x v="1"/>
    <x v="2"/>
    <n v="0.85714285714285698"/>
    <n v="0"/>
    <n v="0.28000000000000003"/>
    <n v="9.5960838186805605E-2"/>
    <x v="7"/>
    <n v="2"/>
    <s v=""/>
    <s v=""/>
    <s v=""/>
    <s v=""/>
    <s v=""/>
  </r>
  <r>
    <s v="Hero_und_Leander.csv"/>
    <s v="#Muoter-Heros"/>
    <x v="1"/>
    <s v="adel:unbekannt"/>
    <x v="5"/>
    <x v="9"/>
    <x v="1"/>
    <x v="1"/>
    <x v="2"/>
    <n v="0.85714285714285698"/>
    <n v="0"/>
    <n v="0.28000000000000003"/>
    <n v="9.5960838186805703E-2"/>
    <x v="8"/>
    <n v="2"/>
    <s v=""/>
    <s v=""/>
    <s v=""/>
    <s v=""/>
    <s v=""/>
  </r>
  <r>
    <s v="Hero_und_Leander.csv"/>
    <s v="#Amme-Heros"/>
    <x v="1"/>
    <s v="adel:amme"/>
    <x v="2"/>
    <x v="3"/>
    <x v="1"/>
    <x v="1"/>
    <x v="2"/>
    <n v="0.85714285714285698"/>
    <n v="0"/>
    <n v="0.28000000000000003"/>
    <n v="9.59608381868058E-2"/>
    <x v="3"/>
    <n v="2"/>
    <s v=""/>
    <s v=""/>
    <s v=""/>
    <s v=""/>
    <s v=""/>
  </r>
  <r>
    <s v="Hero_und_Leander.csv"/>
    <s v="#Vischer"/>
    <x v="0"/>
    <s v="buergerlich:fischer"/>
    <x v="3"/>
    <x v="15"/>
    <x v="1"/>
    <x v="3"/>
    <x v="2"/>
    <n v="0.57142857142857095"/>
    <n v="0.57142857142857095"/>
    <n v="0.33333333333333298"/>
    <n v="0.324417029351796"/>
    <x v="12"/>
    <n v="2"/>
    <s v=""/>
    <s v=""/>
    <s v=""/>
    <s v=""/>
    <s v=""/>
  </r>
  <r>
    <s v="Herr_Friedrich_von_Auchenfurt.csv"/>
    <s v="#Keiser"/>
    <x v="0"/>
    <s v="adel:kaiser"/>
    <x v="3"/>
    <x v="3"/>
    <x v="1"/>
    <x v="1"/>
    <x v="3"/>
    <n v="0.4"/>
    <n v="0"/>
    <n v="0.45454545454545497"/>
    <n v="5.6313443279017203E-2"/>
    <x v="3"/>
    <n v="2"/>
    <s v=""/>
    <s v=""/>
    <s v=""/>
    <s v=""/>
    <s v=""/>
  </r>
  <r>
    <s v="Herr_Friedrich_von_Auchenfurt.csv"/>
    <s v="#Ouchenvurt-ber-Vrid(e)rich"/>
    <x v="0"/>
    <s v="adel:ritter"/>
    <x v="3"/>
    <x v="10"/>
    <x v="0"/>
    <x v="1"/>
    <x v="3"/>
    <n v="2"/>
    <n v="0.9"/>
    <n v="0.71428571428571397"/>
    <n v="0.943623203090448"/>
    <x v="9"/>
    <n v="2"/>
    <s v=""/>
    <s v=""/>
    <n v="3"/>
    <s v=""/>
    <s v=""/>
  </r>
  <r>
    <s v="Herr_Friedrich_von_Auchenfurt.csv"/>
    <s v="#Graevin"/>
    <x v="1"/>
    <s v="adel:graefin"/>
    <x v="3"/>
    <x v="5"/>
    <x v="0"/>
    <x v="1"/>
    <x v="3"/>
    <n v="1.2"/>
    <n v="0"/>
    <n v="0.38461538461538503"/>
    <n v="1"/>
    <x v="5"/>
    <n v="2"/>
    <s v=""/>
    <n v="2"/>
    <s v=""/>
    <s v=""/>
    <s v=""/>
  </r>
  <r>
    <s v="Herr_Friedrich_von_Auchenfurt.csv"/>
    <s v="#Grave"/>
    <x v="0"/>
    <s v="adel:graf"/>
    <x v="3"/>
    <x v="0"/>
    <x v="1"/>
    <x v="1"/>
    <x v="3"/>
    <n v="0.8"/>
    <n v="0"/>
    <n v="0.45454545454545497"/>
    <n v="0.41438079322072602"/>
    <x v="0"/>
    <n v="2"/>
    <s v=""/>
    <s v=""/>
    <s v=""/>
    <s v=""/>
    <s v=""/>
  </r>
  <r>
    <s v="Herr_Friedrich_von_Auchenfurt.csv"/>
    <s v="#Ritter"/>
    <x v="0"/>
    <s v="adel:ritter"/>
    <x v="3"/>
    <x v="18"/>
    <x v="1"/>
    <x v="1"/>
    <x v="3"/>
    <n v="0.4"/>
    <n v="0"/>
    <n v="0.33333333333333298"/>
    <n v="0.112626886558034"/>
    <x v="13"/>
    <n v="2"/>
    <s v=""/>
    <s v=""/>
    <s v=""/>
    <s v=""/>
    <s v=""/>
  </r>
  <r>
    <s v="Herr_Friedrich_von_Auchenfurt.csv"/>
    <s v="#Junk-vrouwen-der-graefin"/>
    <x v="2"/>
    <s v="adel:hofstaat"/>
    <x v="3"/>
    <x v="15"/>
    <x v="1"/>
    <x v="1"/>
    <x v="3"/>
    <n v="0.8"/>
    <n v="0.4"/>
    <n v="0.55555555555555602"/>
    <n v="0.115991334935969"/>
    <x v="12"/>
    <n v="2"/>
    <s v=""/>
    <s v=""/>
    <s v=""/>
    <s v=""/>
    <s v=""/>
  </r>
  <r>
    <s v="Irregang_und_Girregar.csv"/>
    <s v="#Geselle-1"/>
    <x v="0"/>
    <s v="unbekannt"/>
    <x v="3"/>
    <x v="19"/>
    <x v="0"/>
    <x v="2"/>
    <x v="3"/>
    <n v="2"/>
    <n v="0.11111111111111099"/>
    <n v="0.269230769230769"/>
    <n v="1"/>
    <x v="4"/>
    <n v="1"/>
    <n v="1"/>
    <s v=""/>
    <s v=""/>
    <s v=""/>
    <s v=""/>
  </r>
  <r>
    <s v="Irregang_und_Girregar.csv"/>
    <s v="#Geselle-2"/>
    <x v="0"/>
    <s v="unbekannt"/>
    <x v="3"/>
    <x v="19"/>
    <x v="0"/>
    <x v="2"/>
    <x v="3"/>
    <n v="2"/>
    <n v="3.1746031746031703E-2"/>
    <n v="0.233333333333333"/>
    <n v="0.83169000866847098"/>
    <x v="4"/>
    <n v="1"/>
    <n v="1"/>
    <s v=""/>
    <s v=""/>
    <s v=""/>
    <s v=""/>
  </r>
  <r>
    <s v="Irregang_und_Girregar.csv"/>
    <s v="#Maget"/>
    <x v="1"/>
    <s v="unbekannt"/>
    <x v="0"/>
    <x v="26"/>
    <x v="0"/>
    <x v="2"/>
    <x v="3"/>
    <n v="1.4285714285714299"/>
    <n v="0"/>
    <n v="0.116666666666667"/>
    <n v="0.739252769085332"/>
    <x v="4"/>
    <n v="1"/>
    <n v="1"/>
    <s v=""/>
    <s v=""/>
    <s v=""/>
    <s v=""/>
  </r>
  <r>
    <s v="Irregang_und_Girregar.csv"/>
    <s v="#Wirt"/>
    <x v="0"/>
    <s v="unbekannt"/>
    <x v="2"/>
    <x v="7"/>
    <x v="0"/>
    <x v="2"/>
    <x v="3"/>
    <n v="2"/>
    <n v="0.11111111111111099"/>
    <n v="0.269230769230769"/>
    <n v="0.77204975762844896"/>
    <x v="5"/>
    <n v="1"/>
    <s v=""/>
    <n v="2"/>
    <s v=""/>
    <s v=""/>
    <s v=""/>
  </r>
  <r>
    <s v="Irregang_und_Girregar.csv"/>
    <s v="#Bote"/>
    <x v="0"/>
    <s v="unbekannt"/>
    <x v="3"/>
    <x v="15"/>
    <x v="1"/>
    <x v="2"/>
    <x v="3"/>
    <n v="0.85714285714285698"/>
    <n v="0.182539682539683"/>
    <n v="0.25"/>
    <n v="2.3894815022153799E-2"/>
    <x v="12"/>
    <n v="1"/>
    <s v=""/>
    <s v=""/>
    <s v=""/>
    <s v=""/>
    <s v=""/>
  </r>
  <r>
    <s v="Irregang_und_Girregar.csv"/>
    <s v="#Gesinde"/>
    <x v="2"/>
    <s v="unbekannt"/>
    <x v="3"/>
    <x v="3"/>
    <x v="1"/>
    <x v="2"/>
    <x v="3"/>
    <n v="1.4285714285714299"/>
    <n v="0.28571428571428598"/>
    <n v="0.194444444444444"/>
    <n v="0.19775098609363001"/>
    <x v="3"/>
    <n v="1"/>
    <s v=""/>
    <s v=""/>
    <s v=""/>
    <s v=""/>
    <s v=""/>
  </r>
  <r>
    <s v="Irregang_und_Girregar.csv"/>
    <s v="#Wirtin"/>
    <x v="1"/>
    <s v="unbekannt"/>
    <x v="0"/>
    <x v="13"/>
    <x v="0"/>
    <x v="2"/>
    <x v="3"/>
    <n v="1.71428571428571"/>
    <n v="0.34920634920634902"/>
    <n v="0.233333333333333"/>
    <n v="0.59838906358420996"/>
    <x v="4"/>
    <n v="1"/>
    <n v="1"/>
    <s v=""/>
    <s v=""/>
    <s v=""/>
    <s v=""/>
  </r>
  <r>
    <s v="Irregang_und_Girregar.csv"/>
    <s v="#Kint"/>
    <x v="3"/>
    <s v="unbekannt"/>
    <x v="1"/>
    <x v="2"/>
    <x v="1"/>
    <x v="2"/>
    <x v="3"/>
    <n v="1.1428571428571399"/>
    <n v="0.46825396825396798"/>
    <n v="0.29166666666666702"/>
    <n v="5.5634294847443901E-2"/>
    <x v="2"/>
    <n v="1"/>
    <s v=""/>
    <s v=""/>
    <s v=""/>
    <s v=""/>
    <s v=""/>
  </r>
  <r>
    <s v="Martinsfest.csv"/>
    <s v="#Man"/>
    <x v="0"/>
    <s v="bauer"/>
    <x v="3"/>
    <x v="14"/>
    <x v="0"/>
    <x v="5"/>
    <x v="1"/>
    <n v="2"/>
    <n v="0"/>
    <n v="0.29411764705882398"/>
    <n v="1"/>
    <x v="5"/>
    <n v="1"/>
    <s v=""/>
    <n v="2"/>
    <s v=""/>
    <s v=""/>
    <s v=""/>
  </r>
  <r>
    <s v="Martinsfest.csv"/>
    <s v="#Gesinde"/>
    <x v="2"/>
    <s v="bauer"/>
    <x v="3"/>
    <x v="3"/>
    <x v="1"/>
    <x v="5"/>
    <x v="1"/>
    <n v="2"/>
    <n v="0"/>
    <n v="0.41666666666666702"/>
    <n v="0.74076625529934303"/>
    <x v="3"/>
    <n v="1"/>
    <s v=""/>
    <s v=""/>
    <s v=""/>
    <s v=""/>
    <s v=""/>
  </r>
  <r>
    <s v="Martinsfest.csv"/>
    <s v="#Diebe"/>
    <x v="2"/>
    <s v="NA"/>
    <x v="3"/>
    <x v="11"/>
    <x v="1"/>
    <x v="0"/>
    <x v="1"/>
    <n v="1.2"/>
    <n v="0.15"/>
    <n v="0.41666666666666702"/>
    <n v="0.39059917548970902"/>
    <x v="10"/>
    <n v="1"/>
    <s v=""/>
    <s v=""/>
    <s v=""/>
    <s v=""/>
    <n v="5"/>
  </r>
  <r>
    <s v="Martinsfest.csv"/>
    <s v="#Dieb"/>
    <x v="0"/>
    <s v="NA"/>
    <x v="3"/>
    <x v="4"/>
    <x v="1"/>
    <x v="0"/>
    <x v="1"/>
    <n v="2"/>
    <n v="0.25"/>
    <n v="0.5"/>
    <n v="0.735962824898442"/>
    <x v="4"/>
    <n v="1"/>
    <n v="1"/>
    <s v=""/>
    <s v=""/>
    <s v=""/>
    <s v=""/>
  </r>
  <r>
    <s v="Martinsfest.csv"/>
    <s v="#KnÃ©hte"/>
    <x v="2"/>
    <s v="bauer:knecht"/>
    <x v="3"/>
    <x v="3"/>
    <x v="1"/>
    <x v="5"/>
    <x v="1"/>
    <n v="1.6"/>
    <n v="0.05"/>
    <n v="0.45454545454545497"/>
    <n v="0.50120521923078298"/>
    <x v="3"/>
    <n v="1"/>
    <s v=""/>
    <s v=""/>
    <s v=""/>
    <s v=""/>
    <s v=""/>
  </r>
  <r>
    <s v="Martinsfest.csv"/>
    <s v="#Wip"/>
    <x v="1"/>
    <s v="bauer"/>
    <x v="3"/>
    <x v="1"/>
    <x v="1"/>
    <x v="5"/>
    <x v="1"/>
    <n v="1.6"/>
    <n v="0"/>
    <n v="0.41666666666666702"/>
    <n v="0.56931726303234798"/>
    <x v="1"/>
    <n v="1"/>
    <s v=""/>
    <s v=""/>
    <s v=""/>
    <s v=""/>
    <s v=""/>
  </r>
  <r>
    <s v="Minnedurst.csv"/>
    <s v="#Wip"/>
    <x v="1"/>
    <s v="buergerlich:unbekannt"/>
    <x v="0"/>
    <x v="13"/>
    <x v="0"/>
    <x v="3"/>
    <x v="3"/>
    <n v="2"/>
    <n v="0.16666666666666699"/>
    <n v="0.44444444444444398"/>
    <n v="1"/>
    <x v="4"/>
    <n v="1"/>
    <n v="1"/>
    <s v=""/>
    <s v=""/>
    <s v=""/>
    <s v=""/>
  </r>
  <r>
    <s v="Minnedurst.csv"/>
    <s v="#Man"/>
    <x v="0"/>
    <s v="buergerlich:unbekannt"/>
    <x v="3"/>
    <x v="7"/>
    <x v="1"/>
    <x v="3"/>
    <x v="3"/>
    <n v="2"/>
    <n v="0.16666666666666699"/>
    <n v="0.44444444444444398"/>
    <n v="0.78652875862854299"/>
    <x v="5"/>
    <n v="1"/>
    <s v=""/>
    <n v="2"/>
    <s v=""/>
    <s v=""/>
    <s v=""/>
  </r>
  <r>
    <s v="Minnedurst.csv"/>
    <s v="#Knabe"/>
    <x v="0"/>
    <s v="unbekannt"/>
    <x v="0"/>
    <x v="19"/>
    <x v="0"/>
    <x v="2"/>
    <x v="3"/>
    <n v="1.5"/>
    <n v="0"/>
    <n v="0.266666666666667"/>
    <n v="0.93947963678087598"/>
    <x v="4"/>
    <n v="1"/>
    <n v="1"/>
    <s v=""/>
    <s v=""/>
    <s v=""/>
    <s v=""/>
  </r>
  <r>
    <s v="Minnedurst.csv"/>
    <s v="#Meier"/>
    <x v="0"/>
    <s v="buergerlich:meyer"/>
    <x v="3"/>
    <x v="8"/>
    <x v="1"/>
    <x v="3"/>
    <x v="3"/>
    <n v="1.5"/>
    <n v="0.5"/>
    <n v="0.44444444444444398"/>
    <n v="0.22521804258280201"/>
    <x v="7"/>
    <n v="1"/>
    <s v=""/>
    <s v=""/>
    <s v=""/>
    <s v=""/>
    <s v=""/>
  </r>
  <r>
    <s v="Minnedurst.csv"/>
    <s v="#Wirt"/>
    <x v="0"/>
    <s v="buergerlich:wirt"/>
    <x v="3"/>
    <x v="3"/>
    <x v="1"/>
    <x v="3"/>
    <x v="3"/>
    <n v="1"/>
    <n v="0.16666666666666699"/>
    <n v="0.4"/>
    <n v="7.3799939632206296E-2"/>
    <x v="3"/>
    <n v="1"/>
    <s v=""/>
    <s v=""/>
    <s v=""/>
    <s v=""/>
    <s v=""/>
  </r>
  <r>
    <s v="Rittertreue.csv"/>
    <s v="#Ritter"/>
    <x v="0"/>
    <s v="adel:ritter"/>
    <x v="5"/>
    <x v="6"/>
    <x v="0"/>
    <x v="1"/>
    <x v="0"/>
    <n v="0.33333333333333298"/>
    <n v="0"/>
    <n v="0.26086956521739102"/>
    <n v="0.58180079134140095"/>
    <x v="6"/>
    <n v="3"/>
    <s v=""/>
    <s v=""/>
    <s v=""/>
    <s v=""/>
    <s v=""/>
  </r>
  <r>
    <s v="Rittertreue.csv"/>
    <s v="#Grave-Willekin"/>
    <x v="0"/>
    <s v="adel:ritter"/>
    <x v="0"/>
    <x v="3"/>
    <x v="0"/>
    <x v="1"/>
    <x v="0"/>
    <n v="1.6666666666666701"/>
    <n v="0.174242424242424"/>
    <n v="0.33333333333333298"/>
    <n v="1"/>
    <x v="3"/>
    <n v="3"/>
    <s v=""/>
    <s v=""/>
    <s v=""/>
    <s v=""/>
    <s v=""/>
  </r>
  <r>
    <s v="Rittertreue.csv"/>
    <s v="#Vater-Willekins"/>
    <x v="0"/>
    <s v="adel:unbekannt"/>
    <x v="2"/>
    <x v="8"/>
    <x v="1"/>
    <x v="1"/>
    <x v="0"/>
    <n v="0.66666666666666696"/>
    <n v="7.5757575757575801E-2"/>
    <n v="0.375"/>
    <n v="0.25966705918486499"/>
    <x v="7"/>
    <n v="3"/>
    <s v=""/>
    <s v=""/>
    <s v=""/>
    <s v=""/>
    <s v=""/>
  </r>
  <r>
    <s v="Rittertreue.csv"/>
    <s v="#Junc-vrouwe"/>
    <x v="1"/>
    <s v="adel:edelfrau"/>
    <x v="0"/>
    <x v="6"/>
    <x v="1"/>
    <x v="1"/>
    <x v="0"/>
    <n v="1.3333333333333299"/>
    <n v="0.54545454545454497"/>
    <n v="0.5"/>
    <n v="0.61955072261073696"/>
    <x v="6"/>
    <n v="3"/>
    <s v=""/>
    <s v=""/>
    <s v=""/>
    <s v=""/>
    <s v=""/>
  </r>
  <r>
    <s v="Rittertreue.csv"/>
    <s v="#Rat-geben-der-vrouwe"/>
    <x v="2"/>
    <s v="adel:ratgeber"/>
    <x v="3"/>
    <x v="23"/>
    <x v="1"/>
    <x v="1"/>
    <x v="0"/>
    <n v="0.16666666666666699"/>
    <n v="0"/>
    <n v="0.34285714285714303"/>
    <n v="1.9762766371668E-2"/>
    <x v="16"/>
    <n v="3"/>
    <s v=""/>
    <s v=""/>
    <s v=""/>
    <s v=""/>
    <s v=""/>
  </r>
  <r>
    <s v="Rittertreue.csv"/>
    <s v="#Kneht(e-)-der-vrouwe"/>
    <x v="2"/>
    <s v="adel:knecht"/>
    <x v="3"/>
    <x v="3"/>
    <x v="1"/>
    <x v="1"/>
    <x v="0"/>
    <n v="0.66666666666666696"/>
    <n v="0.11363636363636399"/>
    <n v="0.38709677419354799"/>
    <n v="0.12399173468724201"/>
    <x v="3"/>
    <n v="3"/>
    <s v=""/>
    <s v=""/>
    <s v=""/>
    <s v=""/>
    <s v=""/>
  </r>
  <r>
    <s v="Rittertreue.csv"/>
    <s v="#Garzuon"/>
    <x v="0"/>
    <s v="buergerlich:garzuon"/>
    <x v="3"/>
    <x v="15"/>
    <x v="1"/>
    <x v="3"/>
    <x v="0"/>
    <n v="0.66666666666666696"/>
    <n v="2.5252525252525301E-2"/>
    <n v="0.38709677419354799"/>
    <n v="0.23995819381793601"/>
    <x v="12"/>
    <n v="3"/>
    <s v=""/>
    <s v=""/>
    <s v=""/>
    <s v=""/>
    <s v=""/>
  </r>
  <r>
    <s v="Rittertreue.csv"/>
    <s v="#Willekins-kneht"/>
    <x v="0"/>
    <s v="adel:knecht"/>
    <x v="3"/>
    <x v="15"/>
    <x v="1"/>
    <x v="1"/>
    <x v="0"/>
    <n v="0.83333333333333304"/>
    <n v="2.27272727272727E-2"/>
    <n v="0.30769230769230799"/>
    <n v="0.40048964481880001"/>
    <x v="12"/>
    <n v="3"/>
    <s v=""/>
    <s v=""/>
    <s v=""/>
    <s v=""/>
    <s v=""/>
  </r>
  <r>
    <s v="Rittertreue.csv"/>
    <s v="#Muoter-Willekins"/>
    <x v="1"/>
    <s v="adel:edelfrau"/>
    <x v="2"/>
    <x v="9"/>
    <x v="1"/>
    <x v="1"/>
    <x v="0"/>
    <n v="0.16666666666666699"/>
    <n v="0"/>
    <n v="0.25531914893617003"/>
    <n v="3.1898544623415598E-2"/>
    <x v="8"/>
    <n v="3"/>
    <s v=""/>
    <s v=""/>
    <s v=""/>
    <s v=""/>
    <s v=""/>
  </r>
  <r>
    <s v="Rittertreue.csv"/>
    <s v="#Richer-manne-dri"/>
    <x v="2"/>
    <s v="buergerlich:buerger"/>
    <x v="3"/>
    <x v="3"/>
    <x v="1"/>
    <x v="3"/>
    <x v="0"/>
    <n v="0.33333333333333298"/>
    <n v="1.5151515151515201E-2"/>
    <n v="0.34285714285714303"/>
    <n v="3.8564869156755999E-2"/>
    <x v="3"/>
    <n v="3"/>
    <s v=""/>
    <s v=""/>
    <s v=""/>
    <s v=""/>
    <s v=""/>
  </r>
  <r>
    <s v="Rittertreue.csv"/>
    <s v="#Wirt"/>
    <x v="0"/>
    <s v="buergerlich:wirt"/>
    <x v="3"/>
    <x v="6"/>
    <x v="1"/>
    <x v="3"/>
    <x v="0"/>
    <n v="1"/>
    <n v="0.26767676767676801"/>
    <n v="0.46153846153846201"/>
    <n v="0.40800593561455401"/>
    <x v="6"/>
    <n v="3"/>
    <s v=""/>
    <s v=""/>
    <s v=""/>
    <s v=""/>
    <s v=""/>
  </r>
  <r>
    <s v="Rittertreue.csv"/>
    <s v="#Ritter-Willekins"/>
    <x v="2"/>
    <s v="adel:ritter"/>
    <x v="3"/>
    <x v="20"/>
    <x v="1"/>
    <x v="1"/>
    <x v="0"/>
    <n v="0.5"/>
    <n v="4.5454545454545497E-2"/>
    <n v="0.32432432432432401"/>
    <n v="0.10260171714093801"/>
    <x v="14"/>
    <n v="3"/>
    <s v=""/>
    <s v=""/>
    <s v=""/>
    <s v=""/>
    <s v=""/>
  </r>
  <r>
    <s v="Rittertreue.csv"/>
    <s v="#Ein-ritter"/>
    <x v="0"/>
    <s v="adel:ritter"/>
    <x v="3"/>
    <x v="18"/>
    <x v="1"/>
    <x v="1"/>
    <x v="0"/>
    <n v="0.33333333333333298"/>
    <n v="0.12121212121212099"/>
    <n v="0.38709677419354799"/>
    <n v="8.3559855618499199E-2"/>
    <x v="13"/>
    <n v="3"/>
    <s v=""/>
    <s v=""/>
    <s v=""/>
    <s v=""/>
    <s v=""/>
  </r>
  <r>
    <s v="Scheidung_und_Suehne.csv"/>
    <s v="#Man"/>
    <x v="0"/>
    <s v="unbekannt"/>
    <x v="3"/>
    <x v="0"/>
    <x v="0"/>
    <x v="2"/>
    <x v="3"/>
    <n v="0"/>
    <n v="0"/>
    <n v="0"/>
    <n v="0"/>
    <x v="0"/>
    <n v="1"/>
    <s v=""/>
    <s v=""/>
    <s v=""/>
    <s v=""/>
    <s v=""/>
  </r>
  <r>
    <s v="Scheidung_und_Suehne.csv"/>
    <s v="#Wibe"/>
    <x v="1"/>
    <s v="unbekannt"/>
    <x v="3"/>
    <x v="1"/>
    <x v="0"/>
    <x v="2"/>
    <x v="3"/>
    <n v="0"/>
    <n v="0"/>
    <n v="0"/>
    <n v="0"/>
    <x v="1"/>
    <n v="1"/>
    <s v=""/>
    <s v=""/>
    <s v=""/>
    <s v=""/>
    <s v=""/>
  </r>
  <r>
    <s v="Thomas_von_Kandelberg.csv"/>
    <s v="#Schuolaere"/>
    <x v="2"/>
    <s v="buergerlich:schueler"/>
    <x v="0"/>
    <x v="6"/>
    <x v="0"/>
    <x v="3"/>
    <x v="1"/>
    <n v="1"/>
    <n v="0.5"/>
    <n v="0.133333333333333"/>
    <n v="1"/>
    <x v="6"/>
    <n v="4"/>
    <s v=""/>
    <s v=""/>
    <s v=""/>
    <s v=""/>
    <s v=""/>
  </r>
  <r>
    <s v="Thomas_von_Kandelberg.csv"/>
    <s v="#Ein-jungelink"/>
    <x v="0"/>
    <s v="buergerlich:schueler"/>
    <x v="0"/>
    <x v="6"/>
    <x v="1"/>
    <x v="3"/>
    <x v="1"/>
    <n v="0.5"/>
    <n v="0"/>
    <n v="0.102564102564103"/>
    <n v="0.33993198216549397"/>
    <x v="6"/>
    <n v="4"/>
    <s v=""/>
    <s v=""/>
    <s v=""/>
    <s v=""/>
    <s v=""/>
  </r>
  <r>
    <s v="Thomas_von_Kandelberg.csv"/>
    <s v="#Sante-Tomas-von-Kandelberk"/>
    <x v="0"/>
    <s v="buergerlich:schueler"/>
    <x v="0"/>
    <x v="3"/>
    <x v="0"/>
    <x v="3"/>
    <x v="1"/>
    <n v="1.5"/>
    <n v="0.66666666666666696"/>
    <n v="0.18181818181818199"/>
    <n v="0.97568737339759604"/>
    <x v="3"/>
    <n v="4"/>
    <s v=""/>
    <s v=""/>
    <s v=""/>
    <s v=""/>
    <s v=""/>
  </r>
  <r>
    <s v="Thomas_von_Kandelberg.csv"/>
    <s v="#Bischof"/>
    <x v="0"/>
    <s v="klerus:bischof"/>
    <x v="5"/>
    <x v="3"/>
    <x v="1"/>
    <x v="4"/>
    <x v="1"/>
    <n v="1"/>
    <n v="0.25"/>
    <n v="0.173913043478261"/>
    <n v="0.13737386314941699"/>
    <x v="3"/>
    <n v="4"/>
    <s v=""/>
    <s v=""/>
    <s v=""/>
    <s v=""/>
    <s v=""/>
  </r>
  <r>
    <s v="Thomas_von_Kandelberg.csv"/>
    <s v="#Babest"/>
    <x v="0"/>
    <s v="klerus:papst"/>
    <x v="3"/>
    <x v="3"/>
    <x v="1"/>
    <x v="4"/>
    <x v="1"/>
    <n v="1"/>
    <n v="0"/>
    <n v="0.15384615384615399"/>
    <n v="0.23667748507462999"/>
    <x v="3"/>
    <n v="4"/>
    <s v=""/>
    <s v=""/>
    <s v=""/>
    <s v=""/>
    <s v=""/>
  </r>
  <r>
    <s v="Turandot.csv"/>
    <s v="#Kuenig"/>
    <x v="0"/>
    <s v="adel:koenig"/>
    <x v="3"/>
    <x v="8"/>
    <x v="1"/>
    <x v="1"/>
    <x v="1"/>
    <n v="0.8"/>
    <n v="0"/>
    <n v="0.26315789473684198"/>
    <n v="0.38297489003732998"/>
    <x v="7"/>
    <n v="1"/>
    <s v=""/>
    <s v=""/>
    <s v=""/>
    <s v=""/>
    <s v=""/>
  </r>
  <r>
    <s v="Turandot.csv"/>
    <s v="#Tohter"/>
    <x v="1"/>
    <s v="adel:koenigstochter"/>
    <x v="0"/>
    <x v="11"/>
    <x v="0"/>
    <x v="1"/>
    <x v="1"/>
    <n v="2"/>
    <n v="0.4"/>
    <n v="0.55555555555555602"/>
    <n v="0.90094010786408596"/>
    <x v="10"/>
    <n v="1"/>
    <s v=""/>
    <s v=""/>
    <s v=""/>
    <s v=""/>
    <n v="5"/>
  </r>
  <r>
    <s v="Turandot.csv"/>
    <s v="#Dorf-man"/>
    <x v="0"/>
    <s v="unbekannt"/>
    <x v="3"/>
    <x v="8"/>
    <x v="1"/>
    <x v="2"/>
    <x v="1"/>
    <n v="0.8"/>
    <n v="0"/>
    <n v="0.41666666666666702"/>
    <n v="0.19481364584081901"/>
    <x v="7"/>
    <n v="1"/>
    <s v=""/>
    <s v=""/>
    <s v=""/>
    <s v=""/>
    <s v=""/>
  </r>
  <r>
    <s v="Turandot.csv"/>
    <s v="#Konni"/>
    <x v="0"/>
    <s v="bauer:narr"/>
    <x v="0"/>
    <x v="3"/>
    <x v="0"/>
    <x v="5"/>
    <x v="1"/>
    <n v="2"/>
    <n v="0.1"/>
    <n v="0.5"/>
    <n v="1"/>
    <x v="3"/>
    <n v="1"/>
    <s v=""/>
    <s v=""/>
    <s v=""/>
    <s v=""/>
    <s v=""/>
  </r>
  <r>
    <s v="Turandot.csv"/>
    <s v="#Junk-her"/>
    <x v="0"/>
    <s v="adel:edelmann"/>
    <x v="0"/>
    <x v="20"/>
    <x v="1"/>
    <x v="1"/>
    <x v="1"/>
    <n v="1.2"/>
    <n v="0"/>
    <n v="0.38461538461538503"/>
    <n v="0.72393701245144604"/>
    <x v="14"/>
    <n v="1"/>
    <s v=""/>
    <s v=""/>
    <s v=""/>
    <s v=""/>
    <s v=""/>
  </r>
  <r>
    <s v="Turandot.csv"/>
    <s v="#Dri-stolzen-rittern"/>
    <x v="2"/>
    <s v="adel:ritter"/>
    <x v="5"/>
    <x v="3"/>
    <x v="1"/>
    <x v="1"/>
    <x v="1"/>
    <n v="1.2"/>
    <n v="0.5"/>
    <n v="0.55555555555555602"/>
    <n v="0.17627453952137201"/>
    <x v="3"/>
    <n v="1"/>
    <s v=""/>
    <s v=""/>
    <s v=""/>
    <s v=""/>
    <s v=""/>
  </r>
  <r>
    <s v="Unser_Frauen_Ritter_und_die_Jungfrau.csv"/>
    <s v="#Ritter"/>
    <x v="0"/>
    <s v="adel:ritter"/>
    <x v="3"/>
    <x v="10"/>
    <x v="0"/>
    <x v="1"/>
    <x v="0"/>
    <n v="1.5"/>
    <n v="0.32142857142857101"/>
    <n v="0.42105263157894701"/>
    <n v="1"/>
    <x v="9"/>
    <n v="4"/>
    <s v=""/>
    <s v=""/>
    <n v="3"/>
    <s v=""/>
    <s v=""/>
  </r>
  <r>
    <s v="Unser_Frauen_Ritter_und_die_Jungfrau.csv"/>
    <s v="#Wirt"/>
    <x v="0"/>
    <s v="buergerlich:wirt"/>
    <x v="3"/>
    <x v="3"/>
    <x v="1"/>
    <x v="3"/>
    <x v="0"/>
    <n v="0.25"/>
    <n v="0"/>
    <n v="0.32"/>
    <n v="7.8383965115572801E-2"/>
    <x v="3"/>
    <n v="4"/>
    <s v=""/>
    <s v=""/>
    <s v=""/>
    <s v=""/>
    <s v=""/>
  </r>
  <r>
    <s v="Unser_Frauen_Ritter_und_die_Jungfrau.csv"/>
    <s v="#Maget"/>
    <x v="1"/>
    <s v="unbekannt"/>
    <x v="0"/>
    <x v="12"/>
    <x v="0"/>
    <x v="2"/>
    <x v="0"/>
    <n v="1.25"/>
    <n v="0.107142857142857"/>
    <n v="0.38095238095238099"/>
    <n v="0.99683395754702397"/>
    <x v="11"/>
    <n v="4"/>
    <s v=""/>
    <s v=""/>
    <s v=""/>
    <n v="4"/>
    <s v=""/>
  </r>
  <r>
    <s v="Unser_Frauen_Ritter_und_die_Jungfrau.csv"/>
    <s v="#Vater-der-vrouwe"/>
    <x v="0"/>
    <s v="unbekannt"/>
    <x v="3"/>
    <x v="8"/>
    <x v="1"/>
    <x v="2"/>
    <x v="0"/>
    <n v="1"/>
    <n v="1.7857142857142901E-2"/>
    <n v="0.38095238095238099"/>
    <n v="0.185618845489193"/>
    <x v="7"/>
    <n v="4"/>
    <s v=""/>
    <s v=""/>
    <s v=""/>
    <s v=""/>
    <s v=""/>
  </r>
  <r>
    <s v="Unser_Frauen_Ritter_und_die_Jungfrau.csv"/>
    <s v="#Muoter-der-vrouwe"/>
    <x v="1"/>
    <s v="unbekannt"/>
    <x v="3"/>
    <x v="9"/>
    <x v="1"/>
    <x v="2"/>
    <x v="0"/>
    <n v="1"/>
    <n v="1.7857142857142901E-2"/>
    <n v="0.38095238095238099"/>
    <n v="0.185618845489192"/>
    <x v="8"/>
    <n v="4"/>
    <s v=""/>
    <s v=""/>
    <s v=""/>
    <s v=""/>
    <s v=""/>
  </r>
  <r>
    <s v="Unser_Frauen_Ritter_und_die_Jungfrau.csv"/>
    <s v="#Wip"/>
    <x v="1"/>
    <s v="unbekannt"/>
    <x v="3"/>
    <x v="3"/>
    <x v="1"/>
    <x v="2"/>
    <x v="0"/>
    <n v="1"/>
    <n v="1.7857142857142901E-2"/>
    <n v="0.38095238095238099"/>
    <n v="0.185618845489193"/>
    <x v="3"/>
    <n v="4"/>
    <s v=""/>
    <s v=""/>
    <s v=""/>
    <s v=""/>
    <s v=""/>
  </r>
  <r>
    <s v="Unser_Frauen_Ritter_und_die_Jungfrau.csv"/>
    <s v="#Schuoler"/>
    <x v="0"/>
    <s v="buergerlich:schueler"/>
    <x v="0"/>
    <x v="6"/>
    <x v="1"/>
    <x v="3"/>
    <x v="0"/>
    <n v="0.75"/>
    <n v="0.23214285714285701"/>
    <n v="0.38095238095238099"/>
    <n v="0.16046333982659999"/>
    <x v="6"/>
    <n v="4"/>
    <s v=""/>
    <s v=""/>
    <s v=""/>
    <s v=""/>
    <s v=""/>
  </r>
  <r>
    <s v="Unser_Frauen_Ritter_und_die_Jungfrau.csv"/>
    <s v="#Einer"/>
    <x v="0"/>
    <s v="unbekannt"/>
    <x v="3"/>
    <x v="3"/>
    <x v="1"/>
    <x v="2"/>
    <x v="0"/>
    <n v="0.25"/>
    <n v="0"/>
    <n v="0.24242424242424199"/>
    <n v="2.5155505662592999E-2"/>
    <x v="3"/>
    <n v="4"/>
    <s v=""/>
    <s v=""/>
    <s v=""/>
    <s v=""/>
    <s v=""/>
  </r>
  <r>
    <s v="Unser_Frauen_Ritter_und_die_Jungfrau.csv"/>
    <s v="#Bischof"/>
    <x v="0"/>
    <s v="klerus:bischof"/>
    <x v="3"/>
    <x v="3"/>
    <x v="1"/>
    <x v="4"/>
    <x v="0"/>
    <n v="0"/>
    <n v="0"/>
    <n v="0.11111111111111099"/>
    <n v="1.10144031914012E-17"/>
    <x v="3"/>
    <n v="4"/>
    <s v=""/>
    <s v=""/>
    <s v=""/>
    <s v=""/>
    <s v=""/>
  </r>
  <r>
    <s v="Von_der_ueblen_Adelheit_und_irem_Man.csv"/>
    <s v="#Der-guot-Markhart"/>
    <x v="0"/>
    <s v="unbekannt"/>
    <x v="3"/>
    <x v="3"/>
    <x v="0"/>
    <x v="2"/>
    <x v="3"/>
    <n v="2"/>
    <n v="0.16666666666666699"/>
    <n v="0.75"/>
    <n v="1"/>
    <x v="3"/>
    <n v="1"/>
    <s v=""/>
    <s v=""/>
    <s v=""/>
    <s v=""/>
    <s v=""/>
  </r>
  <r>
    <s v="Von_der_ueblen_Adelheit_und_irem_Man.csv"/>
    <s v="#Diu-uebel-Adelheit"/>
    <x v="1"/>
    <s v="unbekannt"/>
    <x v="3"/>
    <x v="11"/>
    <x v="0"/>
    <x v="2"/>
    <x v="3"/>
    <n v="2"/>
    <n v="0.16666666666666699"/>
    <n v="0.75"/>
    <n v="1"/>
    <x v="10"/>
    <n v="1"/>
    <s v=""/>
    <s v=""/>
    <s v=""/>
    <s v=""/>
    <n v="5"/>
  </r>
  <r>
    <s v="Von_der_ueblen_Adelheit_und_irem_Man.csv"/>
    <s v="#Ein-man"/>
    <x v="0"/>
    <s v="unbekannt"/>
    <x v="3"/>
    <x v="3"/>
    <x v="1"/>
    <x v="2"/>
    <x v="3"/>
    <n v="1.3333333333333299"/>
    <n v="0.16666666666666699"/>
    <n v="0.75"/>
    <n v="0.140054944640259"/>
    <x v="3"/>
    <n v="1"/>
    <s v=""/>
    <s v=""/>
    <s v=""/>
    <s v=""/>
    <s v=""/>
  </r>
  <r>
    <s v="Von_der_ueblen_Adelheit_und_irem_Man.csv"/>
    <s v="#Ein-her"/>
    <x v="0"/>
    <s v="unbekannt"/>
    <x v="3"/>
    <x v="6"/>
    <x v="1"/>
    <x v="2"/>
    <x v="3"/>
    <n v="1.3333333333333299"/>
    <n v="0.16666666666666699"/>
    <n v="0.75"/>
    <n v="0.140054944640259"/>
    <x v="6"/>
    <n v="1"/>
    <s v=""/>
    <s v=""/>
    <s v=""/>
    <s v=""/>
    <s v=""/>
  </r>
  <r>
    <s v="Weiberlist.csv"/>
    <s v="#Man"/>
    <x v="0"/>
    <s v="unbekannt"/>
    <x v="3"/>
    <x v="7"/>
    <x v="0"/>
    <x v="2"/>
    <x v="3"/>
    <n v="2"/>
    <n v="0.25"/>
    <n v="0.33333333333333298"/>
    <n v="1"/>
    <x v="5"/>
    <n v="1"/>
    <s v=""/>
    <n v="2"/>
    <s v=""/>
    <s v=""/>
    <s v=""/>
  </r>
  <r>
    <s v="Weiberlist.csv"/>
    <s v="#Wip"/>
    <x v="1"/>
    <s v="unbekannt"/>
    <x v="3"/>
    <x v="13"/>
    <x v="0"/>
    <x v="2"/>
    <x v="3"/>
    <n v="2"/>
    <n v="0.25"/>
    <n v="0.33333333333333298"/>
    <n v="1"/>
    <x v="4"/>
    <n v="1"/>
    <n v="1"/>
    <s v=""/>
    <s v=""/>
    <s v=""/>
    <s v=""/>
  </r>
  <r>
    <s v="Weiberlist.csv"/>
    <s v="#Buhler"/>
    <x v="0"/>
    <s v="unbekannt"/>
    <x v="3"/>
    <x v="4"/>
    <x v="1"/>
    <x v="2"/>
    <x v="3"/>
    <n v="1"/>
    <n v="0.16666666666666699"/>
    <n v="0.30769230769230799"/>
    <n v="0.11111111111111099"/>
    <x v="4"/>
    <n v="1"/>
    <n v="1"/>
    <s v=""/>
    <s v=""/>
    <s v=""/>
    <s v=""/>
  </r>
  <r>
    <s v="Weiberlist.csv"/>
    <s v="#Nah-gebueren"/>
    <x v="2"/>
    <s v="unbekannt"/>
    <x v="3"/>
    <x v="3"/>
    <x v="1"/>
    <x v="2"/>
    <x v="3"/>
    <n v="1"/>
    <n v="0"/>
    <n v="0.25"/>
    <n v="0.22222222222222199"/>
    <x v="3"/>
    <n v="1"/>
    <s v=""/>
    <s v=""/>
    <s v=""/>
    <s v=""/>
    <s v=""/>
  </r>
  <r>
    <s v="Weiberlist.csv"/>
    <s v="#Vuegerinne"/>
    <x v="1"/>
    <s v="buergerlich:kupplerin"/>
    <x v="2"/>
    <x v="6"/>
    <x v="1"/>
    <x v="3"/>
    <x v="3"/>
    <n v="1"/>
    <n v="0"/>
    <n v="0.12903225806451599"/>
    <n v="0.77777777777777801"/>
    <x v="6"/>
    <n v="1"/>
    <s v=""/>
    <s v=""/>
    <s v=""/>
    <s v=""/>
    <s v=""/>
  </r>
  <r>
    <s v="Zwei_Kaufmaenner_und_die_treue_Hausfrau.csv"/>
    <s v="#Gillam"/>
    <x v="0"/>
    <s v="buergerlich:kaufmann"/>
    <x v="3"/>
    <x v="8"/>
    <x v="1"/>
    <x v="3"/>
    <x v="3"/>
    <n v="0.57142857142857095"/>
    <n v="3.1135531135531101E-2"/>
    <n v="0.32558139534883701"/>
    <n v="0.156569428317231"/>
    <x v="7"/>
    <n v="1"/>
    <s v=""/>
    <s v=""/>
    <s v=""/>
    <s v=""/>
    <s v=""/>
  </r>
  <r>
    <s v="Zwei_Kaufmaenner_und_die_treue_Hausfrau.csv"/>
    <s v="#Gillot"/>
    <x v="0"/>
    <s v="buergerlich:kaufmann"/>
    <x v="3"/>
    <x v="8"/>
    <x v="1"/>
    <x v="3"/>
    <x v="3"/>
    <n v="0.71428571428571397"/>
    <n v="3.1135531135531101E-2"/>
    <n v="0.32558139534883701"/>
    <n v="0.18408291566361601"/>
    <x v="7"/>
    <n v="1"/>
    <s v=""/>
    <s v=""/>
    <s v=""/>
    <s v=""/>
    <s v=""/>
  </r>
  <r>
    <s v="Zwei_Kaufmaenner_und_die_treue_Hausfrau.csv"/>
    <s v="#Bertram"/>
    <x v="0"/>
    <s v="buergerlich:kaufmann"/>
    <x v="0"/>
    <x v="0"/>
    <x v="0"/>
    <x v="3"/>
    <x v="3"/>
    <n v="1.28571428571429"/>
    <n v="0.55311355311355304"/>
    <n v="0.51851851851851805"/>
    <n v="0.85061628254505495"/>
    <x v="0"/>
    <n v="1"/>
    <s v=""/>
    <s v=""/>
    <s v=""/>
    <s v=""/>
    <s v=""/>
  </r>
  <r>
    <s v="Zwei_Kaufmaenner_und_die_treue_Hausfrau.csv"/>
    <s v="#Irmengart"/>
    <x v="1"/>
    <s v="buergerlich:ehefrau"/>
    <x v="0"/>
    <x v="13"/>
    <x v="0"/>
    <x v="3"/>
    <x v="3"/>
    <n v="1.5714285714285701"/>
    <n v="0.33516483516483497"/>
    <n v="0.42424242424242398"/>
    <n v="1"/>
    <x v="4"/>
    <n v="1"/>
    <n v="1"/>
    <s v=""/>
    <s v=""/>
    <s v=""/>
    <s v=""/>
  </r>
  <r>
    <s v="Zwei_Kaufmaenner_und_die_treue_Hausfrau.csv"/>
    <s v="#Gillots-frau"/>
    <x v="1"/>
    <s v="buergerlich:ehefrau"/>
    <x v="3"/>
    <x v="9"/>
    <x v="1"/>
    <x v="3"/>
    <x v="3"/>
    <n v="0.28571428571428598"/>
    <n v="0"/>
    <n v="0.30434782608695699"/>
    <n v="4.9947428029942301E-2"/>
    <x v="8"/>
    <n v="1"/>
    <s v=""/>
    <s v=""/>
    <s v=""/>
    <s v=""/>
    <s v=""/>
  </r>
  <r>
    <s v="Zwei_Kaufmaenner_und_die_treue_Hausfrau.csv"/>
    <s v="#Hogier"/>
    <x v="0"/>
    <s v="buergerlich:wirt"/>
    <x v="3"/>
    <x v="14"/>
    <x v="0"/>
    <x v="3"/>
    <x v="3"/>
    <n v="1"/>
    <n v="7.1428571428571397E-2"/>
    <n v="0.37837837837837801"/>
    <n v="0.89999606847065805"/>
    <x v="5"/>
    <n v="1"/>
    <s v=""/>
    <n v="2"/>
    <s v=""/>
    <s v=""/>
    <s v=""/>
  </r>
  <r>
    <s v="Zwei_Kaufmaenner_und_die_treue_Hausfrau.csv"/>
    <s v="#Erster"/>
    <x v="0"/>
    <s v="unbekannt"/>
    <x v="3"/>
    <x v="0"/>
    <x v="1"/>
    <x v="2"/>
    <x v="3"/>
    <n v="0.57142857142857095"/>
    <n v="0.29120879120879101"/>
    <n v="0.41176470588235298"/>
    <n v="4.5688951793952E-2"/>
    <x v="0"/>
    <n v="1"/>
    <s v=""/>
    <s v=""/>
    <s v=""/>
    <s v=""/>
    <s v=""/>
  </r>
  <r>
    <s v="Zwei_Kaufmaenner_und_die_treue_Hausfrau.csv"/>
    <s v="#Zweiter"/>
    <x v="0"/>
    <s v="unbekannt"/>
    <x v="3"/>
    <x v="0"/>
    <x v="1"/>
    <x v="2"/>
    <x v="3"/>
    <n v="0.28571428571428598"/>
    <n v="0"/>
    <n v="0.24137931034482801"/>
    <n v="2.4091536982672299E-3"/>
    <x v="0"/>
    <n v="1"/>
    <s v=""/>
    <s v=""/>
    <s v=""/>
    <s v=""/>
    <s v=""/>
  </r>
  <r>
    <s v="Zwei_Kaufmaenner_und_die_treue_Hausfrau.csv"/>
    <s v="#Dritter"/>
    <x v="0"/>
    <s v="unbekannt"/>
    <x v="3"/>
    <x v="0"/>
    <x v="1"/>
    <x v="2"/>
    <x v="3"/>
    <n v="0.28571428571428598"/>
    <n v="7.1428571428571397E-2"/>
    <n v="0.31111111111111101"/>
    <n v="1.25096772830853E-3"/>
    <x v="0"/>
    <n v="1"/>
    <s v=""/>
    <s v=""/>
    <s v=""/>
    <s v=""/>
    <s v=""/>
  </r>
  <r>
    <s v="Zwei_Kaufmaenner_und_die_treue_Hausfrau.csv"/>
    <s v="#Bote"/>
    <x v="0"/>
    <s v="unbekannt"/>
    <x v="3"/>
    <x v="15"/>
    <x v="1"/>
    <x v="2"/>
    <x v="3"/>
    <n v="0.42857142857142899"/>
    <n v="0.305860805860806"/>
    <n v="0.46666666666666701"/>
    <n v="7.1539767502156806E-2"/>
    <x v="12"/>
    <n v="1"/>
    <s v=""/>
    <s v=""/>
    <s v=""/>
    <s v=""/>
    <s v=""/>
  </r>
  <r>
    <s v="Zwei_Kaufmaenner_und_die_treue_Hausfrau.csv"/>
    <s v="#Vriunde"/>
    <x v="2"/>
    <s v="unbekannt"/>
    <x v="3"/>
    <x v="3"/>
    <x v="1"/>
    <x v="2"/>
    <x v="3"/>
    <n v="0.57142857142857095"/>
    <n v="0"/>
    <n v="0.35897435897435898"/>
    <n v="0.228192975816009"/>
    <x v="3"/>
    <n v="1"/>
    <s v=""/>
    <s v=""/>
    <s v=""/>
    <s v=""/>
    <s v=""/>
  </r>
  <r>
    <s v="Zwei_Kaufmaenner_und_die_treue_Hausfrau.csv"/>
    <s v="#Gesinde"/>
    <x v="2"/>
    <s v="buergerlich:gesinde"/>
    <x v="3"/>
    <x v="3"/>
    <x v="1"/>
    <x v="3"/>
    <x v="3"/>
    <n v="0.57142857142857095"/>
    <n v="0"/>
    <n v="0.35897435897435898"/>
    <n v="0.223122903254032"/>
    <x v="3"/>
    <n v="1"/>
    <s v=""/>
    <s v=""/>
    <s v=""/>
    <s v=""/>
    <s v=""/>
  </r>
  <r>
    <s v="Zwei_Kaufmaenner_und_die_treue_Hausfrau.csv"/>
    <s v="#Dirn-Amelin"/>
    <x v="1"/>
    <s v="buergerlich:magd"/>
    <x v="3"/>
    <x v="6"/>
    <x v="1"/>
    <x v="3"/>
    <x v="3"/>
    <n v="0.42857142857142899"/>
    <n v="0"/>
    <n v="0.35"/>
    <n v="0.55529958825589698"/>
    <x v="6"/>
    <n v="1"/>
    <s v=""/>
    <s v=""/>
    <s v=""/>
    <s v=""/>
    <s v=""/>
  </r>
  <r>
    <s v="Zwei_Kaufmaenner_und_die_treue_Hausfrau.csv"/>
    <s v="#Muomen-von-Irmegart"/>
    <x v="1"/>
    <s v="buergerlich:mume"/>
    <x v="3"/>
    <x v="3"/>
    <x v="1"/>
    <x v="3"/>
    <x v="3"/>
    <n v="0.28571428571428598"/>
    <n v="4.7619047619047603E-2"/>
    <n v="0.31818181818181801"/>
    <n v="3.0796421189111099E-2"/>
    <x v="3"/>
    <n v="1"/>
    <s v=""/>
    <s v=""/>
    <s v=""/>
    <s v=""/>
    <s v=""/>
  </r>
  <r>
    <s v="Zwei_Kaufmaenner_und_die_treue_Hausfrau.csv"/>
    <s v="#Gillams-vrouwe"/>
    <x v="1"/>
    <s v="buergerlich:ehefrau"/>
    <x v="3"/>
    <x v="1"/>
    <x v="1"/>
    <x v="3"/>
    <x v="3"/>
    <n v="0.28571428571428598"/>
    <n v="4.7619047619047603E-2"/>
    <n v="0.31818181818181801"/>
    <n v="3.0080831990507002E-2"/>
    <x v="1"/>
    <n v="1"/>
    <s v=""/>
    <s v=""/>
    <s v=""/>
    <s v=""/>
    <s v=""/>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7">
  <r>
    <s v="Adam_und_Eva.csv"/>
    <s v="#Adam"/>
    <x v="0"/>
    <s v="NA"/>
    <x v="0"/>
    <s v="ehemann"/>
    <x v="0"/>
    <x v="0"/>
    <x v="0"/>
    <n v="0"/>
    <n v="0"/>
    <n v="0"/>
    <n v="0"/>
    <x v="0"/>
    <x v="0"/>
    <s v=""/>
    <s v=""/>
    <s v=""/>
    <s v=""/>
    <s v=""/>
  </r>
  <r>
    <s v="Adam_und_Eva.csv"/>
    <s v="#Eva"/>
    <x v="1"/>
    <s v="NA"/>
    <x v="0"/>
    <s v="ehefrau"/>
    <x v="0"/>
    <x v="0"/>
    <x v="0"/>
    <n v="0"/>
    <n v="0"/>
    <n v="0"/>
    <n v="0"/>
    <x v="1"/>
    <x v="0"/>
    <s v=""/>
    <s v=""/>
    <s v=""/>
    <s v=""/>
    <s v=""/>
  </r>
  <r>
    <s v="Adam_und_Eva.csv"/>
    <s v="#Kain"/>
    <x v="0"/>
    <s v="NA"/>
    <x v="1"/>
    <s v="kind"/>
    <x v="1"/>
    <x v="0"/>
    <x v="0"/>
    <n v="0"/>
    <n v="0"/>
    <n v="0"/>
    <n v="0"/>
    <x v="2"/>
    <x v="0"/>
    <s v=""/>
    <s v=""/>
    <s v=""/>
    <s v=""/>
    <s v=""/>
  </r>
  <r>
    <s v="Alten_Weibes_List.csv"/>
    <s v="#Morolf"/>
    <x v="0"/>
    <s v="adel:koenig"/>
    <x v="2"/>
    <s v="unbekannt"/>
    <x v="1"/>
    <x v="1"/>
    <x v="1"/>
    <n v="0.44444444444444398"/>
    <n v="0.22222222222222199"/>
    <n v="0.40909090909090901"/>
    <n v="3.83871767284353E-2"/>
    <x v="3"/>
    <x v="1"/>
    <s v=""/>
    <s v=""/>
    <s v=""/>
    <s v=""/>
    <s v=""/>
  </r>
  <r>
    <s v="Alten_Weibes_List.csv"/>
    <s v="#Ein-Jude"/>
    <x v="0"/>
    <s v="unbekannt"/>
    <x v="2"/>
    <s v="unbekannt"/>
    <x v="1"/>
    <x v="2"/>
    <x v="1"/>
    <n v="0.22222222222222199"/>
    <n v="0"/>
    <n v="0.3"/>
    <n v="1.47141028894164E-3"/>
    <x v="3"/>
    <x v="1"/>
    <s v=""/>
    <s v=""/>
    <s v=""/>
    <s v=""/>
    <s v=""/>
  </r>
  <r>
    <s v="Alten_Weibes_List.csv"/>
    <s v="#Frau-Mez-die-Kouflerin"/>
    <x v="1"/>
    <s v="buergerlich:unbekannt"/>
    <x v="2"/>
    <s v="betrueger"/>
    <x v="0"/>
    <x v="3"/>
    <x v="1"/>
    <n v="1.7777777777777799"/>
    <n v="0.72222222222222199"/>
    <n v="0.5625"/>
    <n v="1"/>
    <x v="4"/>
    <x v="1"/>
    <n v="1"/>
    <s v=""/>
    <s v=""/>
    <s v=""/>
    <s v=""/>
  </r>
  <r>
    <s v="Alten_Weibes_List.csv"/>
    <s v="#Kor-herren-viere"/>
    <x v="2"/>
    <s v="klerus:chor"/>
    <x v="3"/>
    <s v="unbekannt"/>
    <x v="1"/>
    <x v="4"/>
    <x v="1"/>
    <n v="0.88888888888888895"/>
    <n v="0"/>
    <n v="0.34615384615384598"/>
    <n v="0.183761782169198"/>
    <x v="3"/>
    <x v="1"/>
    <s v=""/>
    <s v=""/>
    <s v=""/>
    <s v=""/>
    <s v=""/>
  </r>
  <r>
    <s v="Alten_Weibes_List.csv"/>
    <s v="#Heinrich"/>
    <x v="0"/>
    <s v="klerus:domprobst"/>
    <x v="0"/>
    <s v="unbekannt"/>
    <x v="0"/>
    <x v="4"/>
    <x v="1"/>
    <n v="1.1111111111111101"/>
    <n v="0"/>
    <n v="0.28125"/>
    <n v="0.72175853524477496"/>
    <x v="3"/>
    <x v="1"/>
    <s v=""/>
    <s v=""/>
    <s v=""/>
    <s v=""/>
    <s v=""/>
  </r>
  <r>
    <s v="Alten_Weibes_List.csv"/>
    <s v="#Wip"/>
    <x v="1"/>
    <s v="buergerlich:ehefrau"/>
    <x v="0"/>
    <s v="ehefrau/betrogener"/>
    <x v="0"/>
    <x v="3"/>
    <x v="1"/>
    <n v="1.1111111111111101"/>
    <n v="0"/>
    <n v="0.31034482758620702"/>
    <n v="0.81643093382051901"/>
    <x v="5"/>
    <x v="1"/>
    <s v=""/>
    <n v="2"/>
    <s v=""/>
    <s v=""/>
    <s v=""/>
  </r>
  <r>
    <s v="Alten_Weibes_List.csv"/>
    <s v="#Einer-krame"/>
    <x v="1"/>
    <s v="buergerlich:kraemer"/>
    <x v="3"/>
    <s v="unbekannt"/>
    <x v="1"/>
    <x v="3"/>
    <x v="1"/>
    <n v="0.44444444444444398"/>
    <n v="0.16666666666666699"/>
    <n v="0.40909090909090901"/>
    <n v="6.9625208024108598E-2"/>
    <x v="3"/>
    <x v="1"/>
    <s v=""/>
    <s v=""/>
    <s v=""/>
    <s v=""/>
    <s v=""/>
  </r>
  <r>
    <s v="Alten_Weibes_List.csv"/>
    <s v="#Dienst-magt"/>
    <x v="1"/>
    <s v="buergerlich:magd"/>
    <x v="0"/>
    <s v="helfer"/>
    <x v="1"/>
    <x v="3"/>
    <x v="1"/>
    <n v="0.44444444444444398"/>
    <n v="0"/>
    <n v="0.28125"/>
    <n v="0.20183927923720699"/>
    <x v="6"/>
    <x v="1"/>
    <s v=""/>
    <s v=""/>
    <s v=""/>
    <s v=""/>
    <s v=""/>
  </r>
  <r>
    <s v="Alten_Weibes_List.csv"/>
    <s v="#Schreiber"/>
    <x v="0"/>
    <s v="klerus:schreiber"/>
    <x v="3"/>
    <s v="helfer"/>
    <x v="1"/>
    <x v="4"/>
    <x v="1"/>
    <n v="0.88888888888888895"/>
    <n v="0.29166666666666702"/>
    <n v="0.47368421052631599"/>
    <n v="0.12246457943637699"/>
    <x v="6"/>
    <x v="1"/>
    <s v=""/>
    <s v=""/>
    <s v=""/>
    <s v=""/>
    <s v=""/>
  </r>
  <r>
    <s v="Alten_Weibes_List.csv"/>
    <s v="#Der-vrouwen-eman"/>
    <x v="0"/>
    <s v="buergerlich:burger"/>
    <x v="0"/>
    <s v="ehemann/betrogener"/>
    <x v="0"/>
    <x v="3"/>
    <x v="1"/>
    <n v="1.1111111111111101"/>
    <n v="2.7777777777777801E-2"/>
    <n v="0.375"/>
    <n v="0.383900632830871"/>
    <x v="5"/>
    <x v="1"/>
    <s v=""/>
    <n v="2"/>
    <s v=""/>
    <s v=""/>
    <s v=""/>
  </r>
  <r>
    <s v="Aristoteles_und_Phyllis.csv"/>
    <s v="#Fillipus"/>
    <x v="0"/>
    <s v="adel:koenig"/>
    <x v="2"/>
    <s v="vater"/>
    <x v="1"/>
    <x v="1"/>
    <x v="2"/>
    <n v="1.6"/>
    <n v="0"/>
    <n v="0.27777777777777801"/>
    <n v="0.45186423914524898"/>
    <x v="7"/>
    <x v="2"/>
    <s v=""/>
    <s v=""/>
    <s v=""/>
    <s v=""/>
    <s v=""/>
  </r>
  <r>
    <s v="Aristoteles_und_Phyllis.csv"/>
    <s v="#Frau-Koenigin"/>
    <x v="1"/>
    <s v="adel:koenigin"/>
    <x v="2"/>
    <s v="mutter"/>
    <x v="1"/>
    <x v="1"/>
    <x v="2"/>
    <n v="2"/>
    <n v="0.4"/>
    <n v="0.35714285714285698"/>
    <n v="0.40780303044572702"/>
    <x v="8"/>
    <x v="2"/>
    <s v=""/>
    <s v=""/>
    <s v=""/>
    <s v=""/>
    <s v=""/>
  </r>
  <r>
    <s v="Aristoteles_und_Phyllis.csv"/>
    <s v="#Alexander"/>
    <x v="0"/>
    <s v="adel:koenigssohn"/>
    <x v="0"/>
    <s v="liebender"/>
    <x v="0"/>
    <x v="1"/>
    <x v="2"/>
    <n v="2"/>
    <n v="0.1"/>
    <n v="0.33333333333333298"/>
    <n v="0.68260571356004196"/>
    <x v="9"/>
    <x v="2"/>
    <s v=""/>
    <s v=""/>
    <n v="3"/>
    <s v=""/>
    <s v=""/>
  </r>
  <r>
    <s v="Aristoteles_und_Phyllis.csv"/>
    <s v="#Aristoteles"/>
    <x v="0"/>
    <s v="buergerlich:gelehrter"/>
    <x v="2"/>
    <s v="gegenspieler"/>
    <x v="0"/>
    <x v="3"/>
    <x v="2"/>
    <n v="1.6"/>
    <n v="0"/>
    <n v="0.22727272727272699"/>
    <n v="0.92457227880880199"/>
    <x v="10"/>
    <x v="2"/>
    <s v=""/>
    <s v=""/>
    <s v=""/>
    <s v=""/>
    <n v="5"/>
  </r>
  <r>
    <s v="Aristoteles_und_Phyllis.csv"/>
    <s v="#Fillis"/>
    <x v="1"/>
    <s v="adel:hofstaat"/>
    <x v="0"/>
    <s v="liebende"/>
    <x v="0"/>
    <x v="1"/>
    <x v="2"/>
    <n v="2"/>
    <n v="0"/>
    <n v="0.27777777777777801"/>
    <n v="1"/>
    <x v="11"/>
    <x v="2"/>
    <s v=""/>
    <s v=""/>
    <s v=""/>
    <n v="4"/>
    <s v=""/>
  </r>
  <r>
    <s v="Aristoteles_und_Phyllis.csv"/>
    <s v="#Der-Koeniginnen-Jungfrauen"/>
    <x v="2"/>
    <s v="adel:hofstaat"/>
    <x v="0"/>
    <s v="unbekannt"/>
    <x v="1"/>
    <x v="1"/>
    <x v="2"/>
    <n v="1.2"/>
    <n v="0.4"/>
    <n v="0.38461538461538503"/>
    <n v="0.12404363187041401"/>
    <x v="3"/>
    <x v="2"/>
    <s v=""/>
    <s v=""/>
    <s v=""/>
    <s v=""/>
    <s v=""/>
  </r>
  <r>
    <s v="Berchta_mit_der_langen_Nase.csv"/>
    <s v="#Vater"/>
    <x v="0"/>
    <s v="unbekannt"/>
    <x v="3"/>
    <s v="ehemann/betrogener"/>
    <x v="0"/>
    <x v="2"/>
    <x v="3"/>
    <n v="2"/>
    <n v="0.66666666666666696"/>
    <n v="0.75"/>
    <n v="1"/>
    <x v="5"/>
    <x v="1"/>
    <s v=""/>
    <n v="2"/>
    <s v=""/>
    <s v=""/>
    <s v=""/>
  </r>
  <r>
    <s v="Berchta_mit_der_langen_Nase.csv"/>
    <s v="#Gesinde"/>
    <x v="2"/>
    <s v="unbekannt"/>
    <x v="3"/>
    <s v="unbekannt"/>
    <x v="1"/>
    <x v="2"/>
    <x v="3"/>
    <n v="1.3333333333333299"/>
    <n v="0.66666666666666696"/>
    <n v="0.75"/>
    <n v="0.53216822606869996"/>
    <x v="3"/>
    <x v="1"/>
    <s v=""/>
    <s v=""/>
    <s v=""/>
    <s v=""/>
    <s v=""/>
  </r>
  <r>
    <s v="Berchta_mit_der_langen_Nase.csv"/>
    <s v="#Kinde"/>
    <x v="3"/>
    <s v="unbekannt"/>
    <x v="1"/>
    <s v="helfer"/>
    <x v="0"/>
    <x v="2"/>
    <x v="3"/>
    <n v="1.3333333333333299"/>
    <n v="0"/>
    <n v="0.5"/>
    <n v="0.95935180783908602"/>
    <x v="6"/>
    <x v="1"/>
    <s v=""/>
    <s v=""/>
    <s v=""/>
    <s v=""/>
    <s v=""/>
  </r>
  <r>
    <s v="Berchta_mit_der_langen_Nase.csv"/>
    <s v="#Muoter"/>
    <x v="1"/>
    <s v="unbekannt"/>
    <x v="3"/>
    <s v="ehefrau/betrueger"/>
    <x v="1"/>
    <x v="2"/>
    <x v="3"/>
    <n v="0.66666666666666696"/>
    <n v="0"/>
    <n v="0.5"/>
    <n v="0.27160422336589701"/>
    <x v="4"/>
    <x v="1"/>
    <n v="1"/>
    <s v=""/>
    <s v=""/>
    <s v=""/>
    <s v=""/>
  </r>
  <r>
    <s v="Das_Auge.csv"/>
    <s v="#Herre"/>
    <x v="0"/>
    <s v="adel:ritter"/>
    <x v="0"/>
    <s v="ehemann"/>
    <x v="0"/>
    <x v="1"/>
    <x v="3"/>
    <n v="2"/>
    <n v="0.16666666666666699"/>
    <n v="0.42857142857142899"/>
    <n v="1"/>
    <x v="0"/>
    <x v="1"/>
    <s v=""/>
    <s v=""/>
    <s v=""/>
    <s v=""/>
    <s v=""/>
  </r>
  <r>
    <s v="Das_Auge.csv"/>
    <s v="#Wip"/>
    <x v="1"/>
    <s v="adel:edelfrau"/>
    <x v="0"/>
    <s v="ehefrau"/>
    <x v="0"/>
    <x v="1"/>
    <x v="3"/>
    <n v="2"/>
    <n v="0.16666666666666699"/>
    <n v="0.42857142857142899"/>
    <n v="1"/>
    <x v="1"/>
    <x v="1"/>
    <s v=""/>
    <s v=""/>
    <s v=""/>
    <s v=""/>
    <s v=""/>
  </r>
  <r>
    <s v="Das_Auge.csv"/>
    <s v="#Ritter"/>
    <x v="0"/>
    <s v="adel:ritter"/>
    <x v="0"/>
    <s v="gegenspieler"/>
    <x v="1"/>
    <x v="1"/>
    <x v="3"/>
    <n v="1.3333333333333299"/>
    <n v="0.33333333333333298"/>
    <n v="0.42857142857142899"/>
    <n v="0.12414315171437"/>
    <x v="10"/>
    <x v="1"/>
    <s v=""/>
    <s v=""/>
    <s v=""/>
    <s v=""/>
    <n v="5"/>
  </r>
  <r>
    <s v="Das_Auge.csv"/>
    <s v="#Knappe"/>
    <x v="0"/>
    <s v="adel:knappe"/>
    <x v="0"/>
    <s v="helfer"/>
    <x v="1"/>
    <x v="1"/>
    <x v="3"/>
    <n v="1.3333333333333299"/>
    <n v="0"/>
    <n v="0.230769230769231"/>
    <n v="0.496572606857482"/>
    <x v="6"/>
    <x v="1"/>
    <s v=""/>
    <s v=""/>
    <s v=""/>
    <s v=""/>
    <s v=""/>
  </r>
  <r>
    <s v="Das_Gaenselein.csv"/>
    <s v="#Junger-muenche"/>
    <x v="0"/>
    <s v="klerus:moench"/>
    <x v="0"/>
    <s v="betrogener"/>
    <x v="0"/>
    <x v="4"/>
    <x v="1"/>
    <n v="2"/>
    <n v="0.133333333333333"/>
    <n v="0.35294117647058798"/>
    <n v="1"/>
    <x v="5"/>
    <x v="1"/>
    <s v=""/>
    <n v="2"/>
    <s v=""/>
    <s v=""/>
    <s v=""/>
  </r>
  <r>
    <s v="Das_Gaenselein.csv"/>
    <s v="#Tohter-des-wirts"/>
    <x v="1"/>
    <s v="buergerlich:tochter"/>
    <x v="3"/>
    <s v="betrueger"/>
    <x v="1"/>
    <x v="3"/>
    <x v="1"/>
    <n v="1.6666666666666701"/>
    <n v="0.133333333333333"/>
    <n v="0.3"/>
    <n v="0.76059425267780501"/>
    <x v="4"/>
    <x v="1"/>
    <n v="1"/>
    <s v=""/>
    <s v=""/>
    <s v=""/>
    <s v=""/>
  </r>
  <r>
    <s v="Das_Gaenselein.csv"/>
    <s v="#Moenche-des-klosters"/>
    <x v="2"/>
    <s v="klerus:moench"/>
    <x v="3"/>
    <s v="unbekannt"/>
    <x v="1"/>
    <x v="4"/>
    <x v="1"/>
    <n v="1"/>
    <n v="0.2"/>
    <n v="0.31578947368421101"/>
    <n v="0.22858569381341701"/>
    <x v="3"/>
    <x v="1"/>
    <s v=""/>
    <s v=""/>
    <s v=""/>
    <s v=""/>
    <s v=""/>
  </r>
  <r>
    <s v="Das_Gaenselein.csv"/>
    <s v="#Apte"/>
    <x v="0"/>
    <s v="klerus:abt"/>
    <x v="2"/>
    <s v="betrueger"/>
    <x v="0"/>
    <x v="4"/>
    <x v="1"/>
    <n v="2"/>
    <n v="0.133333333333333"/>
    <n v="0.35294117647058798"/>
    <n v="0.89915266055836895"/>
    <x v="4"/>
    <x v="1"/>
    <n v="1"/>
    <s v=""/>
    <s v=""/>
    <s v=""/>
    <s v=""/>
  </r>
  <r>
    <s v="Das_Gaenselein.csv"/>
    <s v="#Wirt"/>
    <x v="0"/>
    <s v="buergerlich:wirt"/>
    <x v="3"/>
    <s v="unbekannt"/>
    <x v="1"/>
    <x v="3"/>
    <x v="1"/>
    <n v="1.3333333333333299"/>
    <n v="0"/>
    <n v="0.28571428571428598"/>
    <n v="0.36009806601030497"/>
    <x v="3"/>
    <x v="1"/>
    <s v=""/>
    <s v=""/>
    <s v=""/>
    <s v=""/>
    <s v=""/>
  </r>
  <r>
    <s v="Das_Gaenselein.csv"/>
    <s v="#Wip-des-wirts"/>
    <x v="1"/>
    <s v="buergerlich:wirt"/>
    <x v="3"/>
    <s v="unbekannt"/>
    <x v="1"/>
    <x v="3"/>
    <x v="1"/>
    <n v="1.3333333333333299"/>
    <n v="0.1"/>
    <n v="0.33333333333333298"/>
    <n v="0.29517468699158"/>
    <x v="3"/>
    <x v="1"/>
    <s v=""/>
    <s v=""/>
    <s v=""/>
    <s v=""/>
    <s v=""/>
  </r>
  <r>
    <s v="Das_Gaenselein.csv"/>
    <s v="#Ein-moench"/>
    <x v="0"/>
    <s v="klerus:moench"/>
    <x v="3"/>
    <s v="bote"/>
    <x v="1"/>
    <x v="4"/>
    <x v="1"/>
    <n v="0.66666666666666696"/>
    <n v="6.6666666666666693E-2"/>
    <n v="0.3"/>
    <n v="6.7221371524696302E-2"/>
    <x v="12"/>
    <x v="1"/>
    <s v=""/>
    <s v=""/>
    <s v=""/>
    <s v=""/>
    <s v=""/>
  </r>
  <r>
    <s v="Das_Haeselein.csv"/>
    <s v="#Ritter"/>
    <x v="0"/>
    <s v="adel:ritter"/>
    <x v="3"/>
    <s v="betrueger"/>
    <x v="0"/>
    <x v="1"/>
    <x v="2"/>
    <n v="2"/>
    <n v="0.33333333333333298"/>
    <n v="0.33333333333333298"/>
    <n v="1"/>
    <x v="4"/>
    <x v="1"/>
    <n v="1"/>
    <s v=""/>
    <s v=""/>
    <s v=""/>
    <s v=""/>
  </r>
  <r>
    <s v="Das_Haeselein.csv"/>
    <s v="#Maget"/>
    <x v="1"/>
    <s v="unbekannt"/>
    <x v="3"/>
    <s v="unbekannt"/>
    <x v="1"/>
    <x v="2"/>
    <x v="2"/>
    <n v="0.33333333333333298"/>
    <n v="0"/>
    <n v="0.26086956521739102"/>
    <n v="3.2961247936630897E-2"/>
    <x v="3"/>
    <x v="1"/>
    <s v=""/>
    <s v=""/>
    <s v=""/>
    <s v=""/>
    <s v=""/>
  </r>
  <r>
    <s v="Das_Haeselein.csv"/>
    <s v="#Junk-vroeuwelin"/>
    <x v="1"/>
    <s v="buergerlich:unbekannt"/>
    <x v="1"/>
    <s v="betrogener"/>
    <x v="0"/>
    <x v="3"/>
    <x v="2"/>
    <n v="1.6666666666666701"/>
    <n v="0.2"/>
    <n v="0.33333333333333298"/>
    <n v="0.95840764446238103"/>
    <x v="5"/>
    <x v="1"/>
    <s v=""/>
    <n v="2"/>
    <s v=""/>
    <s v=""/>
    <s v=""/>
  </r>
  <r>
    <s v="Das_Haeselein.csv"/>
    <s v="#Muoter-des-kints"/>
    <x v="1"/>
    <s v="buergerlich:unbekannt"/>
    <x v="3"/>
    <s v="mutter"/>
    <x v="1"/>
    <x v="3"/>
    <x v="2"/>
    <n v="0.66666666666666696"/>
    <n v="0"/>
    <n v="0.12765957446808501"/>
    <n v="0.45186091951082602"/>
    <x v="8"/>
    <x v="1"/>
    <s v=""/>
    <s v=""/>
    <s v=""/>
    <s v=""/>
    <s v=""/>
  </r>
  <r>
    <s v="Das_Haeselein.csv"/>
    <s v="#Zukuenftiges-wip-des-ritters"/>
    <x v="1"/>
    <s v="adel:edelfrau"/>
    <x v="0"/>
    <s v="unbekannt"/>
    <x v="1"/>
    <x v="1"/>
    <x v="2"/>
    <n v="1.3333333333333299"/>
    <n v="0"/>
    <n v="0.28571428571428598"/>
    <n v="0.33873234180956802"/>
    <x v="3"/>
    <x v="1"/>
    <s v=""/>
    <s v=""/>
    <s v=""/>
    <s v=""/>
    <s v=""/>
  </r>
  <r>
    <s v="Das_Haeselein.csv"/>
    <s v="#Kappelan"/>
    <x v="0"/>
    <s v="klerus:kaplan"/>
    <x v="3"/>
    <s v="unbekannt"/>
    <x v="1"/>
    <x v="4"/>
    <x v="2"/>
    <n v="1.3333333333333299"/>
    <n v="6.6666666666666693E-2"/>
    <n v="0.35294117647058798"/>
    <n v="0.123559287013149"/>
    <x v="3"/>
    <x v="1"/>
    <s v=""/>
    <s v=""/>
    <s v=""/>
    <s v=""/>
    <s v=""/>
  </r>
  <r>
    <s v="Das_Haeselein.csv"/>
    <s v="#Vriunde-des-ritters"/>
    <x v="2"/>
    <s v="unbekannt"/>
    <x v="3"/>
    <s v="unbekannt"/>
    <x v="1"/>
    <x v="2"/>
    <x v="2"/>
    <n v="1.3333333333333299"/>
    <n v="0.3"/>
    <n v="0.375"/>
    <n v="0.112750516863404"/>
    <x v="3"/>
    <x v="1"/>
    <s v=""/>
    <s v=""/>
    <s v=""/>
    <s v=""/>
    <s v=""/>
  </r>
  <r>
    <s v="Das_heiße_Eisen.csv"/>
    <s v="#Wip"/>
    <x v="1"/>
    <s v="unbekannt"/>
    <x v="3"/>
    <s v="ehefrau"/>
    <x v="0"/>
    <x v="2"/>
    <x v="3"/>
    <n v="0"/>
    <n v="0"/>
    <n v="0"/>
    <n v="0"/>
    <x v="1"/>
    <x v="1"/>
    <s v=""/>
    <s v=""/>
    <s v=""/>
    <s v=""/>
    <s v=""/>
  </r>
  <r>
    <s v="Das_heiße_Eisen.csv"/>
    <s v="#Man"/>
    <x v="0"/>
    <s v="unbekannt"/>
    <x v="3"/>
    <s v="ehemann"/>
    <x v="0"/>
    <x v="2"/>
    <x v="3"/>
    <n v="0"/>
    <n v="0"/>
    <n v="0"/>
    <n v="0"/>
    <x v="0"/>
    <x v="1"/>
    <s v=""/>
    <s v=""/>
    <s v=""/>
    <s v=""/>
    <s v=""/>
  </r>
  <r>
    <s v="Das_Herz.csv"/>
    <s v="#Ritter"/>
    <x v="0"/>
    <s v="adel:ritter"/>
    <x v="0"/>
    <s v="betrueger"/>
    <x v="0"/>
    <x v="1"/>
    <x v="3"/>
    <n v="1.5"/>
    <n v="0"/>
    <n v="0.21052631578947401"/>
    <n v="0.99781134463478205"/>
    <x v="4"/>
    <x v="1"/>
    <n v="1"/>
    <s v=""/>
    <s v=""/>
    <s v=""/>
    <s v=""/>
  </r>
  <r>
    <s v="Das_Herz.csv"/>
    <s v="#Vrouwe"/>
    <x v="1"/>
    <s v="adel:edelfrau"/>
    <x v="0"/>
    <s v="ehefrau/betrueger/betrogener"/>
    <x v="0"/>
    <x v="1"/>
    <x v="3"/>
    <n v="1.5"/>
    <n v="0"/>
    <n v="0.36363636363636398"/>
    <n v="1"/>
    <x v="5"/>
    <x v="1"/>
    <s v=""/>
    <n v="2"/>
    <s v=""/>
    <s v=""/>
    <s v=""/>
  </r>
  <r>
    <s v="Das_Herz.csv"/>
    <s v="#Man"/>
    <x v="0"/>
    <s v="adel:ritter"/>
    <x v="0"/>
    <s v="ehemann/betrueger/betrogener"/>
    <x v="0"/>
    <x v="1"/>
    <x v="3"/>
    <n v="2"/>
    <n v="0"/>
    <n v="0.36363636363636398"/>
    <n v="0.68963517112689299"/>
    <x v="5"/>
    <x v="1"/>
    <s v=""/>
    <n v="2"/>
    <s v=""/>
    <s v=""/>
    <s v=""/>
  </r>
  <r>
    <s v="Das_Herz.csv"/>
    <s v="#Kneht"/>
    <x v="0"/>
    <s v="adel:knecht"/>
    <x v="0"/>
    <s v="bote"/>
    <x v="1"/>
    <x v="1"/>
    <x v="3"/>
    <n v="2"/>
    <n v="0.66666666666666696"/>
    <n v="0.5"/>
    <n v="0.43259919579718198"/>
    <x v="12"/>
    <x v="1"/>
    <s v=""/>
    <s v=""/>
    <s v=""/>
    <s v=""/>
    <s v=""/>
  </r>
  <r>
    <s v="Das_Herz.csv"/>
    <s v="#Koch"/>
    <x v="0"/>
    <s v="buergerlich:koch"/>
    <x v="3"/>
    <s v="helfer"/>
    <x v="1"/>
    <x v="3"/>
    <x v="3"/>
    <n v="1"/>
    <n v="0.33333333333333298"/>
    <n v="0.44444444444444398"/>
    <n v="5.2873165805478697E-2"/>
    <x v="6"/>
    <x v="1"/>
    <s v=""/>
    <s v=""/>
    <s v=""/>
    <s v=""/>
    <s v=""/>
  </r>
  <r>
    <s v="Das_Nonnentunier.csv"/>
    <s v="#Ritter"/>
    <x v="0"/>
    <s v="adel:ritter"/>
    <x v="3"/>
    <s v="helfer"/>
    <x v="1"/>
    <x v="1"/>
    <x v="1"/>
    <n v="0.19047619047618999"/>
    <n v="0"/>
    <n v="0.15217391304347799"/>
    <n v="0.36862561854102799"/>
    <x v="6"/>
    <x v="0"/>
    <s v=""/>
    <s v=""/>
    <s v=""/>
    <s v=""/>
    <s v=""/>
  </r>
  <r>
    <s v="Das_Nonnentunier.csv"/>
    <s v="#Frauwe"/>
    <x v="1"/>
    <s v="unbekannt"/>
    <x v="3"/>
    <s v="helfer"/>
    <x v="1"/>
    <x v="2"/>
    <x v="1"/>
    <n v="0.19047619047618999"/>
    <n v="0"/>
    <n v="0.269230769230769"/>
    <n v="0.24088269569041801"/>
    <x v="6"/>
    <x v="0"/>
    <s v=""/>
    <s v=""/>
    <s v=""/>
    <s v=""/>
    <s v=""/>
  </r>
  <r>
    <s v="Das_Nonnentunier.csv"/>
    <s v="#Zagel"/>
    <x v="4"/>
    <s v="NA"/>
    <x v="4"/>
    <s v="unbekannt"/>
    <x v="0"/>
    <x v="0"/>
    <x v="1"/>
    <n v="1.71428571428571"/>
    <n v="0.57142857142857195"/>
    <n v="0.53846153846153799"/>
    <n v="1"/>
    <x v="3"/>
    <x v="0"/>
    <s v=""/>
    <s v=""/>
    <s v=""/>
    <s v=""/>
    <s v=""/>
  </r>
  <r>
    <s v="Das_Nonnentunier.csv"/>
    <s v="#Nunnen"/>
    <x v="2"/>
    <s v="klerus:nonne"/>
    <x v="3"/>
    <s v="unbekannt"/>
    <x v="0"/>
    <x v="4"/>
    <x v="1"/>
    <n v="1.1428571428571399"/>
    <n v="0.24960317460317499"/>
    <n v="0.4375"/>
    <n v="0.81779060142865101"/>
    <x v="3"/>
    <x v="0"/>
    <s v=""/>
    <s v=""/>
    <s v=""/>
    <s v=""/>
    <s v=""/>
  </r>
  <r>
    <s v="Das_Nonnentunier.csv"/>
    <s v="#Eine-nunne4"/>
    <x v="1"/>
    <s v="klerus:nonne"/>
    <x v="3"/>
    <s v="unbekannt"/>
    <x v="1"/>
    <x v="4"/>
    <x v="1"/>
    <n v="0.38095238095238099"/>
    <n v="2.5000000000000001E-2"/>
    <n v="0.41176470588235298"/>
    <n v="0.17153346696921101"/>
    <x v="3"/>
    <x v="0"/>
    <s v=""/>
    <s v=""/>
    <s v=""/>
    <s v=""/>
    <s v=""/>
  </r>
  <r>
    <s v="Das_Nonnentunier.csv"/>
    <s v="#Ein-nunne2"/>
    <x v="1"/>
    <s v="klerus:nonne"/>
    <x v="3"/>
    <s v="unbekannt"/>
    <x v="1"/>
    <x v="4"/>
    <x v="1"/>
    <n v="9.5238095238095205E-2"/>
    <n v="0"/>
    <n v="0.308823529411765"/>
    <n v="4.6771871787378599E-2"/>
    <x v="3"/>
    <x v="0"/>
    <s v=""/>
    <s v=""/>
    <s v=""/>
    <s v=""/>
    <s v=""/>
  </r>
  <r>
    <s v="Das_Nonnentunier.csv"/>
    <s v="#Ein-scharpfe-nunne"/>
    <x v="1"/>
    <s v="klerus:nonne"/>
    <x v="3"/>
    <s v="unbekannt"/>
    <x v="1"/>
    <x v="4"/>
    <x v="1"/>
    <n v="0.28571428571428598"/>
    <n v="2.6190476190476202E-2"/>
    <n v="0.42"/>
    <n v="0.11027159999845899"/>
    <x v="3"/>
    <x v="0"/>
    <s v=""/>
    <s v=""/>
    <s v=""/>
    <s v=""/>
    <s v=""/>
  </r>
  <r>
    <s v="Das_Nonnentunier.csv"/>
    <s v="#Ein-zarte-nunne"/>
    <x v="1"/>
    <s v="klerus:nonne"/>
    <x v="3"/>
    <s v="unbekannt"/>
    <x v="1"/>
    <x v="4"/>
    <x v="1"/>
    <n v="0.28571428571428598"/>
    <n v="2.6190476190476202E-2"/>
    <n v="0.42"/>
    <n v="0.11027159999845899"/>
    <x v="3"/>
    <x v="0"/>
    <s v=""/>
    <s v=""/>
    <s v=""/>
    <s v=""/>
    <s v=""/>
  </r>
  <r>
    <s v="Das_Nonnentunier.csv"/>
    <s v="#Ein-biederbe-nunne-frum"/>
    <x v="1"/>
    <s v="klerus:nonne"/>
    <x v="3"/>
    <s v="unbekannt"/>
    <x v="1"/>
    <x v="4"/>
    <x v="1"/>
    <n v="0.19047619047618999"/>
    <n v="3.0158730158730201E-2"/>
    <n v="0.36842105263157898"/>
    <n v="6.4154744215901102E-2"/>
    <x v="3"/>
    <x v="0"/>
    <s v=""/>
    <s v=""/>
    <s v=""/>
    <s v=""/>
    <s v=""/>
  </r>
  <r>
    <s v="Das_Nonnentunier.csv"/>
    <s v="#Die-den-segen-las-zu-tische"/>
    <x v="1"/>
    <s v="klerus:nonne"/>
    <x v="3"/>
    <s v="unbekannt"/>
    <x v="1"/>
    <x v="4"/>
    <x v="1"/>
    <n v="0.28571428571428598"/>
    <n v="2.3809523809523799E-3"/>
    <n v="0.28000000000000003"/>
    <n v="0.12172433669804"/>
    <x v="3"/>
    <x v="0"/>
    <s v=""/>
    <s v=""/>
    <s v=""/>
    <s v=""/>
    <s v=""/>
  </r>
  <r>
    <s v="Das_Nonnentunier.csv"/>
    <s v="#Ein-zarte-nunne-frische"/>
    <x v="1"/>
    <s v="klerus:nonne"/>
    <x v="3"/>
    <s v="unbekannt"/>
    <x v="1"/>
    <x v="4"/>
    <x v="1"/>
    <n v="0.19047619047618999"/>
    <n v="3.0158730158730201E-2"/>
    <n v="0.36842105263157898"/>
    <n v="6.4154744215901102E-2"/>
    <x v="3"/>
    <x v="0"/>
    <s v=""/>
    <s v=""/>
    <s v=""/>
    <s v=""/>
    <s v=""/>
  </r>
  <r>
    <s v="Das_Nonnentunier.csv"/>
    <s v="#Kuesterin"/>
    <x v="1"/>
    <s v="klerus:kuesterin"/>
    <x v="3"/>
    <s v="gegner"/>
    <x v="1"/>
    <x v="4"/>
    <x v="1"/>
    <n v="0.57142857142857095"/>
    <n v="6.7857142857142894E-2"/>
    <n v="0.42"/>
    <n v="0.42105361410368097"/>
    <x v="13"/>
    <x v="0"/>
    <s v=""/>
    <s v=""/>
    <s v=""/>
    <s v=""/>
    <s v=""/>
  </r>
  <r>
    <s v="Das_Nonnentunier.csv"/>
    <s v="#Eine-nunne1"/>
    <x v="1"/>
    <s v="klerus:nonne"/>
    <x v="3"/>
    <s v="unbekannt"/>
    <x v="1"/>
    <x v="4"/>
    <x v="1"/>
    <n v="0.57142857142857095"/>
    <n v="0.14285714285714299"/>
    <n v="0.47727272727272702"/>
    <n v="0.20194819966113201"/>
    <x v="3"/>
    <x v="0"/>
    <s v=""/>
    <s v=""/>
    <s v=""/>
    <s v=""/>
    <s v=""/>
  </r>
  <r>
    <s v="Das_Nonnentunier.csv"/>
    <s v="#Aptissinne"/>
    <x v="1"/>
    <s v="klerus:abt"/>
    <x v="3"/>
    <s v="unbekannt"/>
    <x v="1"/>
    <x v="4"/>
    <x v="1"/>
    <n v="0.66666666666666696"/>
    <n v="2.3015873015873E-2"/>
    <n v="0.33333333333333298"/>
    <n v="0.47947159594871502"/>
    <x v="3"/>
    <x v="0"/>
    <s v=""/>
    <s v=""/>
    <s v=""/>
    <s v=""/>
    <s v=""/>
  </r>
  <r>
    <s v="Das_Nonnentunier.csv"/>
    <s v="#Eine-nunne5"/>
    <x v="1"/>
    <s v="klerus:nonne"/>
    <x v="3"/>
    <s v="unbekannt"/>
    <x v="1"/>
    <x v="4"/>
    <x v="1"/>
    <n v="9.5238095238095205E-2"/>
    <n v="0"/>
    <n v="0.308823529411765"/>
    <n v="4.6771871787378599E-2"/>
    <x v="3"/>
    <x v="0"/>
    <s v=""/>
    <s v=""/>
    <s v=""/>
    <s v=""/>
    <s v=""/>
  </r>
  <r>
    <s v="Das_Nonnentunier.csv"/>
    <s v="#Kovent"/>
    <x v="2"/>
    <s v="klerus:nonne"/>
    <x v="3"/>
    <s v="unbekannt"/>
    <x v="1"/>
    <x v="4"/>
    <x v="1"/>
    <n v="0.28571428571428598"/>
    <n v="3.57142857142857E-3"/>
    <n v="0.328125"/>
    <n v="0.23535208348911399"/>
    <x v="3"/>
    <x v="0"/>
    <s v=""/>
    <s v=""/>
    <s v=""/>
    <s v=""/>
    <s v=""/>
  </r>
  <r>
    <s v="Das_Nonnentunier.csv"/>
    <s v="#Eine-nunne3"/>
    <x v="1"/>
    <s v="klerus:nonne"/>
    <x v="3"/>
    <s v="unbekannt"/>
    <x v="1"/>
    <x v="4"/>
    <x v="1"/>
    <n v="0.19047619047618999"/>
    <n v="2.6190476190476202E-2"/>
    <n v="0.41176470588235298"/>
    <n v="0.103964839896415"/>
    <x v="3"/>
    <x v="0"/>
    <s v=""/>
    <s v=""/>
    <s v=""/>
    <s v=""/>
    <s v=""/>
  </r>
  <r>
    <s v="Das_Nonnentunier.csv"/>
    <s v="#Dirnen"/>
    <x v="2"/>
    <s v="klerus:magd"/>
    <x v="3"/>
    <s v="gegner"/>
    <x v="1"/>
    <x v="4"/>
    <x v="1"/>
    <n v="0.28571428571428598"/>
    <n v="0"/>
    <n v="0.33333333333333298"/>
    <n v="0.16167614041103501"/>
    <x v="13"/>
    <x v="0"/>
    <s v=""/>
    <s v=""/>
    <s v=""/>
    <s v=""/>
    <s v=""/>
  </r>
  <r>
    <s v="Das_Nonnentunier.csv"/>
    <s v="#Eine-nunne"/>
    <x v="1"/>
    <s v="klerus:nonne"/>
    <x v="3"/>
    <s v="gegner"/>
    <x v="1"/>
    <x v="4"/>
    <x v="1"/>
    <n v="0.57142857142857095"/>
    <n v="3.2142857142857098E-2"/>
    <n v="0.375"/>
    <n v="0.212178515598762"/>
    <x v="13"/>
    <x v="0"/>
    <s v=""/>
    <s v=""/>
    <s v=""/>
    <s v=""/>
    <s v=""/>
  </r>
  <r>
    <s v="Das_Nonnentunier.csv"/>
    <s v="#Adelheit"/>
    <x v="1"/>
    <s v="klerus:nonne"/>
    <x v="3"/>
    <s v="gegner"/>
    <x v="1"/>
    <x v="4"/>
    <x v="1"/>
    <n v="0.57142857142857095"/>
    <n v="3.2142857142857098E-2"/>
    <n v="0.375"/>
    <n v="0.212178515598762"/>
    <x v="13"/>
    <x v="0"/>
    <s v=""/>
    <s v=""/>
    <s v=""/>
    <s v=""/>
    <s v=""/>
  </r>
  <r>
    <s v="Das_Nonnentunier.csv"/>
    <s v="#Margreth"/>
    <x v="1"/>
    <s v="klerus:nonne"/>
    <x v="3"/>
    <s v="gegner"/>
    <x v="1"/>
    <x v="4"/>
    <x v="1"/>
    <n v="0.38095238095238099"/>
    <n v="3.6904761904761899E-2"/>
    <n v="0.41176470588235298"/>
    <n v="8.6404962527457205E-2"/>
    <x v="13"/>
    <x v="0"/>
    <s v=""/>
    <s v=""/>
    <s v=""/>
    <s v=""/>
    <s v=""/>
  </r>
  <r>
    <s v="Das_Nonnentunier.csv"/>
    <s v="#Ein-alte-nunne"/>
    <x v="1"/>
    <s v="klerus:nonne"/>
    <x v="2"/>
    <s v="gegner"/>
    <x v="1"/>
    <x v="4"/>
    <x v="1"/>
    <n v="0.38095238095238099"/>
    <n v="3.6904761904761899E-2"/>
    <n v="0.41176470588235298"/>
    <n v="8.6404962527457205E-2"/>
    <x v="13"/>
    <x v="0"/>
    <s v=""/>
    <s v=""/>
    <s v=""/>
    <s v=""/>
    <s v=""/>
  </r>
  <r>
    <s v="Das_Raedlein.csv"/>
    <s v="#Burgaere"/>
    <x v="0"/>
    <s v="buergerlich:wirt"/>
    <x v="3"/>
    <s v="ehemann"/>
    <x v="1"/>
    <x v="3"/>
    <x v="2"/>
    <n v="2"/>
    <n v="3.3333333333333298E-2"/>
    <n v="0.625"/>
    <n v="0.168506529429229"/>
    <x v="0"/>
    <x v="1"/>
    <s v=""/>
    <s v=""/>
    <s v=""/>
    <s v=""/>
    <s v=""/>
  </r>
  <r>
    <s v="Das_Raedlein.csv"/>
    <s v="#Vrouwe"/>
    <x v="1"/>
    <s v="buergerlich:ehefrau"/>
    <x v="3"/>
    <s v="ehefrau"/>
    <x v="1"/>
    <x v="3"/>
    <x v="2"/>
    <n v="1.6"/>
    <n v="0"/>
    <n v="0.625"/>
    <n v="0.10730849775602801"/>
    <x v="1"/>
    <x v="1"/>
    <s v=""/>
    <s v=""/>
    <s v=""/>
    <s v=""/>
    <s v=""/>
  </r>
  <r>
    <s v="Das_Raedlein.csv"/>
    <s v="#Schribaerc"/>
    <x v="0"/>
    <s v="buergerlich:schreiber"/>
    <x v="3"/>
    <s v="liebender/betrueger"/>
    <x v="0"/>
    <x v="3"/>
    <x v="2"/>
    <n v="2"/>
    <n v="3.3333333333333298E-2"/>
    <n v="0.625"/>
    <n v="1"/>
    <x v="4"/>
    <x v="1"/>
    <n v="1"/>
    <s v=""/>
    <s v=""/>
    <s v=""/>
    <s v=""/>
  </r>
  <r>
    <s v="Das_Raedlein.csv"/>
    <s v="#Meidin"/>
    <x v="1"/>
    <s v="buergerlich:magd"/>
    <x v="3"/>
    <s v="betrogener"/>
    <x v="0"/>
    <x v="3"/>
    <x v="2"/>
    <n v="2"/>
    <n v="0.133333333333333"/>
    <n v="0.71428571428571397"/>
    <n v="0.99560269402820301"/>
    <x v="5"/>
    <x v="1"/>
    <s v=""/>
    <n v="2"/>
    <s v=""/>
    <s v=""/>
    <s v=""/>
  </r>
  <r>
    <s v="Das_Raedlein.csv"/>
    <s v="#Geste"/>
    <x v="2"/>
    <s v="unbekannt"/>
    <x v="3"/>
    <s v="unbekannt"/>
    <x v="1"/>
    <x v="2"/>
    <x v="2"/>
    <n v="1.6"/>
    <n v="0.233333333333333"/>
    <n v="0.83333333333333304"/>
    <n v="7.1600165582172803E-2"/>
    <x v="3"/>
    <x v="1"/>
    <s v=""/>
    <s v=""/>
    <s v=""/>
    <s v=""/>
    <s v=""/>
  </r>
  <r>
    <s v="Das_Raedlein.csv"/>
    <s v="#Gesinde"/>
    <x v="2"/>
    <s v="unbekannt"/>
    <x v="3"/>
    <s v="unbekannt"/>
    <x v="1"/>
    <x v="2"/>
    <x v="2"/>
    <n v="1.2"/>
    <n v="0.133333333333333"/>
    <n v="0.71428571428571397"/>
    <n v="6.8217561785456099E-2"/>
    <x v="3"/>
    <x v="1"/>
    <s v=""/>
    <s v=""/>
    <s v=""/>
    <s v=""/>
    <s v=""/>
  </r>
  <r>
    <s v="Das_Schneekind.csv"/>
    <s v="#Koufman"/>
    <x v="0"/>
    <s v="buergerlich:kaufmann"/>
    <x v="3"/>
    <s v="ehemann/betrogener"/>
    <x v="0"/>
    <x v="3"/>
    <x v="3"/>
    <n v="2"/>
    <n v="8.3333333333333301E-2"/>
    <n v="0.5"/>
    <n v="1"/>
    <x v="5"/>
    <x v="1"/>
    <s v=""/>
    <n v="2"/>
    <s v=""/>
    <s v=""/>
    <s v=""/>
  </r>
  <r>
    <s v="Das_Schneekind.csv"/>
    <s v="#Wip"/>
    <x v="1"/>
    <s v="buergerlich:ehefrau"/>
    <x v="3"/>
    <s v="ehefrau/betrueger"/>
    <x v="0"/>
    <x v="3"/>
    <x v="3"/>
    <n v="1"/>
    <n v="0"/>
    <n v="0.33333333333333298"/>
    <n v="0.82263730161023896"/>
    <x v="4"/>
    <x v="1"/>
    <n v="1"/>
    <s v=""/>
    <s v=""/>
    <s v=""/>
    <s v=""/>
  </r>
  <r>
    <s v="Das_Schneekind.csv"/>
    <s v="#Schneekind"/>
    <x v="0"/>
    <s v="buergerlich:NA"/>
    <x v="1"/>
    <s v="kind"/>
    <x v="1"/>
    <x v="3"/>
    <x v="3"/>
    <n v="2"/>
    <n v="0.58333333333333304"/>
    <n v="0.66666666666666696"/>
    <n v="0.76761399408651498"/>
    <x v="2"/>
    <x v="1"/>
    <s v=""/>
    <s v=""/>
    <s v=""/>
    <s v=""/>
    <s v=""/>
  </r>
  <r>
    <s v="Das_Schneekind.csv"/>
    <s v="#Knehte"/>
    <x v="0"/>
    <s v="buergerlich:knecht"/>
    <x v="3"/>
    <s v="unbekannt"/>
    <x v="1"/>
    <x v="3"/>
    <x v="3"/>
    <n v="1"/>
    <n v="0.16666666666666699"/>
    <n v="0.57142857142857095"/>
    <n v="0.19297428142401599"/>
    <x v="3"/>
    <x v="1"/>
    <s v=""/>
    <s v=""/>
    <s v=""/>
    <s v=""/>
    <s v=""/>
  </r>
  <r>
    <s v="Das_Schneekind.csv"/>
    <s v="#Fremder-koufman"/>
    <x v="0"/>
    <s v="buergerlich:kaufmann"/>
    <x v="3"/>
    <s v="unbekannt"/>
    <x v="1"/>
    <x v="3"/>
    <x v="3"/>
    <n v="1"/>
    <n v="0.16666666666666699"/>
    <n v="0.57142857142857095"/>
    <n v="0.19297428142401599"/>
    <x v="3"/>
    <x v="1"/>
    <s v=""/>
    <s v=""/>
    <s v=""/>
    <s v=""/>
    <s v=""/>
  </r>
  <r>
    <s v="Das_Schraetel_und_der_Wasserbaer.csv"/>
    <s v="#Schretel"/>
    <x v="4"/>
    <s v="NA"/>
    <x v="4"/>
    <s v="gegenspieler"/>
    <x v="1"/>
    <x v="0"/>
    <x v="1"/>
    <n v="0.85714285714285698"/>
    <n v="4.7619047619047603E-2"/>
    <n v="0.20588235294117599"/>
    <n v="0.65897274749892398"/>
    <x v="10"/>
    <x v="3"/>
    <s v=""/>
    <s v=""/>
    <s v=""/>
    <s v=""/>
    <n v="5"/>
  </r>
  <r>
    <s v="Das_Schraetel_und_der_Wasserbaer.csv"/>
    <s v="#Kuenige-von-Norwegen"/>
    <x v="0"/>
    <s v="adel:koenig"/>
    <x v="3"/>
    <s v="unbekannt"/>
    <x v="1"/>
    <x v="1"/>
    <x v="1"/>
    <n v="0.28571428571428598"/>
    <n v="0"/>
    <n v="0.194444444444444"/>
    <n v="3.1951668996922401E-3"/>
    <x v="3"/>
    <x v="3"/>
    <s v=""/>
    <s v=""/>
    <s v=""/>
    <s v=""/>
    <s v=""/>
  </r>
  <r>
    <s v="Das_Schraetel_und_der_Wasserbaer.csv"/>
    <s v="#Kuenige-von-Tenemarken"/>
    <x v="0"/>
    <s v="adel:koenig"/>
    <x v="3"/>
    <s v="unbekannt"/>
    <x v="1"/>
    <x v="1"/>
    <x v="1"/>
    <n v="0.85714285714285698"/>
    <n v="0.42857142857142899"/>
    <n v="0.233333333333333"/>
    <n v="7.8343427975868102E-2"/>
    <x v="3"/>
    <x v="3"/>
    <s v=""/>
    <s v=""/>
    <s v=""/>
    <s v=""/>
    <s v=""/>
  </r>
  <r>
    <s v="Das_Schraetel_und_der_Wasserbaer.csv"/>
    <s v="#Wazzer-ber"/>
    <x v="5"/>
    <s v="NA"/>
    <x v="4"/>
    <s v="helfer"/>
    <x v="0"/>
    <x v="0"/>
    <x v="1"/>
    <n v="1.1428571428571399"/>
    <n v="0.33333333333333298"/>
    <n v="0.233333333333333"/>
    <n v="1"/>
    <x v="6"/>
    <x v="3"/>
    <s v=""/>
    <s v=""/>
    <s v=""/>
    <s v=""/>
    <s v=""/>
  </r>
  <r>
    <s v="Das_Schraetel_und_der_Wasserbaer.csv"/>
    <s v="#Norman"/>
    <x v="0"/>
    <s v="unbekannt"/>
    <x v="3"/>
    <s v="begleiter"/>
    <x v="0"/>
    <x v="2"/>
    <x v="1"/>
    <n v="1.1428571428571399"/>
    <n v="0.14285714285714299"/>
    <n v="0.20588235294117599"/>
    <n v="0.91773506920194703"/>
    <x v="14"/>
    <x v="3"/>
    <s v=""/>
    <s v=""/>
    <s v=""/>
    <s v=""/>
    <s v=""/>
  </r>
  <r>
    <s v="Das_Schraetel_und_der_Wasserbaer.csv"/>
    <s v="#Wirt"/>
    <x v="0"/>
    <s v="bauer"/>
    <x v="3"/>
    <s v="helfer"/>
    <x v="1"/>
    <x v="5"/>
    <x v="1"/>
    <n v="1.4285714285714299"/>
    <n v="0.476190476190476"/>
    <n v="0.194444444444444"/>
    <n v="0.68087615945596203"/>
    <x v="6"/>
    <x v="3"/>
    <s v=""/>
    <s v=""/>
    <s v=""/>
    <s v=""/>
    <s v=""/>
  </r>
  <r>
    <s v="Das_Schraetel_und_der_Wasserbaer.csv"/>
    <s v="#Wip"/>
    <x v="1"/>
    <s v="bauer"/>
    <x v="3"/>
    <s v="ehefrau"/>
    <x v="1"/>
    <x v="5"/>
    <x v="1"/>
    <n v="0.57142857142857095"/>
    <n v="0"/>
    <n v="0.17073170731707299"/>
    <n v="2.89496115589159E-2"/>
    <x v="1"/>
    <x v="3"/>
    <s v=""/>
    <s v=""/>
    <s v=""/>
    <s v=""/>
    <s v=""/>
  </r>
  <r>
    <s v="Das_Schraetel_und_der_Wasserbaer.csv"/>
    <s v="#Kint"/>
    <x v="2"/>
    <s v="bauer"/>
    <x v="1"/>
    <s v="kind"/>
    <x v="1"/>
    <x v="5"/>
    <x v="1"/>
    <n v="0.57142857142857095"/>
    <n v="0"/>
    <n v="0.17073170731707299"/>
    <n v="2.8949611558916E-2"/>
    <x v="2"/>
    <x v="3"/>
    <s v=""/>
    <s v=""/>
    <s v=""/>
    <s v=""/>
    <s v=""/>
  </r>
  <r>
    <s v="Das_warme_Almosen.csv"/>
    <s v="#Man"/>
    <x v="0"/>
    <s v="unbekannt"/>
    <x v="3"/>
    <s v="ehemann"/>
    <x v="0"/>
    <x v="2"/>
    <x v="3"/>
    <n v="0"/>
    <n v="0"/>
    <n v="0"/>
    <n v="0"/>
    <x v="0"/>
    <x v="1"/>
    <s v=""/>
    <s v=""/>
    <s v=""/>
    <s v=""/>
    <s v=""/>
  </r>
  <r>
    <s v="Das_warme_Almosen.csv"/>
    <s v="#Wip"/>
    <x v="1"/>
    <s v="unbekannt"/>
    <x v="3"/>
    <s v="ehemann"/>
    <x v="0"/>
    <x v="2"/>
    <x v="3"/>
    <n v="0"/>
    <n v="0"/>
    <n v="0"/>
    <n v="0"/>
    <x v="0"/>
    <x v="1"/>
    <s v=""/>
    <s v=""/>
    <s v=""/>
    <s v=""/>
    <s v=""/>
  </r>
  <r>
    <s v="Das_warme_Almosen.csv"/>
    <s v="#Armer-man"/>
    <x v="0"/>
    <s v="unbekannt"/>
    <x v="3"/>
    <s v="helfer"/>
    <x v="0"/>
    <x v="2"/>
    <x v="3"/>
    <n v="0"/>
    <n v="0"/>
    <n v="0"/>
    <n v="0"/>
    <x v="6"/>
    <x v="1"/>
    <s v=""/>
    <s v=""/>
    <s v=""/>
    <s v=""/>
    <s v=""/>
  </r>
  <r>
    <s v="Der_begrabene_Ehemann.csv"/>
    <s v="#Wip"/>
    <x v="1"/>
    <s v="unbekannt"/>
    <x v="3"/>
    <s v="ehefrau/betrueger"/>
    <x v="0"/>
    <x v="2"/>
    <x v="3"/>
    <n v="0"/>
    <n v="0"/>
    <n v="0"/>
    <n v="0"/>
    <x v="4"/>
    <x v="1"/>
    <n v="1"/>
    <s v=""/>
    <s v=""/>
    <s v=""/>
    <s v=""/>
  </r>
  <r>
    <s v="Der_begrabene_Ehemann.csv"/>
    <s v="#Man"/>
    <x v="0"/>
    <s v="unbekannt"/>
    <x v="3"/>
    <s v="ehemann/betrogener"/>
    <x v="0"/>
    <x v="2"/>
    <x v="3"/>
    <n v="0"/>
    <n v="0"/>
    <n v="0"/>
    <n v="0"/>
    <x v="5"/>
    <x v="1"/>
    <s v=""/>
    <n v="2"/>
    <s v=""/>
    <s v=""/>
    <s v=""/>
  </r>
  <r>
    <s v="Der_begrabene_Ehemann.csv"/>
    <s v="#Pfaffe"/>
    <x v="0"/>
    <s v="klerus:pfarrer"/>
    <x v="3"/>
    <s v="helfer"/>
    <x v="1"/>
    <x v="4"/>
    <x v="3"/>
    <n v="0"/>
    <n v="0"/>
    <n v="0"/>
    <n v="0"/>
    <x v="6"/>
    <x v="1"/>
    <s v=""/>
    <s v=""/>
    <s v=""/>
    <s v=""/>
    <s v=""/>
  </r>
  <r>
    <s v="Der_Bildschnitzer_von_Wuerzburg.csv"/>
    <s v="#Man"/>
    <x v="0"/>
    <s v="buergerlich:maler"/>
    <x v="3"/>
    <s v="ehemann/betrueger"/>
    <x v="0"/>
    <x v="3"/>
    <x v="3"/>
    <n v="2"/>
    <n v="0"/>
    <n v="0.6"/>
    <n v="1"/>
    <x v="4"/>
    <x v="1"/>
    <n v="1"/>
    <s v=""/>
    <s v=""/>
    <s v=""/>
    <s v=""/>
  </r>
  <r>
    <s v="Der_Bildschnitzer_von_Wuerzburg.csv"/>
    <s v="#Weib"/>
    <x v="1"/>
    <s v="buergerlich:ehefrau"/>
    <x v="3"/>
    <s v="ehefrau/betrueger"/>
    <x v="0"/>
    <x v="3"/>
    <x v="3"/>
    <n v="2"/>
    <n v="0"/>
    <n v="0.6"/>
    <n v="0.96349394369014196"/>
    <x v="4"/>
    <x v="1"/>
    <n v="1"/>
    <s v=""/>
    <s v=""/>
    <s v=""/>
    <s v=""/>
  </r>
  <r>
    <s v="Der_Bildschnitzer_von_Wuerzburg.csv"/>
    <s v="#Probst"/>
    <x v="0"/>
    <s v="klerus:probst"/>
    <x v="3"/>
    <s v="betrogener"/>
    <x v="0"/>
    <x v="4"/>
    <x v="3"/>
    <n v="2"/>
    <n v="0"/>
    <n v="0.6"/>
    <n v="0.92041396180808299"/>
    <x v="5"/>
    <x v="1"/>
    <s v=""/>
    <n v="2"/>
    <s v=""/>
    <s v=""/>
    <s v=""/>
  </r>
  <r>
    <s v="Der_Bildschnitzer_von_Wuerzburg.csv"/>
    <s v="#Meit"/>
    <x v="1"/>
    <s v="buergerlich:magd"/>
    <x v="3"/>
    <s v="bote"/>
    <x v="1"/>
    <x v="3"/>
    <x v="3"/>
    <n v="2"/>
    <n v="1"/>
    <n v="1"/>
    <n v="0.17788024419939399"/>
    <x v="12"/>
    <x v="1"/>
    <s v=""/>
    <s v=""/>
    <s v=""/>
    <s v=""/>
    <s v=""/>
  </r>
  <r>
    <s v="Der_blossgestellte_Ritter.csv"/>
    <s v="#Ritter"/>
    <x v="0"/>
    <s v="adel:ritter"/>
    <x v="3"/>
    <s v="betrogener"/>
    <x v="0"/>
    <x v="1"/>
    <x v="1"/>
    <n v="2"/>
    <n v="0.3"/>
    <n v="0.625"/>
    <n v="0.98828583836448602"/>
    <x v="5"/>
    <x v="1"/>
    <s v=""/>
    <n v="2"/>
    <s v=""/>
    <s v=""/>
    <s v=""/>
  </r>
  <r>
    <s v="Der_blossgestellte_Ritter.csv"/>
    <s v="#Wirt"/>
    <x v="0"/>
    <s v="buergerlich:wirt"/>
    <x v="3"/>
    <s v="betrueger"/>
    <x v="0"/>
    <x v="3"/>
    <x v="1"/>
    <n v="2"/>
    <n v="0"/>
    <n v="0.55555555555555602"/>
    <n v="1"/>
    <x v="4"/>
    <x v="1"/>
    <n v="1"/>
    <s v=""/>
    <s v=""/>
    <s v=""/>
    <s v=""/>
  </r>
  <r>
    <s v="Der_blossgestellte_Ritter.csv"/>
    <s v="#Tohter"/>
    <x v="2"/>
    <s v="buergerlich:NA"/>
    <x v="3"/>
    <s v="kind"/>
    <x v="1"/>
    <x v="3"/>
    <x v="1"/>
    <n v="1.6"/>
    <n v="0"/>
    <n v="0.5"/>
    <n v="0.79645360513706398"/>
    <x v="2"/>
    <x v="1"/>
    <s v=""/>
    <s v=""/>
    <s v=""/>
    <s v=""/>
    <s v=""/>
  </r>
  <r>
    <s v="Der_blossgestellte_Ritter.csv"/>
    <s v="#Vrouwe"/>
    <x v="1"/>
    <s v="buergerlich:ehefrau"/>
    <x v="3"/>
    <s v="ehefrau"/>
    <x v="1"/>
    <x v="3"/>
    <x v="1"/>
    <n v="1.6"/>
    <n v="0"/>
    <n v="0.5"/>
    <n v="0.67101642522730098"/>
    <x v="1"/>
    <x v="1"/>
    <s v=""/>
    <s v=""/>
    <s v=""/>
    <s v=""/>
    <s v=""/>
  </r>
  <r>
    <s v="Der_blossgestellte_Ritter.csv"/>
    <s v="#Koch"/>
    <x v="0"/>
    <s v="buergerlich:koch"/>
    <x v="3"/>
    <s v="unbekannt"/>
    <x v="1"/>
    <x v="3"/>
    <x v="1"/>
    <n v="1.6"/>
    <n v="0.8"/>
    <n v="0.83333333333333304"/>
    <n v="0.26891264395280701"/>
    <x v="3"/>
    <x v="1"/>
    <s v=""/>
    <s v=""/>
    <s v=""/>
    <s v=""/>
    <s v=""/>
  </r>
  <r>
    <s v="Der_blossgestellte_Ritter.csv"/>
    <s v="#Kneht"/>
    <x v="2"/>
    <s v="buergerlich:knecht"/>
    <x v="3"/>
    <s v="unbekannt"/>
    <x v="1"/>
    <x v="3"/>
    <x v="1"/>
    <n v="0.8"/>
    <n v="0"/>
    <n v="0.45454545454545497"/>
    <n v="0.23253605758236401"/>
    <x v="3"/>
    <x v="1"/>
    <s v=""/>
    <s v=""/>
    <s v=""/>
    <s v=""/>
    <s v=""/>
  </r>
  <r>
    <s v="Der_entlaufene_Hasenbraten.csv"/>
    <s v="#Ritter"/>
    <x v="0"/>
    <s v="adel:ritter"/>
    <x v="3"/>
    <s v="ehemann"/>
    <x v="0"/>
    <x v="1"/>
    <x v="3"/>
    <n v="2"/>
    <n v="0"/>
    <n v="0.38461538461538503"/>
    <n v="1"/>
    <x v="0"/>
    <x v="1"/>
    <s v=""/>
    <s v=""/>
    <s v=""/>
    <s v=""/>
    <s v=""/>
  </r>
  <r>
    <s v="Der_entlaufene_Hasenbraten.csv"/>
    <s v="#Hus-vrouwe"/>
    <x v="1"/>
    <s v="adel:edelfrau"/>
    <x v="3"/>
    <s v="ehefrau"/>
    <x v="0"/>
    <x v="1"/>
    <x v="3"/>
    <n v="2"/>
    <n v="0"/>
    <n v="0.38461538461538503"/>
    <n v="0.922063291350257"/>
    <x v="1"/>
    <x v="1"/>
    <s v=""/>
    <s v=""/>
    <s v=""/>
    <s v=""/>
    <s v=""/>
  </r>
  <r>
    <s v="Der_entlaufene_Hasenbraten.csv"/>
    <s v="#Niftel"/>
    <x v="1"/>
    <s v="unbekannt"/>
    <x v="3"/>
    <s v="unbekannt"/>
    <x v="1"/>
    <x v="2"/>
    <x v="3"/>
    <n v="2"/>
    <n v="0.1"/>
    <n v="0.55555555555555602"/>
    <n v="0.426652358265807"/>
    <x v="3"/>
    <x v="1"/>
    <s v=""/>
    <s v=""/>
    <s v=""/>
    <s v=""/>
    <s v=""/>
  </r>
  <r>
    <s v="Der_entlaufene_Hasenbraten.csv"/>
    <s v="#Muome"/>
    <x v="1"/>
    <s v="unbekannt"/>
    <x v="3"/>
    <s v="unbekannt"/>
    <x v="1"/>
    <x v="2"/>
    <x v="3"/>
    <n v="2"/>
    <n v="0.1"/>
    <n v="0.55555555555555602"/>
    <n v="0.426652358265807"/>
    <x v="3"/>
    <x v="1"/>
    <s v=""/>
    <s v=""/>
    <s v=""/>
    <s v=""/>
    <s v=""/>
  </r>
  <r>
    <s v="Der_entlaufene_Hasenbraten.csv"/>
    <s v="#Base"/>
    <x v="1"/>
    <s v="unbekannt"/>
    <x v="3"/>
    <s v="unbekannt"/>
    <x v="1"/>
    <x v="2"/>
    <x v="3"/>
    <n v="2"/>
    <n v="0.1"/>
    <n v="0.55555555555555602"/>
    <n v="0.426652358265807"/>
    <x v="3"/>
    <x v="1"/>
    <s v=""/>
    <s v=""/>
    <s v=""/>
    <s v=""/>
    <s v=""/>
  </r>
  <r>
    <s v="Der_entlaufene_Hasenbraten.csv"/>
    <s v="#Pfaffe"/>
    <x v="0"/>
    <s v="klerus:pfarrer"/>
    <x v="3"/>
    <s v="helfer"/>
    <x v="1"/>
    <x v="4"/>
    <x v="3"/>
    <n v="2"/>
    <n v="0.15"/>
    <n v="0.55555555555555602"/>
    <n v="0.858133496191128"/>
    <x v="6"/>
    <x v="1"/>
    <s v=""/>
    <s v=""/>
    <s v=""/>
    <s v=""/>
    <s v=""/>
  </r>
  <r>
    <s v="Der_falsche_Blinde.csv"/>
    <s v="#Triegaere"/>
    <x v="0"/>
    <s v="unbekannt"/>
    <x v="3"/>
    <s v="betrueger"/>
    <x v="0"/>
    <x v="2"/>
    <x v="1"/>
    <n v="2"/>
    <n v="0.83333333333333304"/>
    <n v="0.66666666666666696"/>
    <n v="1"/>
    <x v="4"/>
    <x v="1"/>
    <n v="1"/>
    <s v=""/>
    <s v=""/>
    <s v=""/>
    <s v=""/>
  </r>
  <r>
    <s v="Der_falsche_Blinde.csv"/>
    <s v="#Kinder"/>
    <x v="2"/>
    <s v="unbekannt"/>
    <x v="1"/>
    <s v="helfer"/>
    <x v="1"/>
    <x v="2"/>
    <x v="1"/>
    <n v="1"/>
    <n v="0"/>
    <n v="0.4"/>
    <n v="0.88682304343071905"/>
    <x v="6"/>
    <x v="1"/>
    <s v=""/>
    <s v=""/>
    <s v=""/>
    <s v=""/>
    <s v=""/>
  </r>
  <r>
    <s v="Der_falsche_Blinde.csv"/>
    <s v="#Wiben"/>
    <x v="2"/>
    <s v="unbekannt"/>
    <x v="3"/>
    <s v="unbekannt"/>
    <x v="1"/>
    <x v="2"/>
    <x v="1"/>
    <n v="1"/>
    <n v="0.5"/>
    <n v="0.57142857142857095"/>
    <n v="0.38186442808788801"/>
    <x v="3"/>
    <x v="1"/>
    <s v=""/>
    <s v=""/>
    <s v=""/>
    <s v=""/>
    <s v=""/>
  </r>
  <r>
    <s v="Der_falsche_Blinde.csv"/>
    <s v="#Liute"/>
    <x v="2"/>
    <s v="unbekannt"/>
    <x v="3"/>
    <s v="betrogener"/>
    <x v="0"/>
    <x v="2"/>
    <x v="1"/>
    <n v="0.5"/>
    <n v="0"/>
    <n v="0.33333333333333298"/>
    <n v="0.40476973123410898"/>
    <x v="5"/>
    <x v="1"/>
    <s v=""/>
    <n v="2"/>
    <s v=""/>
    <s v=""/>
    <s v=""/>
  </r>
  <r>
    <s v="Der_falsche_Blinde.csv"/>
    <s v="#Ein-man"/>
    <x v="0"/>
    <s v="unbekannt"/>
    <x v="3"/>
    <s v="gegenspieler"/>
    <x v="1"/>
    <x v="2"/>
    <x v="1"/>
    <n v="0.5"/>
    <n v="0"/>
    <n v="0.44444444444444398"/>
    <n v="0.20238486561705399"/>
    <x v="10"/>
    <x v="1"/>
    <s v=""/>
    <s v=""/>
    <s v=""/>
    <s v=""/>
    <n v="5"/>
  </r>
  <r>
    <s v="Der_Frauen_Trost.csv"/>
    <s v="#Ritter"/>
    <x v="0"/>
    <s v="adel:ritter"/>
    <x v="3"/>
    <s v="ehemann/betrueger"/>
    <x v="0"/>
    <x v="1"/>
    <x v="3"/>
    <n v="2"/>
    <n v="0.33333333333333298"/>
    <n v="0.75"/>
    <n v="0.99634281667130098"/>
    <x v="4"/>
    <x v="1"/>
    <n v="1"/>
    <s v=""/>
    <s v=""/>
    <s v=""/>
    <s v=""/>
  </r>
  <r>
    <s v="Der_Frauen_Trost.csv"/>
    <s v="#Wip"/>
    <x v="1"/>
    <s v="adel:edelfrau"/>
    <x v="3"/>
    <s v="ehefrau/betrogener"/>
    <x v="0"/>
    <x v="1"/>
    <x v="3"/>
    <n v="2"/>
    <n v="0"/>
    <n v="0.6"/>
    <n v="1"/>
    <x v="5"/>
    <x v="1"/>
    <s v=""/>
    <n v="2"/>
    <s v=""/>
    <s v=""/>
    <s v=""/>
  </r>
  <r>
    <s v="Der_Frauen_Trost.csv"/>
    <s v="#Knehte"/>
    <x v="2"/>
    <s v="adel:knecht"/>
    <x v="3"/>
    <s v="unbekannt"/>
    <x v="1"/>
    <x v="1"/>
    <x v="3"/>
    <n v="1.3333333333333299"/>
    <n v="0"/>
    <n v="0.6"/>
    <n v="0.14745769345937701"/>
    <x v="3"/>
    <x v="1"/>
    <s v=""/>
    <s v=""/>
    <s v=""/>
    <s v=""/>
    <s v=""/>
  </r>
  <r>
    <s v="Der_Frauen_Trost.csv"/>
    <s v="#Gesinde"/>
    <x v="2"/>
    <s v="unbekannt"/>
    <x v="3"/>
    <s v="unbekannt"/>
    <x v="1"/>
    <x v="2"/>
    <x v="3"/>
    <n v="1.3333333333333299"/>
    <n v="0.33333333333333298"/>
    <n v="0.75"/>
    <n v="9.8245135857843793E-2"/>
    <x v="3"/>
    <x v="1"/>
    <s v=""/>
    <s v=""/>
    <s v=""/>
    <s v=""/>
    <s v=""/>
  </r>
  <r>
    <s v="Der_Frauen_Turnei.csv"/>
    <s v="#Rittergruppe"/>
    <x v="2"/>
    <s v="adel:ritter"/>
    <x v="3"/>
    <s v="unbekannt"/>
    <x v="0"/>
    <x v="1"/>
    <x v="1"/>
    <n v="1.1764705882352899"/>
    <n v="0.34558823529411797"/>
    <n v="0.32692307692307698"/>
    <n v="0.63172764852622498"/>
    <x v="3"/>
    <x v="0"/>
    <s v=""/>
    <s v=""/>
    <s v=""/>
    <s v=""/>
    <s v=""/>
  </r>
  <r>
    <s v="Der_Frauen_Turnei.csv"/>
    <s v="#Houb-(e)-tman"/>
    <x v="0"/>
    <s v="adel:hauptmann"/>
    <x v="3"/>
    <s v="unbekannt"/>
    <x v="1"/>
    <x v="1"/>
    <x v="1"/>
    <n v="0.11764705882352899"/>
    <n v="0"/>
    <n v="0.25373134328358199"/>
    <n v="4.7812033481528703E-2"/>
    <x v="3"/>
    <x v="0"/>
    <s v=""/>
    <s v=""/>
    <s v=""/>
    <s v=""/>
    <s v=""/>
  </r>
  <r>
    <s v="Der_Frauen_Turnei.csv"/>
    <s v="#Frauengruppe"/>
    <x v="2"/>
    <s v="adel:edelfrau"/>
    <x v="3"/>
    <s v="unbekannt"/>
    <x v="0"/>
    <x v="1"/>
    <x v="1"/>
    <n v="1.4117647058823499"/>
    <n v="0.41911764705882398"/>
    <n v="0.34"/>
    <n v="0.99563054250221905"/>
    <x v="3"/>
    <x v="0"/>
    <s v=""/>
    <s v=""/>
    <s v=""/>
    <s v=""/>
    <s v=""/>
  </r>
  <r>
    <s v="Der_Frauen_Turnei.csv"/>
    <s v="#Fremder-ritter"/>
    <x v="0"/>
    <s v="adel:ritter"/>
    <x v="3"/>
    <s v="gegner"/>
    <x v="1"/>
    <x v="1"/>
    <x v="1"/>
    <n v="0.11764705882352899"/>
    <n v="0"/>
    <n v="0.207317073170732"/>
    <n v="9.5624066963057502E-2"/>
    <x v="13"/>
    <x v="0"/>
    <s v=""/>
    <s v=""/>
    <s v=""/>
    <s v=""/>
    <s v=""/>
  </r>
  <r>
    <s v="Der_Frauen_Turnei.csv"/>
    <s v="#Eine-der-vrouwen-4"/>
    <x v="1"/>
    <s v="adel:edelfrau"/>
    <x v="3"/>
    <s v="unbekannt"/>
    <x v="1"/>
    <x v="1"/>
    <x v="1"/>
    <n v="0.35294117647058798"/>
    <n v="6.25E-2"/>
    <n v="0.30909090909090903"/>
    <n v="0.12961145898764301"/>
    <x v="3"/>
    <x v="0"/>
    <s v=""/>
    <s v=""/>
    <s v=""/>
    <s v=""/>
    <s v=""/>
  </r>
  <r>
    <s v="Der_Frauen_Turnei.csv"/>
    <s v="#Eine-der-vrouwen-3"/>
    <x v="1"/>
    <s v="adel:edelfrau"/>
    <x v="3"/>
    <s v="unbekannt"/>
    <x v="1"/>
    <x v="1"/>
    <x v="1"/>
    <n v="0.23529411764705899"/>
    <n v="0"/>
    <n v="0.28333333333333299"/>
    <n v="8.5163453547691698E-2"/>
    <x v="3"/>
    <x v="0"/>
    <s v=""/>
    <s v=""/>
    <s v=""/>
    <s v=""/>
    <s v=""/>
  </r>
  <r>
    <s v="Der_Frauen_Turnei.csv"/>
    <s v="#Eine-der-vrouwen-1"/>
    <x v="1"/>
    <s v="adel:edelfrau"/>
    <x v="3"/>
    <s v="helfer"/>
    <x v="0"/>
    <x v="1"/>
    <x v="1"/>
    <n v="0.11764705882352899"/>
    <n v="0"/>
    <n v="0.17894736842105299"/>
    <n v="0.226061599224302"/>
    <x v="6"/>
    <x v="0"/>
    <s v=""/>
    <s v=""/>
    <s v=""/>
    <s v=""/>
    <s v=""/>
  </r>
  <r>
    <s v="Der_Frauen_Turnei.csv"/>
    <s v="#Ein-vrouwe-wol-gezogen"/>
    <x v="1"/>
    <s v="adel:edelfrau"/>
    <x v="3"/>
    <s v="unbekannt"/>
    <x v="1"/>
    <x v="1"/>
    <x v="1"/>
    <n v="0"/>
    <n v="0"/>
    <n v="5.5555555555555601E-2"/>
    <n v="9.9831087659658595E-18"/>
    <x v="3"/>
    <x v="0"/>
    <s v=""/>
    <s v=""/>
    <s v=""/>
    <s v=""/>
    <s v=""/>
  </r>
  <r>
    <s v="Der_Frauen_Turnei.csv"/>
    <s v="#Eine-der-vrouwen-2"/>
    <x v="1"/>
    <s v="adel:edelfrau"/>
    <x v="3"/>
    <s v="unbekannt"/>
    <x v="1"/>
    <x v="1"/>
    <x v="1"/>
    <n v="0.11764705882352899"/>
    <n v="0"/>
    <n v="0.21249999999999999"/>
    <n v="0.15070773281620101"/>
    <x v="3"/>
    <x v="0"/>
    <s v=""/>
    <s v=""/>
    <s v=""/>
    <s v=""/>
    <s v=""/>
  </r>
  <r>
    <s v="Der_Frauen_Turnei.csv"/>
    <s v="#Junk-vrouwe"/>
    <x v="1"/>
    <s v="adel:edelfrau"/>
    <x v="0"/>
    <s v="unbekannt"/>
    <x v="0"/>
    <x v="1"/>
    <x v="1"/>
    <n v="0.70588235294117696"/>
    <n v="3.6764705882352902E-3"/>
    <n v="0.25373134328358199"/>
    <n v="1"/>
    <x v="3"/>
    <x v="0"/>
    <s v=""/>
    <s v=""/>
    <s v=""/>
    <s v=""/>
    <s v=""/>
  </r>
  <r>
    <s v="Der_Frauen_Turnei.csv"/>
    <s v="#Vater-der-junk-vrouwe"/>
    <x v="0"/>
    <s v="adel:unbekannt"/>
    <x v="2"/>
    <s v="unbekannt"/>
    <x v="1"/>
    <x v="1"/>
    <x v="1"/>
    <n v="0.35294117647058798"/>
    <n v="1.2867647058823499E-2"/>
    <n v="0.28333333333333299"/>
    <n v="0.33483352403769701"/>
    <x v="3"/>
    <x v="0"/>
    <s v=""/>
    <s v=""/>
    <s v=""/>
    <s v=""/>
    <s v=""/>
  </r>
  <r>
    <s v="Der_Frauen_Turnei.csv"/>
    <s v="#Knechte-der-ritter"/>
    <x v="2"/>
    <s v="adel:knecht"/>
    <x v="3"/>
    <s v="helfer"/>
    <x v="1"/>
    <x v="1"/>
    <x v="1"/>
    <n v="0.23529411764705899"/>
    <n v="2.9411764705882401E-2"/>
    <n v="0.30357142857142899"/>
    <n v="0.123165899889629"/>
    <x v="6"/>
    <x v="0"/>
    <s v=""/>
    <s v=""/>
    <s v=""/>
    <s v=""/>
    <s v=""/>
  </r>
  <r>
    <s v="Der_Frauen_Turnei.csv"/>
    <s v="#Einer-der-ritter-3"/>
    <x v="0"/>
    <s v="adel:ritter"/>
    <x v="3"/>
    <s v="unbekannt"/>
    <x v="1"/>
    <x v="1"/>
    <x v="1"/>
    <n v="0.35294117647058798"/>
    <n v="2.9411764705882401E-2"/>
    <n v="0.30909090909090903"/>
    <n v="0.133250939538475"/>
    <x v="3"/>
    <x v="0"/>
    <s v=""/>
    <s v=""/>
    <s v=""/>
    <s v=""/>
    <s v=""/>
  </r>
  <r>
    <s v="Der_Frauen_Turnei.csv"/>
    <s v="#Einer-der-ritter-2"/>
    <x v="0"/>
    <s v="adel:ritter"/>
    <x v="3"/>
    <s v="unbekannt"/>
    <x v="1"/>
    <x v="1"/>
    <x v="1"/>
    <n v="0.35294117647058798"/>
    <n v="2.9411764705882401E-2"/>
    <n v="0.30909090909090903"/>
    <n v="0.133250939538474"/>
    <x v="3"/>
    <x v="0"/>
    <s v=""/>
    <s v=""/>
    <s v=""/>
    <s v=""/>
    <s v=""/>
  </r>
  <r>
    <s v="Der_Frauen_Turnei.csv"/>
    <s v="#Einer-der-ritter"/>
    <x v="0"/>
    <s v="adel:ritter"/>
    <x v="3"/>
    <s v="unbekannt"/>
    <x v="1"/>
    <x v="1"/>
    <x v="1"/>
    <n v="0.35294117647058798"/>
    <n v="8.2720588235294101E-2"/>
    <n v="0.29310344827586199"/>
    <n v="0.177551862296327"/>
    <x v="3"/>
    <x v="0"/>
    <s v=""/>
    <s v=""/>
    <s v=""/>
    <s v=""/>
    <s v=""/>
  </r>
  <r>
    <s v="Der_Frauen_Turnei.csv"/>
    <s v="#Herzoge-Walraben-von-Limburk"/>
    <x v="0"/>
    <s v="adel:herzog"/>
    <x v="3"/>
    <s v="helfer"/>
    <x v="1"/>
    <x v="1"/>
    <x v="1"/>
    <n v="0.82352941176470595"/>
    <n v="0.13602941176470601"/>
    <n v="0.28333333333333299"/>
    <n v="0.714217760870416"/>
    <x v="6"/>
    <x v="0"/>
    <s v=""/>
    <s v=""/>
    <s v=""/>
    <s v=""/>
    <s v=""/>
  </r>
  <r>
    <s v="Der_Frauen_Turnei.csv"/>
    <s v="#Knecht-des-herzogs"/>
    <x v="0"/>
    <s v="adel:knecht"/>
    <x v="3"/>
    <s v="unbekannt"/>
    <x v="1"/>
    <x v="1"/>
    <x v="1"/>
    <n v="0.11764705882352899"/>
    <n v="0"/>
    <n v="0.22666666666666699"/>
    <n v="5.4055261908362101E-2"/>
    <x v="3"/>
    <x v="0"/>
    <s v=""/>
    <s v=""/>
    <s v=""/>
    <s v=""/>
    <s v=""/>
  </r>
  <r>
    <s v="Der_Frauen_Turnei.csv"/>
    <s v="#Richer-man"/>
    <x v="0"/>
    <s v="adel:ritter"/>
    <x v="3"/>
    <s v="unbekannt"/>
    <x v="1"/>
    <x v="1"/>
    <x v="1"/>
    <n v="0.35294117647058798"/>
    <n v="6.0661764705882401E-2"/>
    <n v="0.29824561403508798"/>
    <n v="0.28077826212933499"/>
    <x v="3"/>
    <x v="0"/>
    <s v=""/>
    <s v=""/>
    <s v=""/>
    <s v=""/>
    <s v=""/>
  </r>
  <r>
    <s v="Der_Guertel.csv"/>
    <s v="#Das-maere-selbst"/>
    <x v="4"/>
    <s v="NA"/>
    <x v="4"/>
    <s v="NA"/>
    <x v="1"/>
    <x v="0"/>
    <x v="3"/>
    <n v="0.30769230769230799"/>
    <n v="1.2820512820512799E-2"/>
    <n v="0.30232558139534899"/>
    <n v="3.3950300679227503E-2"/>
    <x v="15"/>
    <x v="1"/>
    <s v=""/>
    <s v=""/>
    <s v=""/>
    <s v=""/>
    <s v=""/>
  </r>
  <r>
    <s v="Der_Guertel.csv"/>
    <s v="#Konrad"/>
    <x v="0"/>
    <s v="adel:ritter"/>
    <x v="3"/>
    <s v="ehemann/betrogener"/>
    <x v="0"/>
    <x v="1"/>
    <x v="3"/>
    <n v="0.92307692307692302"/>
    <n v="8.4401709401709393E-2"/>
    <n v="0.32500000000000001"/>
    <n v="0.82855883634683103"/>
    <x v="5"/>
    <x v="1"/>
    <s v=""/>
    <n v="2"/>
    <s v=""/>
    <s v=""/>
    <s v=""/>
  </r>
  <r>
    <s v="Der_Guertel.csv"/>
    <s v="#Wip/Heinrich"/>
    <x v="1"/>
    <s v="adel:edelfrau"/>
    <x v="0"/>
    <s v="ehefrau/betrueger"/>
    <x v="0"/>
    <x v="1"/>
    <x v="3"/>
    <n v="1.84615384615385"/>
    <n v="0.67841880341880301"/>
    <n v="0.54166666666666696"/>
    <n v="1"/>
    <x v="4"/>
    <x v="1"/>
    <n v="1"/>
    <s v=""/>
    <s v=""/>
    <s v=""/>
    <s v=""/>
  </r>
  <r>
    <s v="Der_Guertel.csv"/>
    <s v="#Ritter"/>
    <x v="0"/>
    <s v="adel:ritter"/>
    <x v="3"/>
    <s v="gegenspieler"/>
    <x v="1"/>
    <x v="1"/>
    <x v="3"/>
    <n v="0.61538461538461497"/>
    <n v="0.112179487179487"/>
    <n v="0.371428571428571"/>
    <n v="0.48756903861689899"/>
    <x v="10"/>
    <x v="1"/>
    <s v=""/>
    <s v=""/>
    <s v=""/>
    <s v=""/>
    <n v="5"/>
  </r>
  <r>
    <s v="Der_Guertel.csv"/>
    <s v="#Junk-vroeuwelin"/>
    <x v="1"/>
    <s v="adel:edelfrau"/>
    <x v="0"/>
    <s v="unbekannt"/>
    <x v="1"/>
    <x v="1"/>
    <x v="3"/>
    <n v="0.30769230769230799"/>
    <n v="0.17521367521367501"/>
    <n v="0.41935483870967699"/>
    <n v="5.1076691492626503E-2"/>
    <x v="3"/>
    <x v="1"/>
    <s v=""/>
    <s v=""/>
    <s v=""/>
    <s v=""/>
    <s v=""/>
  </r>
  <r>
    <s v="Der_Guertel.csv"/>
    <s v="#Magt-der-vrouwe"/>
    <x v="1"/>
    <s v="adel:magd"/>
    <x v="3"/>
    <s v="unbekannt"/>
    <x v="1"/>
    <x v="1"/>
    <x v="3"/>
    <n v="0.15384615384615399"/>
    <n v="0"/>
    <n v="0.36111111111111099"/>
    <n v="3.4335677986492799E-2"/>
    <x v="3"/>
    <x v="1"/>
    <s v=""/>
    <s v=""/>
    <s v=""/>
    <s v=""/>
    <s v=""/>
  </r>
  <r>
    <s v="Der_Guertel.csv"/>
    <s v="#Ein-knecht"/>
    <x v="0"/>
    <s v="adel:knecht"/>
    <x v="3"/>
    <s v="helfer"/>
    <x v="1"/>
    <x v="1"/>
    <x v="3"/>
    <n v="0.61538461538461497"/>
    <n v="8.9743589743589702E-2"/>
    <n v="0.34210526315789502"/>
    <n v="0.16021734837225601"/>
    <x v="6"/>
    <x v="1"/>
    <s v=""/>
    <s v=""/>
    <s v=""/>
    <s v=""/>
    <s v=""/>
  </r>
  <r>
    <s v="Der_Guertel.csv"/>
    <s v="#Knechte-der-vrouwe"/>
    <x v="2"/>
    <s v="adel:knecht"/>
    <x v="3"/>
    <s v="unbekannt"/>
    <x v="1"/>
    <x v="1"/>
    <x v="3"/>
    <n v="0.30769230769230799"/>
    <n v="0"/>
    <n v="0.282608695652174"/>
    <n v="7.8565988690701902E-2"/>
    <x v="3"/>
    <x v="1"/>
    <s v=""/>
    <s v=""/>
    <s v=""/>
    <s v=""/>
    <s v=""/>
  </r>
  <r>
    <s v="Der_Guertel.csv"/>
    <s v="#Wirt"/>
    <x v="0"/>
    <s v="buergerlich:wirt"/>
    <x v="3"/>
    <s v="helfer"/>
    <x v="1"/>
    <x v="3"/>
    <x v="3"/>
    <n v="0.46153846153846201"/>
    <n v="6.41025641025641E-3"/>
    <n v="0.29545454545454503"/>
    <n v="0.144086753166907"/>
    <x v="6"/>
    <x v="1"/>
    <s v=""/>
    <s v=""/>
    <s v=""/>
    <s v=""/>
    <s v=""/>
  </r>
  <r>
    <s v="Der_Guertel.csv"/>
    <s v="#Knechte-von-heinrich"/>
    <x v="2"/>
    <s v="adel:knecht"/>
    <x v="3"/>
    <s v="unbekannt"/>
    <x v="1"/>
    <x v="1"/>
    <x v="3"/>
    <n v="0.30769230769230799"/>
    <n v="0.141025641025641"/>
    <n v="0.38235294117647101"/>
    <n v="3.9282994345350999E-2"/>
    <x v="3"/>
    <x v="1"/>
    <s v=""/>
    <s v=""/>
    <s v=""/>
    <s v=""/>
    <s v=""/>
  </r>
  <r>
    <s v="Der_Guertel.csv"/>
    <s v="#Herzoge"/>
    <x v="0"/>
    <s v="adel:herzog"/>
    <x v="3"/>
    <s v="unbekannt"/>
    <x v="1"/>
    <x v="1"/>
    <x v="3"/>
    <n v="0.76923076923076905"/>
    <n v="9.4017094017094002E-2"/>
    <n v="0.35135135135135098"/>
    <n v="0.48929475817026402"/>
    <x v="3"/>
    <x v="1"/>
    <s v=""/>
    <s v=""/>
    <s v=""/>
    <s v=""/>
    <s v=""/>
  </r>
  <r>
    <s v="Der_Guertel.csv"/>
    <s v="#Knechte-des-herzogs"/>
    <x v="2"/>
    <s v="adel:knecht"/>
    <x v="3"/>
    <s v="unbekannt"/>
    <x v="1"/>
    <x v="1"/>
    <x v="3"/>
    <n v="0.30769230769230799"/>
    <n v="7.3717948717948706E-2"/>
    <n v="0.40625"/>
    <n v="5.1135945243505801E-2"/>
    <x v="3"/>
    <x v="1"/>
    <s v=""/>
    <s v=""/>
    <s v=""/>
    <s v=""/>
    <s v=""/>
  </r>
  <r>
    <s v="Der_Guertel.csv"/>
    <s v="#Ein-ritter"/>
    <x v="0"/>
    <s v="adel:ritter"/>
    <x v="3"/>
    <s v="unbekannt"/>
    <x v="1"/>
    <x v="1"/>
    <x v="3"/>
    <n v="0.30769230769230799"/>
    <n v="7.3717948717948706E-2"/>
    <n v="0.40625"/>
    <n v="5.1135945243505898E-2"/>
    <x v="3"/>
    <x v="1"/>
    <s v=""/>
    <s v=""/>
    <s v=""/>
    <s v=""/>
    <s v=""/>
  </r>
  <r>
    <s v="Der_Guertel.csv"/>
    <s v="#Ein-brite"/>
    <x v="0"/>
    <s v="adel:ritter"/>
    <x v="3"/>
    <s v="gegner"/>
    <x v="1"/>
    <x v="1"/>
    <x v="3"/>
    <n v="0.46153846153846201"/>
    <n v="4.2735042735042701E-2"/>
    <n v="0.30952380952380998"/>
    <n v="0.176705560011827"/>
    <x v="13"/>
    <x v="1"/>
    <s v=""/>
    <s v=""/>
    <s v=""/>
    <s v=""/>
    <s v=""/>
  </r>
  <r>
    <s v="Der_junge_Ratgeber.csv"/>
    <s v="#Kunic"/>
    <x v="0"/>
    <s v="adel:koenig"/>
    <x v="3"/>
    <s v="unbekannt"/>
    <x v="0"/>
    <x v="1"/>
    <x v="1"/>
    <n v="2"/>
    <n v="0.05"/>
    <n v="0.55555555555555602"/>
    <n v="1"/>
    <x v="3"/>
    <x v="1"/>
    <s v=""/>
    <s v=""/>
    <s v=""/>
    <s v=""/>
    <s v=""/>
  </r>
  <r>
    <s v="Der_junge_Ratgeber.csv"/>
    <s v="#Alter-ratgeben"/>
    <x v="0"/>
    <s v="adel:ratgeber"/>
    <x v="2"/>
    <s v="vater"/>
    <x v="1"/>
    <x v="1"/>
    <x v="1"/>
    <n v="1.6"/>
    <n v="0.25"/>
    <n v="0.625"/>
    <n v="0.81844232581321796"/>
    <x v="7"/>
    <x v="1"/>
    <s v=""/>
    <s v=""/>
    <s v=""/>
    <s v=""/>
    <s v=""/>
  </r>
  <r>
    <s v="Der_junge_Ratgeber.csv"/>
    <s v="#Sun-(neuer-ratgeben)"/>
    <x v="0"/>
    <s v="adel:ratgeber"/>
    <x v="0"/>
    <s v="ratgeber"/>
    <x v="0"/>
    <x v="1"/>
    <x v="1"/>
    <n v="2"/>
    <n v="0"/>
    <n v="0.45454545454545497"/>
    <n v="0.896398856114894"/>
    <x v="16"/>
    <x v="1"/>
    <s v=""/>
    <s v=""/>
    <s v=""/>
    <s v=""/>
    <s v=""/>
  </r>
  <r>
    <s v="Der_junge_Ratgeber.csv"/>
    <s v="#Bote"/>
    <x v="0"/>
    <s v="buergerlich:bote"/>
    <x v="3"/>
    <s v="bote"/>
    <x v="1"/>
    <x v="3"/>
    <x v="1"/>
    <n v="1.2"/>
    <n v="0.4"/>
    <n v="0.625"/>
    <n v="0.19434459280845101"/>
    <x v="12"/>
    <x v="1"/>
    <s v=""/>
    <s v=""/>
    <s v=""/>
    <s v=""/>
    <s v=""/>
  </r>
  <r>
    <s v="Der_junge_Ratgeber.csv"/>
    <s v="#Besten-von-dem-lande"/>
    <x v="2"/>
    <s v="unbekannt"/>
    <x v="3"/>
    <s v="unbekannt"/>
    <x v="1"/>
    <x v="2"/>
    <x v="1"/>
    <n v="1.6"/>
    <n v="0.15"/>
    <n v="0.55555555555555602"/>
    <n v="0.54945473053465199"/>
    <x v="3"/>
    <x v="1"/>
    <s v=""/>
    <s v=""/>
    <s v=""/>
    <s v=""/>
    <s v=""/>
  </r>
  <r>
    <s v="Der_junge_Ratgeber.csv"/>
    <s v="#Nidaere"/>
    <x v="2"/>
    <s v="unbekannt"/>
    <x v="3"/>
    <s v="gegenspieler"/>
    <x v="1"/>
    <x v="2"/>
    <x v="1"/>
    <n v="1.2"/>
    <n v="0"/>
    <n v="0.45454545454545497"/>
    <n v="0.37501403777258802"/>
    <x v="10"/>
    <x v="1"/>
    <s v=""/>
    <s v=""/>
    <s v=""/>
    <s v=""/>
    <n v="5"/>
  </r>
  <r>
    <s v="Der_kluge_Knecht.csv"/>
    <s v="#Man"/>
    <x v="0"/>
    <s v="unbekannt"/>
    <x v="3"/>
    <s v="ehemann/betrogener"/>
    <x v="0"/>
    <x v="2"/>
    <x v="3"/>
    <n v="2"/>
    <n v="0"/>
    <n v="8.5714285714285701E-2"/>
    <n v="1"/>
    <x v="5"/>
    <x v="1"/>
    <s v=""/>
    <n v="2"/>
    <s v=""/>
    <s v=""/>
    <s v=""/>
  </r>
  <r>
    <s v="Der_kluge_Knecht.csv"/>
    <s v="#Wip"/>
    <x v="1"/>
    <s v="unbekannt"/>
    <x v="3"/>
    <s v="ehefrau/betrueger"/>
    <x v="0"/>
    <x v="2"/>
    <x v="3"/>
    <n v="2"/>
    <n v="0"/>
    <n v="8.5714285714285701E-2"/>
    <n v="0.93521875234554497"/>
    <x v="4"/>
    <x v="1"/>
    <n v="1"/>
    <s v=""/>
    <s v=""/>
    <s v=""/>
    <s v=""/>
  </r>
  <r>
    <s v="Der_kluge_Knecht.csv"/>
    <s v="#Kneht"/>
    <x v="0"/>
    <s v="unbekannt:knecht"/>
    <x v="3"/>
    <s v="helfer"/>
    <x v="0"/>
    <x v="2"/>
    <x v="3"/>
    <n v="2"/>
    <n v="0"/>
    <n v="0.12"/>
    <n v="0.88656582522251803"/>
    <x v="6"/>
    <x v="1"/>
    <s v=""/>
    <s v=""/>
    <s v=""/>
    <s v=""/>
    <s v=""/>
  </r>
  <r>
    <s v="Der_kluge_Knecht.csv"/>
    <s v="#Pfarraere"/>
    <x v="0"/>
    <s v="klerus:pfarrer"/>
    <x v="3"/>
    <s v="betrueger"/>
    <x v="1"/>
    <x v="4"/>
    <x v="3"/>
    <n v="2"/>
    <n v="1"/>
    <n v="0.157894736842105"/>
    <n v="0.49375060358839501"/>
    <x v="4"/>
    <x v="1"/>
    <n v="1"/>
    <s v=""/>
    <s v=""/>
    <s v=""/>
    <s v=""/>
  </r>
  <r>
    <s v="Der_nackte_Bote.csv"/>
    <s v="#Kneht"/>
    <x v="0"/>
    <s v="adel:knecht"/>
    <x v="3"/>
    <s v="betrogener"/>
    <x v="0"/>
    <x v="1"/>
    <x v="1"/>
    <n v="2"/>
    <n v="9.5238095238095205E-2"/>
    <n v="0.58333333333333304"/>
    <n v="1"/>
    <x v="5"/>
    <x v="1"/>
    <s v=""/>
    <n v="2"/>
    <s v=""/>
    <s v=""/>
    <s v=""/>
  </r>
  <r>
    <s v="Der_nackte_Bote.csv"/>
    <s v="#Vrouwe"/>
    <x v="1"/>
    <s v="buergerlich:ehefrau"/>
    <x v="3"/>
    <s v="ehefrau"/>
    <x v="1"/>
    <x v="3"/>
    <x v="1"/>
    <n v="1.1428571428571399"/>
    <n v="0"/>
    <n v="0.5"/>
    <n v="0.31866831887568697"/>
    <x v="1"/>
    <x v="1"/>
    <s v=""/>
    <s v=""/>
    <s v=""/>
    <s v=""/>
    <s v=""/>
  </r>
  <r>
    <s v="Der_nackte_Bote.csv"/>
    <s v="#Tohter"/>
    <x v="2"/>
    <s v="buergerlich:NA"/>
    <x v="3"/>
    <s v="kind"/>
    <x v="1"/>
    <x v="3"/>
    <x v="1"/>
    <n v="1.1428571428571399"/>
    <n v="0"/>
    <n v="0.5"/>
    <n v="0.31866831887568697"/>
    <x v="2"/>
    <x v="1"/>
    <s v=""/>
    <s v=""/>
    <s v=""/>
    <s v=""/>
    <s v=""/>
  </r>
  <r>
    <s v="Der_nackte_Bote.csv"/>
    <s v="#Herre"/>
    <x v="0"/>
    <s v="adel:ritter"/>
    <x v="3"/>
    <s v="helfer"/>
    <x v="1"/>
    <x v="1"/>
    <x v="1"/>
    <n v="1.1428571428571399"/>
    <n v="4.7619047619047603E-2"/>
    <n v="0.46666666666666701"/>
    <n v="0.76040883095630196"/>
    <x v="6"/>
    <x v="1"/>
    <s v=""/>
    <s v=""/>
    <s v=""/>
    <s v=""/>
    <s v=""/>
  </r>
  <r>
    <s v="Der_nackte_Bote.csv"/>
    <s v="#Kint"/>
    <x v="3"/>
    <s v="buergerlich:NA"/>
    <x v="1"/>
    <s v="kind"/>
    <x v="1"/>
    <x v="3"/>
    <x v="1"/>
    <n v="1.1428571428571399"/>
    <n v="0.17460317460317501"/>
    <n v="0.58333333333333304"/>
    <n v="0.36192709358522301"/>
    <x v="2"/>
    <x v="1"/>
    <s v=""/>
    <s v=""/>
    <s v=""/>
    <s v=""/>
    <s v=""/>
  </r>
  <r>
    <s v="Der_nackte_Bote.csv"/>
    <s v="#Wirt"/>
    <x v="0"/>
    <s v="buergerlich:wirt"/>
    <x v="3"/>
    <s v="betrogener"/>
    <x v="0"/>
    <x v="3"/>
    <x v="1"/>
    <n v="2"/>
    <n v="7.1428571428571397E-2"/>
    <n v="0.58333333333333304"/>
    <n v="0.87639159649611098"/>
    <x v="5"/>
    <x v="1"/>
    <s v=""/>
    <n v="2"/>
    <s v=""/>
    <s v=""/>
    <s v=""/>
  </r>
  <r>
    <s v="Der_nackte_Bote.csv"/>
    <s v="#Gesinde"/>
    <x v="2"/>
    <s v="unbekannt"/>
    <x v="3"/>
    <s v="unbekannt"/>
    <x v="1"/>
    <x v="2"/>
    <x v="1"/>
    <n v="1.4285714285714299"/>
    <n v="0.49206349206349198"/>
    <n v="0.77777777777777801"/>
    <n v="0.182723492296711"/>
    <x v="3"/>
    <x v="1"/>
    <s v=""/>
    <s v=""/>
    <s v=""/>
    <s v=""/>
    <s v=""/>
  </r>
  <r>
    <s v="Der_nackte_Bote.csv"/>
    <s v="#Knehten"/>
    <x v="2"/>
    <s v="buergerlich:knecht"/>
    <x v="3"/>
    <s v="unbekannt"/>
    <x v="1"/>
    <x v="3"/>
    <x v="1"/>
    <n v="0.85714285714285698"/>
    <n v="6.3492063492063502E-2"/>
    <n v="0.5"/>
    <n v="0.22323353898209999"/>
    <x v="3"/>
    <x v="1"/>
    <s v=""/>
    <s v=""/>
    <s v=""/>
    <s v=""/>
    <s v=""/>
  </r>
  <r>
    <s v="Der_nackte_Koenig.csv"/>
    <s v="#Kunik"/>
    <x v="0"/>
    <s v="adel:koenig"/>
    <x v="3"/>
    <s v="betrogener"/>
    <x v="0"/>
    <x v="1"/>
    <x v="1"/>
    <n v="2"/>
    <n v="8.7962962962963007E-2"/>
    <n v="0.47368421052631599"/>
    <n v="1"/>
    <x v="5"/>
    <x v="1"/>
    <s v=""/>
    <n v="2"/>
    <s v=""/>
    <s v=""/>
    <s v=""/>
  </r>
  <r>
    <s v="Der_nackte_Koenig.csv"/>
    <s v="#Engel"/>
    <x v="0"/>
    <s v="NA"/>
    <x v="4"/>
    <s v="betrueger"/>
    <x v="0"/>
    <x v="0"/>
    <x v="1"/>
    <n v="1.7777777777777799"/>
    <n v="0.24537037037036999"/>
    <n v="0.5"/>
    <n v="0.81199406616390601"/>
    <x v="4"/>
    <x v="1"/>
    <n v="1"/>
    <s v=""/>
    <s v=""/>
    <s v=""/>
    <s v=""/>
  </r>
  <r>
    <s v="Der_nackte_Koenig.csv"/>
    <s v="#Bader"/>
    <x v="0"/>
    <s v="adel:bader"/>
    <x v="3"/>
    <s v="unbekannt"/>
    <x v="1"/>
    <x v="1"/>
    <x v="1"/>
    <n v="1.1111111111111101"/>
    <n v="6.9444444444444406E-2"/>
    <n v="0.42857142857142899"/>
    <n v="0.33309027936334501"/>
    <x v="3"/>
    <x v="1"/>
    <s v=""/>
    <s v=""/>
    <s v=""/>
    <s v=""/>
    <s v=""/>
  </r>
  <r>
    <s v="Der_nackte_Koenig.csv"/>
    <s v="#Bader-gesinde"/>
    <x v="2"/>
    <s v="adel:bader"/>
    <x v="3"/>
    <s v="unbekannt"/>
    <x v="1"/>
    <x v="1"/>
    <x v="1"/>
    <n v="0.66666666666666696"/>
    <n v="1.85185185185185E-2"/>
    <n v="0.42857142857142899"/>
    <n v="0.13622536954321901"/>
    <x v="3"/>
    <x v="1"/>
    <s v=""/>
    <s v=""/>
    <s v=""/>
    <s v=""/>
    <s v=""/>
  </r>
  <r>
    <s v="Der_nackte_Koenig.csv"/>
    <s v="#Schenke"/>
    <x v="0"/>
    <s v="buergerlich:wirt"/>
    <x v="3"/>
    <s v="helfer"/>
    <x v="1"/>
    <x v="3"/>
    <x v="1"/>
    <n v="1.3333333333333299"/>
    <n v="0.171296296296296"/>
    <n v="0.52941176470588203"/>
    <n v="0.57925812999990201"/>
    <x v="6"/>
    <x v="1"/>
    <s v=""/>
    <s v=""/>
    <s v=""/>
    <s v=""/>
    <s v=""/>
  </r>
  <r>
    <s v="Der_nackte_Koenig.csv"/>
    <s v="#Portenaere"/>
    <x v="0"/>
    <s v="buergerlich:torwart"/>
    <x v="3"/>
    <s v="bote"/>
    <x v="1"/>
    <x v="3"/>
    <x v="1"/>
    <n v="0.66666666666666696"/>
    <n v="0"/>
    <n v="0.34615384615384598"/>
    <n v="0.21736092644973701"/>
    <x v="12"/>
    <x v="1"/>
    <s v=""/>
    <s v=""/>
    <s v=""/>
    <s v=""/>
    <s v=""/>
  </r>
  <r>
    <s v="Der_nackte_Koenig.csv"/>
    <s v="#Hove-gesinde"/>
    <x v="2"/>
    <s v="adel:unbekannt"/>
    <x v="3"/>
    <s v="unbekannt"/>
    <x v="1"/>
    <x v="1"/>
    <x v="1"/>
    <n v="1.3333333333333299"/>
    <n v="0.180555555555556"/>
    <n v="0.52941176470588203"/>
    <n v="0.41989076013968601"/>
    <x v="3"/>
    <x v="1"/>
    <s v=""/>
    <s v=""/>
    <s v=""/>
    <s v=""/>
    <s v=""/>
  </r>
  <r>
    <s v="Der_nackte_Koenig.csv"/>
    <s v="#Kuenegin"/>
    <x v="1"/>
    <s v="adel:koenigin"/>
    <x v="3"/>
    <s v="ehefrau"/>
    <x v="1"/>
    <x v="1"/>
    <x v="1"/>
    <n v="1.1111111111111101"/>
    <n v="2.7777777777777801E-2"/>
    <n v="0.40909090909090901"/>
    <n v="0.37630478201439099"/>
    <x v="1"/>
    <x v="1"/>
    <s v=""/>
    <s v=""/>
    <s v=""/>
    <s v=""/>
    <s v=""/>
  </r>
  <r>
    <s v="Der_nackte_Koenig.csv"/>
    <s v="#Ritter"/>
    <x v="0"/>
    <s v="adel:ritter"/>
    <x v="3"/>
    <s v="unbekannt"/>
    <x v="1"/>
    <x v="1"/>
    <x v="1"/>
    <n v="0.66666666666666696"/>
    <n v="0.21296296296296299"/>
    <n v="0.5625"/>
    <n v="9.3655221265290703E-2"/>
    <x v="3"/>
    <x v="1"/>
    <s v=""/>
    <s v=""/>
    <s v=""/>
    <s v=""/>
    <s v=""/>
  </r>
  <r>
    <s v="Der_nackte_Koenig.csv"/>
    <s v="#Hove-riter"/>
    <x v="0"/>
    <s v="adel:ritter"/>
    <x v="2"/>
    <s v="unbekannt"/>
    <x v="1"/>
    <x v="1"/>
    <x v="1"/>
    <n v="0.44444444444444398"/>
    <n v="5.5555555555555601E-2"/>
    <n v="0.42857142857142899"/>
    <n v="5.56111076559632E-2"/>
    <x v="3"/>
    <x v="1"/>
    <s v=""/>
    <s v=""/>
    <s v=""/>
    <s v=""/>
    <s v=""/>
  </r>
  <r>
    <s v="Der_Nußberg.csv"/>
    <s v="#Ritter-von-nuzberk"/>
    <x v="0"/>
    <s v="adel:ritter"/>
    <x v="3"/>
    <s v="ehemann/betrogener"/>
    <x v="0"/>
    <x v="1"/>
    <x v="3"/>
    <n v="2"/>
    <n v="0"/>
    <n v="0.6"/>
    <n v="1"/>
    <x v="5"/>
    <x v="1"/>
    <s v=""/>
    <n v="2"/>
    <s v=""/>
    <s v=""/>
    <s v=""/>
  </r>
  <r>
    <s v="Der_Nußberg.csv"/>
    <s v="#Wip"/>
    <x v="1"/>
    <s v="adel:edelfrau"/>
    <x v="3"/>
    <s v="ehefrau/betrueger"/>
    <x v="0"/>
    <x v="1"/>
    <x v="3"/>
    <n v="2"/>
    <n v="0.66666666666666696"/>
    <n v="1"/>
    <n v="0.49033010167086699"/>
    <x v="4"/>
    <x v="1"/>
    <n v="1"/>
    <s v=""/>
    <s v=""/>
    <s v=""/>
    <s v=""/>
  </r>
  <r>
    <s v="Der_Nußberg.csv"/>
    <s v="#Kuenik"/>
    <x v="0"/>
    <s v="adel:koenig"/>
    <x v="3"/>
    <s v="unbekannt"/>
    <x v="1"/>
    <x v="1"/>
    <x v="3"/>
    <n v="2"/>
    <n v="0"/>
    <n v="0.75"/>
    <n v="0.80636096254159195"/>
    <x v="3"/>
    <x v="1"/>
    <s v=""/>
    <s v=""/>
    <s v=""/>
    <s v=""/>
    <s v=""/>
  </r>
  <r>
    <s v="Der_Nußberg.csv"/>
    <s v="#Kuenik-der-heiden"/>
    <x v="0"/>
    <s v="adel:koenig"/>
    <x v="3"/>
    <s v="betrueger"/>
    <x v="0"/>
    <x v="1"/>
    <x v="3"/>
    <n v="2"/>
    <n v="0"/>
    <n v="0.75"/>
    <n v="0.80636096254159195"/>
    <x v="4"/>
    <x v="1"/>
    <n v="1"/>
    <s v=""/>
    <s v=""/>
    <s v=""/>
    <s v=""/>
  </r>
  <r>
    <s v="Der_Pfaffe_im_Kaesekorb.csv"/>
    <s v="#Pur"/>
    <x v="0"/>
    <s v="bauer:meyer"/>
    <x v="3"/>
    <s v="ehemann/betrogener"/>
    <x v="0"/>
    <x v="5"/>
    <x v="3"/>
    <n v="0"/>
    <n v="0"/>
    <n v="0"/>
    <n v="0"/>
    <x v="5"/>
    <x v="1"/>
    <s v=""/>
    <n v="2"/>
    <s v=""/>
    <s v=""/>
    <s v=""/>
  </r>
  <r>
    <s v="Der_Pfaffe_im_Kaesekorb.csv"/>
    <s v="#Wib"/>
    <x v="1"/>
    <s v="bauer:ehefrau"/>
    <x v="3"/>
    <s v="ehefrau/betrueger"/>
    <x v="0"/>
    <x v="5"/>
    <x v="3"/>
    <n v="0"/>
    <n v="0"/>
    <n v="0"/>
    <n v="0"/>
    <x v="4"/>
    <x v="1"/>
    <n v="1"/>
    <s v=""/>
    <s v=""/>
    <s v=""/>
    <s v=""/>
  </r>
  <r>
    <s v="Der_Pfaffe_im_Kaesekorb.csv"/>
    <s v="#Pfaffe"/>
    <x v="0"/>
    <s v="klerus:pfarrer"/>
    <x v="3"/>
    <s v="betrueger"/>
    <x v="1"/>
    <x v="4"/>
    <x v="3"/>
    <n v="0"/>
    <n v="0"/>
    <n v="0"/>
    <n v="0"/>
    <x v="4"/>
    <x v="1"/>
    <n v="1"/>
    <s v=""/>
    <s v=""/>
    <s v=""/>
    <s v=""/>
  </r>
  <r>
    <s v="Der_Raubritter_und_sein_Kaemmerer.csv"/>
    <s v="#Ritter"/>
    <x v="0"/>
    <s v="adel:ritter"/>
    <x v="3"/>
    <s v="betrogener"/>
    <x v="0"/>
    <x v="1"/>
    <x v="1"/>
    <n v="2"/>
    <n v="0.33333333333333298"/>
    <n v="0.2"/>
    <n v="0.91001080941258605"/>
    <x v="5"/>
    <x v="1"/>
    <s v=""/>
    <n v="2"/>
    <s v=""/>
    <s v=""/>
    <s v=""/>
  </r>
  <r>
    <s v="Der_Raubritter_und_sein_Kaemmerer.csv"/>
    <s v="#Muench"/>
    <x v="0"/>
    <s v="klerus:moench"/>
    <x v="3"/>
    <s v="helfer"/>
    <x v="0"/>
    <x v="4"/>
    <x v="1"/>
    <n v="2"/>
    <n v="0"/>
    <n v="0.16666666666666699"/>
    <n v="1"/>
    <x v="6"/>
    <x v="1"/>
    <s v=""/>
    <s v=""/>
    <s v=""/>
    <s v=""/>
    <s v=""/>
  </r>
  <r>
    <s v="Der_Raubritter_und_sein_Kaemmerer.csv"/>
    <s v="#Gesinde"/>
    <x v="2"/>
    <s v="adel:unbekannt"/>
    <x v="3"/>
    <s v="unbekannt"/>
    <x v="1"/>
    <x v="1"/>
    <x v="1"/>
    <n v="1.3333333333333299"/>
    <n v="0"/>
    <n v="0.15"/>
    <n v="0.78888576762637597"/>
    <x v="3"/>
    <x v="1"/>
    <s v=""/>
    <s v=""/>
    <s v=""/>
    <s v=""/>
    <s v=""/>
  </r>
  <r>
    <s v="Der_Raubritter_und_sein_Kaemmerer.csv"/>
    <s v="#Kamerer"/>
    <x v="0"/>
    <s v="adel:kaemmerer"/>
    <x v="3"/>
    <s v="betrueger"/>
    <x v="0"/>
    <x v="1"/>
    <x v="1"/>
    <n v="1.3333333333333299"/>
    <n v="0.33333333333333298"/>
    <n v="0.2"/>
    <n v="0.45967116488522702"/>
    <x v="4"/>
    <x v="1"/>
    <n v="1"/>
    <s v=""/>
    <s v=""/>
    <s v=""/>
    <s v=""/>
  </r>
  <r>
    <s v="Der_Reiher.csv"/>
    <s v="#Man"/>
    <x v="0"/>
    <s v="adel:ritter"/>
    <x v="3"/>
    <s v="ehemann/betrogener"/>
    <x v="0"/>
    <x v="1"/>
    <x v="3"/>
    <n v="1.6"/>
    <n v="0.05"/>
    <n v="0.217391304347826"/>
    <n v="0.77462461884820499"/>
    <x v="5"/>
    <x v="1"/>
    <s v=""/>
    <n v="2"/>
    <s v=""/>
    <s v=""/>
    <s v=""/>
  </r>
  <r>
    <s v="Der_Reiher.csv"/>
    <s v="#Vrouwe"/>
    <x v="1"/>
    <s v="adel:edelfrau"/>
    <x v="3"/>
    <s v="ehefrau/betrueger"/>
    <x v="0"/>
    <x v="1"/>
    <x v="3"/>
    <n v="2"/>
    <n v="0.3"/>
    <n v="0.29411764705882398"/>
    <n v="1"/>
    <x v="4"/>
    <x v="1"/>
    <n v="1"/>
    <s v=""/>
    <s v=""/>
    <s v=""/>
    <s v=""/>
  </r>
  <r>
    <s v="Der_Reiher.csv"/>
    <s v="#Koch"/>
    <x v="0"/>
    <s v="buergerlich:koch"/>
    <x v="3"/>
    <s v="unbekannt"/>
    <x v="1"/>
    <x v="3"/>
    <x v="3"/>
    <n v="0.8"/>
    <n v="0.15"/>
    <n v="0.238095238095238"/>
    <n v="0.13253896714941199"/>
    <x v="3"/>
    <x v="1"/>
    <s v=""/>
    <s v=""/>
    <s v=""/>
    <s v=""/>
    <s v=""/>
  </r>
  <r>
    <s v="Der_Reiher.csv"/>
    <s v="#Meit"/>
    <x v="1"/>
    <s v="adel:magd"/>
    <x v="3"/>
    <s v="bote"/>
    <x v="1"/>
    <x v="1"/>
    <x v="3"/>
    <n v="0.8"/>
    <n v="0"/>
    <n v="0.18518518518518501"/>
    <n v="0.26336845883157001"/>
    <x v="12"/>
    <x v="1"/>
    <s v=""/>
    <s v=""/>
    <s v=""/>
    <s v=""/>
    <s v=""/>
  </r>
  <r>
    <s v="Der_Reiher.csv"/>
    <s v="#Gewatern"/>
    <x v="1"/>
    <s v="unbekannt"/>
    <x v="3"/>
    <s v="helfer"/>
    <x v="0"/>
    <x v="2"/>
    <x v="3"/>
    <n v="1.6"/>
    <n v="0.2"/>
    <n v="0.26315789473684198"/>
    <n v="0.76318014589525895"/>
    <x v="6"/>
    <x v="1"/>
    <s v=""/>
    <s v=""/>
    <s v=""/>
    <s v=""/>
    <s v=""/>
  </r>
  <r>
    <s v="Der_Reiher.csv"/>
    <s v="#Herre"/>
    <x v="0"/>
    <s v="adel:unbekannt"/>
    <x v="3"/>
    <s v="unbekannt"/>
    <x v="1"/>
    <x v="1"/>
    <x v="3"/>
    <n v="1.2"/>
    <n v="0.15"/>
    <n v="0.26315789473684198"/>
    <n v="0.285161079570807"/>
    <x v="3"/>
    <x v="1"/>
    <s v=""/>
    <s v=""/>
    <s v=""/>
    <s v=""/>
    <s v=""/>
  </r>
  <r>
    <s v="Der_Richter_und_der_Teufel.csv"/>
    <s v="#Rihter"/>
    <x v="0"/>
    <s v="buergerlich:richter"/>
    <x v="3"/>
    <s v="betrueger"/>
    <x v="0"/>
    <x v="3"/>
    <x v="1"/>
    <n v="1.6"/>
    <n v="0.5"/>
    <n v="0.5"/>
    <n v="1"/>
    <x v="4"/>
    <x v="1"/>
    <n v="1"/>
    <s v=""/>
    <s v=""/>
    <s v=""/>
    <s v=""/>
  </r>
  <r>
    <s v="Der_Richter_und_der_Teufel.csv"/>
    <s v="#Wip-1"/>
    <x v="1"/>
    <s v="unbekannt"/>
    <x v="3"/>
    <s v="unbekannt"/>
    <x v="1"/>
    <x v="2"/>
    <x v="1"/>
    <n v="0"/>
    <n v="0"/>
    <n v="0.16666666666666699"/>
    <n v="0"/>
    <x v="3"/>
    <x v="1"/>
    <s v=""/>
    <s v=""/>
    <s v=""/>
    <s v=""/>
    <s v=""/>
  </r>
  <r>
    <s v="Der_Richter_und_der_Teufel.csv"/>
    <s v="#Wip-2"/>
    <x v="1"/>
    <s v="unbekannt"/>
    <x v="3"/>
    <s v="unbekannt"/>
    <x v="1"/>
    <x v="2"/>
    <x v="1"/>
    <n v="0.4"/>
    <n v="0"/>
    <n v="0.38461538461538503"/>
    <n v="0.42681725548354599"/>
    <x v="3"/>
    <x v="1"/>
    <s v=""/>
    <s v=""/>
    <s v=""/>
    <s v=""/>
    <s v=""/>
  </r>
  <r>
    <s v="Der_Richter_und_der_Teufel.csv"/>
    <s v="#Wip-3"/>
    <x v="1"/>
    <s v="unbekannt"/>
    <x v="3"/>
    <s v="unbekannt"/>
    <x v="1"/>
    <x v="2"/>
    <x v="1"/>
    <n v="0.8"/>
    <n v="0"/>
    <n v="0.41666666666666702"/>
    <n v="0.74464428590503995"/>
    <x v="3"/>
    <x v="1"/>
    <s v=""/>
    <s v=""/>
    <s v=""/>
    <s v=""/>
    <s v=""/>
  </r>
  <r>
    <s v="Der_Richter_und_der_Teufel.csv"/>
    <s v="#Kinde"/>
    <x v="3"/>
    <s v="unbekannt"/>
    <x v="1"/>
    <s v="kind"/>
    <x v="1"/>
    <x v="2"/>
    <x v="1"/>
    <n v="0.8"/>
    <n v="0"/>
    <n v="0.41666666666666702"/>
    <n v="0.74464428590503995"/>
    <x v="2"/>
    <x v="1"/>
    <s v=""/>
    <s v=""/>
    <s v=""/>
    <s v=""/>
    <s v=""/>
  </r>
  <r>
    <s v="Der_Richter_und_der_Teufel.csv"/>
    <s v="#Witwe"/>
    <x v="1"/>
    <s v="unbekannt"/>
    <x v="2"/>
    <s v="helfer"/>
    <x v="1"/>
    <x v="2"/>
    <x v="1"/>
    <n v="0.4"/>
    <n v="0"/>
    <n v="0.38461538461538503"/>
    <n v="0.42681725548354599"/>
    <x v="6"/>
    <x v="1"/>
    <s v=""/>
    <s v=""/>
    <s v=""/>
    <s v=""/>
    <s v=""/>
  </r>
  <r>
    <s v="Der_Ritter_und_die_Nuesse.csv"/>
    <s v="#Ritter"/>
    <x v="0"/>
    <s v="adel:ritter"/>
    <x v="3"/>
    <s v="ehemann/betrogener"/>
    <x v="0"/>
    <x v="1"/>
    <x v="3"/>
    <n v="2"/>
    <n v="0.66666666666666696"/>
    <n v="0.14285714285714299"/>
    <n v="1"/>
    <x v="5"/>
    <x v="1"/>
    <s v=""/>
    <n v="2"/>
    <s v=""/>
    <s v=""/>
    <s v=""/>
  </r>
  <r>
    <s v="Der_Ritter_und_die_Nuesse.csv"/>
    <s v="#Vrouwe"/>
    <x v="1"/>
    <s v="adel:edelfrau"/>
    <x v="3"/>
    <s v="ehefrau/betrueger"/>
    <x v="0"/>
    <x v="1"/>
    <x v="3"/>
    <n v="1.3333333333333299"/>
    <n v="0"/>
    <n v="9.375E-2"/>
    <n v="0.99244587365848402"/>
    <x v="4"/>
    <x v="1"/>
    <n v="1"/>
    <s v=""/>
    <s v=""/>
    <s v=""/>
    <s v=""/>
  </r>
  <r>
    <s v="Der_Ritter_und_die_Nuesse.csv"/>
    <s v="#Buoler"/>
    <x v="0"/>
    <s v="adel:ritter"/>
    <x v="3"/>
    <s v="betrueger"/>
    <x v="0"/>
    <x v="1"/>
    <x v="3"/>
    <n v="1.3333333333333299"/>
    <n v="0"/>
    <n v="0.115384615384615"/>
    <n v="0.87776385500983101"/>
    <x v="4"/>
    <x v="1"/>
    <n v="1"/>
    <s v=""/>
    <s v=""/>
    <s v=""/>
    <s v=""/>
  </r>
  <r>
    <s v="Der_Ritter_und_die_Nuesse.csv"/>
    <s v="#Kint"/>
    <x v="2"/>
    <s v="unbekannt"/>
    <x v="1"/>
    <s v="helfer"/>
    <x v="1"/>
    <x v="2"/>
    <x v="3"/>
    <n v="0.66666666666666696"/>
    <n v="0"/>
    <n v="0.12"/>
    <n v="0.11013647429705301"/>
    <x v="6"/>
    <x v="1"/>
    <s v=""/>
    <s v=""/>
    <s v=""/>
    <s v=""/>
    <s v=""/>
  </r>
  <r>
    <s v="Der_Ritter_unterm_Zuber.csv"/>
    <s v="#Buoler"/>
    <x v="0"/>
    <s v="adel:ritter"/>
    <x v="3"/>
    <s v="betrueger"/>
    <x v="0"/>
    <x v="1"/>
    <x v="3"/>
    <n v="2"/>
    <n v="0.36666666666666697"/>
    <n v="0.46153846153846201"/>
    <n v="0.78120374160726602"/>
    <x v="4"/>
    <x v="1"/>
    <n v="1"/>
    <s v=""/>
    <s v=""/>
    <s v=""/>
    <s v=""/>
  </r>
  <r>
    <s v="Der_Ritter_unterm_Zuber.csv"/>
    <s v="#Vrouwe"/>
    <x v="1"/>
    <s v="adel:edelfrau"/>
    <x v="3"/>
    <s v="ehefrau/betrueger"/>
    <x v="0"/>
    <x v="1"/>
    <x v="3"/>
    <n v="2"/>
    <n v="0"/>
    <n v="0.375"/>
    <n v="0.96975939188064597"/>
    <x v="4"/>
    <x v="1"/>
    <n v="1"/>
    <s v=""/>
    <s v=""/>
    <s v=""/>
    <s v=""/>
  </r>
  <r>
    <s v="Der_Ritter_unterm_Zuber.csv"/>
    <s v="#Ritter"/>
    <x v="0"/>
    <s v="adel:ritter"/>
    <x v="3"/>
    <s v="ehemann/betrogener"/>
    <x v="0"/>
    <x v="1"/>
    <x v="3"/>
    <n v="1.3333333333333299"/>
    <n v="0"/>
    <n v="0.35294117647058798"/>
    <n v="1"/>
    <x v="5"/>
    <x v="1"/>
    <s v=""/>
    <n v="2"/>
    <s v=""/>
    <s v=""/>
    <s v=""/>
  </r>
  <r>
    <s v="Der_Ritter_unterm_Zuber.csv"/>
    <s v="#Brueder-dri-des-ritters"/>
    <x v="2"/>
    <s v="adel:unbekannt"/>
    <x v="3"/>
    <s v="helfer"/>
    <x v="1"/>
    <x v="1"/>
    <x v="3"/>
    <n v="1.3333333333333299"/>
    <n v="0"/>
    <n v="0.35294117647058798"/>
    <n v="0.74385367297630001"/>
    <x v="6"/>
    <x v="1"/>
    <s v=""/>
    <s v=""/>
    <s v=""/>
    <s v=""/>
    <s v=""/>
  </r>
  <r>
    <s v="Der_Ritter_unterm_Zuber.csv"/>
    <s v="#Einer-der-bruider"/>
    <x v="0"/>
    <s v="adel:unbekannt"/>
    <x v="3"/>
    <s v="unbekannt"/>
    <x v="1"/>
    <x v="1"/>
    <x v="3"/>
    <n v="0.66666666666666696"/>
    <n v="6.6666666666666693E-2"/>
    <n v="0.375"/>
    <n v="9.3260720348378998E-2"/>
    <x v="3"/>
    <x v="1"/>
    <s v=""/>
    <s v=""/>
    <s v=""/>
    <s v=""/>
    <s v=""/>
  </r>
  <r>
    <s v="Der_Ritter_unterm_Zuber.csv"/>
    <s v="#Brot-bekkerin"/>
    <x v="1"/>
    <s v="buergerlich:baecker"/>
    <x v="3"/>
    <s v="helfer"/>
    <x v="1"/>
    <x v="3"/>
    <x v="3"/>
    <n v="1.6666666666666701"/>
    <n v="0.6"/>
    <n v="0.5"/>
    <n v="0.19488398705766499"/>
    <x v="6"/>
    <x v="1"/>
    <s v=""/>
    <s v=""/>
    <s v=""/>
    <s v=""/>
    <s v=""/>
  </r>
  <r>
    <s v="Der_Ritter_unterm_Zuber.csv"/>
    <s v="#Megede-der-bekkerin"/>
    <x v="1"/>
    <s v="buergerlich:magd"/>
    <x v="3"/>
    <s v="bote"/>
    <x v="1"/>
    <x v="3"/>
    <x v="3"/>
    <n v="1"/>
    <n v="0"/>
    <n v="0.35294117647058798"/>
    <n v="0.14654271480087999"/>
    <x v="12"/>
    <x v="1"/>
    <s v=""/>
    <s v=""/>
    <s v=""/>
    <s v=""/>
    <s v=""/>
  </r>
  <r>
    <s v="Der_Schlaegel.csv"/>
    <s v="#Koufman"/>
    <x v="0"/>
    <s v="buergerlich:kaufmann"/>
    <x v="2"/>
    <s v="betrogener"/>
    <x v="0"/>
    <x v="3"/>
    <x v="1"/>
    <n v="1.5714285714285701"/>
    <n v="0.21978021978022"/>
    <n v="0.4"/>
    <n v="1"/>
    <x v="5"/>
    <x v="1"/>
    <s v=""/>
    <n v="2"/>
    <s v=""/>
    <s v=""/>
    <s v=""/>
  </r>
  <r>
    <s v="Der_Schlaegel.csv"/>
    <s v="#Zweite-tochter"/>
    <x v="1"/>
    <s v="buergerlich:ehefrau"/>
    <x v="0"/>
    <s v="betrueger"/>
    <x v="0"/>
    <x v="3"/>
    <x v="1"/>
    <n v="1"/>
    <n v="0"/>
    <n v="0.34146341463414598"/>
    <n v="0.68258032424639303"/>
    <x v="4"/>
    <x v="1"/>
    <n v="1"/>
    <s v=""/>
    <s v=""/>
    <s v=""/>
    <s v=""/>
  </r>
  <r>
    <s v="Der_Schlaegel.csv"/>
    <s v="#Erste-tochter"/>
    <x v="1"/>
    <s v="buergerlich:ehefrau"/>
    <x v="0"/>
    <s v="betrueger"/>
    <x v="0"/>
    <x v="3"/>
    <x v="1"/>
    <n v="1"/>
    <n v="0"/>
    <n v="0.34146341463414598"/>
    <n v="0.67361884454360299"/>
    <x v="4"/>
    <x v="1"/>
    <n v="1"/>
    <s v=""/>
    <s v=""/>
    <s v=""/>
    <s v=""/>
  </r>
  <r>
    <s v="Der_Schlaegel.csv"/>
    <s v="#Erster-sun"/>
    <x v="0"/>
    <s v="buergerlich:kaufmann"/>
    <x v="0"/>
    <s v="betrueger"/>
    <x v="0"/>
    <x v="3"/>
    <x v="1"/>
    <n v="1.4285714285714299"/>
    <n v="0.31868131868131899"/>
    <n v="0.4"/>
    <n v="0.762272203631845"/>
    <x v="4"/>
    <x v="1"/>
    <n v="1"/>
    <s v=""/>
    <s v=""/>
    <s v=""/>
    <s v=""/>
  </r>
  <r>
    <s v="Der_Schlaegel.csv"/>
    <s v="#Zweiter-sun"/>
    <x v="0"/>
    <s v="buergerlich:kaufmann"/>
    <x v="0"/>
    <s v="betrueger"/>
    <x v="0"/>
    <x v="3"/>
    <x v="1"/>
    <n v="1.28571428571429"/>
    <n v="0.12637362637362601"/>
    <n v="0.37837837837837801"/>
    <n v="0.74841887681967501"/>
    <x v="4"/>
    <x v="1"/>
    <n v="1"/>
    <s v=""/>
    <s v=""/>
    <s v=""/>
    <s v=""/>
  </r>
  <r>
    <s v="Der_Schlaegel.csv"/>
    <s v="#Dritter-sun"/>
    <x v="0"/>
    <s v="buergerlich:kaufmann"/>
    <x v="0"/>
    <s v="betrueger"/>
    <x v="0"/>
    <x v="3"/>
    <x v="1"/>
    <n v="1.28571428571429"/>
    <n v="0.20329670329670299"/>
    <n v="0.38888888888888901"/>
    <n v="0.77167261148359301"/>
    <x v="4"/>
    <x v="1"/>
    <n v="1"/>
    <s v=""/>
    <s v=""/>
    <s v=""/>
    <s v=""/>
  </r>
  <r>
    <s v="Der_Schlaegel.csv"/>
    <s v="#Wip-des-koufmans"/>
    <x v="1"/>
    <s v="buergerlich:ehefrau"/>
    <x v="5"/>
    <s v="ehefrau"/>
    <x v="1"/>
    <x v="3"/>
    <x v="1"/>
    <n v="0.85714285714285698"/>
    <n v="0.63736263736263699"/>
    <n v="0.48275862068965503"/>
    <n v="5.00985771977304E-2"/>
    <x v="1"/>
    <x v="1"/>
    <s v=""/>
    <s v=""/>
    <s v=""/>
    <s v=""/>
    <s v=""/>
  </r>
  <r>
    <s v="Der_Schlaegel.csv"/>
    <s v="#Wip-des-zweiten"/>
    <x v="1"/>
    <s v="buergerlich:ehefrau"/>
    <x v="3"/>
    <s v="ehefrau"/>
    <x v="1"/>
    <x v="3"/>
    <x v="1"/>
    <n v="0.28571428571428598"/>
    <n v="0"/>
    <n v="0.29787234042553201"/>
    <n v="2.96841671453658E-2"/>
    <x v="1"/>
    <x v="1"/>
    <s v=""/>
    <s v=""/>
    <s v=""/>
    <s v=""/>
    <s v=""/>
  </r>
  <r>
    <s v="Der_Schlaegel.csv"/>
    <s v="#Wip-des-ersten"/>
    <x v="1"/>
    <s v="buergerlich:ehefrau"/>
    <x v="3"/>
    <s v="ehefrau"/>
    <x v="1"/>
    <x v="3"/>
    <x v="1"/>
    <n v="0.28571428571428598"/>
    <n v="0"/>
    <n v="0.20895522388059701"/>
    <n v="5.71000109438616E-2"/>
    <x v="1"/>
    <x v="1"/>
    <s v=""/>
    <s v=""/>
    <s v=""/>
    <s v=""/>
    <s v=""/>
  </r>
  <r>
    <s v="Der_Schlaegel.csv"/>
    <s v="#Wip-des-dritten"/>
    <x v="1"/>
    <s v="buergerlich:ehefrau"/>
    <x v="3"/>
    <s v="ehefrau"/>
    <x v="1"/>
    <x v="3"/>
    <x v="1"/>
    <n v="0.28571428571428598"/>
    <n v="0"/>
    <n v="0.20588235294117599"/>
    <n v="5.7404596915373501E-2"/>
    <x v="1"/>
    <x v="1"/>
    <s v=""/>
    <s v=""/>
    <s v=""/>
    <s v=""/>
    <s v=""/>
  </r>
  <r>
    <s v="Der_Schlaegel.csv"/>
    <s v="#Burgaer"/>
    <x v="0"/>
    <s v="buergerlich:kaufmann"/>
    <x v="3"/>
    <s v="helfer"/>
    <x v="1"/>
    <x v="3"/>
    <x v="1"/>
    <n v="0.85714285714285698"/>
    <n v="0"/>
    <n v="0.18181818181818199"/>
    <n v="0.33127928152897801"/>
    <x v="6"/>
    <x v="1"/>
    <s v=""/>
    <s v=""/>
    <s v=""/>
    <s v=""/>
    <s v=""/>
  </r>
  <r>
    <s v="Der_Schlaegel.csv"/>
    <s v="#Torwertel"/>
    <x v="0"/>
    <s v="buergerlich:torwaechter"/>
    <x v="3"/>
    <s v="unbekannt"/>
    <x v="1"/>
    <x v="3"/>
    <x v="1"/>
    <n v="0.14285714285714299"/>
    <n v="0"/>
    <n v="0.29166666666666702"/>
    <n v="8.2328846209414903E-3"/>
    <x v="3"/>
    <x v="1"/>
    <s v=""/>
    <s v=""/>
    <s v=""/>
    <s v=""/>
    <s v=""/>
  </r>
  <r>
    <s v="Der_Schlaegel.csv"/>
    <s v="#Kneht-des-ersten"/>
    <x v="0"/>
    <s v="buergerlich:knecht"/>
    <x v="3"/>
    <s v="unbekannt"/>
    <x v="1"/>
    <x v="3"/>
    <x v="1"/>
    <n v="0.14285714285714299"/>
    <n v="0"/>
    <n v="0.29166666666666702"/>
    <n v="8.2328846209414903E-3"/>
    <x v="3"/>
    <x v="1"/>
    <s v=""/>
    <s v=""/>
    <s v=""/>
    <s v=""/>
    <s v=""/>
  </r>
  <r>
    <s v="Der_Schlaegel.csv"/>
    <s v="#Knecht-des-zweiten"/>
    <x v="0"/>
    <s v="buergerlich:knecht"/>
    <x v="3"/>
    <s v="unbekannt"/>
    <x v="1"/>
    <x v="3"/>
    <x v="1"/>
    <n v="0.28571428571428598"/>
    <n v="0"/>
    <n v="0.30434782608695699"/>
    <n v="2.69669772096944E-2"/>
    <x v="3"/>
    <x v="1"/>
    <s v=""/>
    <s v=""/>
    <s v=""/>
    <s v=""/>
    <s v=""/>
  </r>
  <r>
    <s v="Der_Schlaegel.csv"/>
    <s v="#Magd-des-dritten"/>
    <x v="1"/>
    <s v="buergerlich:magd"/>
    <x v="3"/>
    <s v="unbekannt"/>
    <x v="1"/>
    <x v="3"/>
    <x v="1"/>
    <n v="0.14285714285714299"/>
    <n v="0"/>
    <n v="0.28571428571428598"/>
    <n v="8.3344132781121207E-3"/>
    <x v="3"/>
    <x v="1"/>
    <s v=""/>
    <s v=""/>
    <s v=""/>
    <s v=""/>
    <s v=""/>
  </r>
  <r>
    <s v="Der_Schueler_zu_Paris.csv"/>
    <s v="#Burgaere"/>
    <x v="0"/>
    <s v="buergerlich:buerger"/>
    <x v="2"/>
    <s v="unbekannt"/>
    <x v="1"/>
    <x v="3"/>
    <x v="2"/>
    <n v="0.22222222222222199"/>
    <n v="0"/>
    <n v="0.26470588235294101"/>
    <n v="1.8317626889649701E-2"/>
    <x v="3"/>
    <x v="2"/>
    <s v=""/>
    <s v=""/>
    <s v=""/>
    <s v=""/>
    <s v=""/>
  </r>
  <r>
    <s v="Der_Schueler_zu_Paris.csv"/>
    <s v="#Junc-vrouwe"/>
    <x v="1"/>
    <s v="buergerlich:unbekannt"/>
    <x v="0"/>
    <s v="liebende"/>
    <x v="0"/>
    <x v="3"/>
    <x v="2"/>
    <n v="1.7777777777777799"/>
    <n v="0.22222222222222199"/>
    <n v="0.34615384615384598"/>
    <n v="1"/>
    <x v="11"/>
    <x v="2"/>
    <s v=""/>
    <s v=""/>
    <s v=""/>
    <n v="4"/>
    <s v=""/>
  </r>
  <r>
    <s v="Der_Schueler_zu_Paris.csv"/>
    <s v="#Schuoler"/>
    <x v="0"/>
    <s v="buergerlich:schueler"/>
    <x v="0"/>
    <s v="liebender"/>
    <x v="0"/>
    <x v="3"/>
    <x v="2"/>
    <n v="1.55555555555556"/>
    <n v="0.194444444444444"/>
    <n v="0.375"/>
    <n v="0.97695490369002602"/>
    <x v="9"/>
    <x v="2"/>
    <s v=""/>
    <s v=""/>
    <n v="3"/>
    <s v=""/>
    <s v=""/>
  </r>
  <r>
    <s v="Der_Schueler_zu_Paris.csv"/>
    <s v="#Vater-der-vrouwe"/>
    <x v="0"/>
    <s v="buergerlich:unbekannt"/>
    <x v="2"/>
    <s v="gegenspieler"/>
    <x v="1"/>
    <x v="3"/>
    <x v="2"/>
    <n v="1.3333333333333299"/>
    <n v="0.43518518518518501"/>
    <n v="0.45"/>
    <n v="0.352728361443373"/>
    <x v="10"/>
    <x v="2"/>
    <s v=""/>
    <s v=""/>
    <s v=""/>
    <s v=""/>
    <n v="5"/>
  </r>
  <r>
    <s v="Der_Schueler_zu_Paris.csv"/>
    <s v="#Megede-dri"/>
    <x v="2"/>
    <s v="buergerlich:magd"/>
    <x v="3"/>
    <s v="unbekannt"/>
    <x v="1"/>
    <x v="3"/>
    <x v="2"/>
    <n v="0.88888888888888895"/>
    <n v="0.17592592592592601"/>
    <n v="0.45"/>
    <n v="0.117864473744484"/>
    <x v="3"/>
    <x v="2"/>
    <s v=""/>
    <s v=""/>
    <s v=""/>
    <s v=""/>
    <s v=""/>
  </r>
  <r>
    <s v="Der_Schueler_zu_Paris.csv"/>
    <s v="#Kellaerin"/>
    <x v="1"/>
    <s v="buergerlich:magd"/>
    <x v="3"/>
    <s v="helfer"/>
    <x v="1"/>
    <x v="3"/>
    <x v="2"/>
    <n v="1.1111111111111101"/>
    <n v="0.22222222222222199"/>
    <n v="0.375"/>
    <n v="0.127845645839436"/>
    <x v="6"/>
    <x v="2"/>
    <s v=""/>
    <s v=""/>
    <s v=""/>
    <s v=""/>
    <s v=""/>
  </r>
  <r>
    <s v="Der_Schueler_zu_Paris.csv"/>
    <s v="#Barvuoz"/>
    <x v="0"/>
    <s v="klerus:priester"/>
    <x v="3"/>
    <s v="helfer"/>
    <x v="1"/>
    <x v="4"/>
    <x v="2"/>
    <n v="0.66666666666666696"/>
    <n v="0"/>
    <n v="0.28125"/>
    <n v="0.20214719872273099"/>
    <x v="6"/>
    <x v="2"/>
    <s v=""/>
    <s v=""/>
    <s v=""/>
    <s v=""/>
    <s v=""/>
  </r>
  <r>
    <s v="Der_Schueler_zu_Paris.csv"/>
    <s v="#Knecht-des-schuelers"/>
    <x v="0"/>
    <s v="buergerlich:knecht"/>
    <x v="0"/>
    <s v="unbekannt"/>
    <x v="1"/>
    <x v="3"/>
    <x v="2"/>
    <n v="0.44444444444444398"/>
    <n v="0"/>
    <n v="0.28125"/>
    <n v="9.1166002972406304E-2"/>
    <x v="3"/>
    <x v="2"/>
    <s v=""/>
    <s v=""/>
    <s v=""/>
    <s v=""/>
    <s v=""/>
  </r>
  <r>
    <s v="Der_Schueler_zu_Paris.csv"/>
    <s v="#Wirt-des-schuelers"/>
    <x v="0"/>
    <s v="buergerlich:wirt"/>
    <x v="3"/>
    <s v="unbekannt"/>
    <x v="1"/>
    <x v="3"/>
    <x v="2"/>
    <n v="0.66666666666666696"/>
    <n v="0.37962962962962998"/>
    <n v="0.45"/>
    <n v="6.0569764235582003E-2"/>
    <x v="3"/>
    <x v="2"/>
    <s v=""/>
    <s v=""/>
    <s v=""/>
    <s v=""/>
    <s v=""/>
  </r>
  <r>
    <s v="Der_Schueler_zu_Paris.csv"/>
    <s v="#Vriund-des-vaters"/>
    <x v="2"/>
    <s v="unbekannt"/>
    <x v="3"/>
    <s v="unbekannt"/>
    <x v="1"/>
    <x v="2"/>
    <x v="2"/>
    <n v="0.22222222222222199"/>
    <n v="0"/>
    <n v="0.32142857142857101"/>
    <n v="6.4611465183172E-3"/>
    <x v="3"/>
    <x v="2"/>
    <s v=""/>
    <s v=""/>
    <s v=""/>
    <s v=""/>
    <s v=""/>
  </r>
  <r>
    <s v="Der_schwangere_Moench.csv"/>
    <s v="#Muench"/>
    <x v="0"/>
    <s v="klerus:moench"/>
    <x v="0"/>
    <s v="betrogener"/>
    <x v="0"/>
    <x v="4"/>
    <x v="1"/>
    <n v="2"/>
    <n v="0.125"/>
    <n v="0.38095238095238099"/>
    <n v="1"/>
    <x v="5"/>
    <x v="1"/>
    <s v=""/>
    <n v="2"/>
    <s v=""/>
    <s v=""/>
    <s v=""/>
  </r>
  <r>
    <s v="Der_schwangere_Moench.csv"/>
    <s v="#Apt"/>
    <x v="0"/>
    <s v="klerus:abt"/>
    <x v="3"/>
    <s v="unbekannt"/>
    <x v="1"/>
    <x v="4"/>
    <x v="1"/>
    <n v="1.75"/>
    <n v="0.33928571428571402"/>
    <n v="0.44444444444444398"/>
    <n v="0.51638670399931397"/>
    <x v="3"/>
    <x v="1"/>
    <s v=""/>
    <s v=""/>
    <s v=""/>
    <s v=""/>
    <s v=""/>
  </r>
  <r>
    <s v="Der_schwangere_Moench.csv"/>
    <s v="#Kneht[e-]"/>
    <x v="0"/>
    <s v="unbekannt:knecht"/>
    <x v="3"/>
    <s v="helfer"/>
    <x v="1"/>
    <x v="2"/>
    <x v="1"/>
    <n v="1"/>
    <n v="0"/>
    <n v="0.34782608695652201"/>
    <n v="0.61883230205109196"/>
    <x v="6"/>
    <x v="1"/>
    <s v=""/>
    <s v=""/>
    <s v=""/>
    <s v=""/>
    <s v=""/>
  </r>
  <r>
    <s v="Der_schwangere_Moench.csv"/>
    <s v="#Vrouwe"/>
    <x v="1"/>
    <s v="unbekannt"/>
    <x v="3"/>
    <s v="betrueger"/>
    <x v="1"/>
    <x v="2"/>
    <x v="1"/>
    <n v="1.25"/>
    <n v="0.26785714285714302"/>
    <n v="0.47058823529411797"/>
    <n v="0.68992518323229102"/>
    <x v="4"/>
    <x v="1"/>
    <n v="1"/>
    <s v=""/>
    <s v=""/>
    <s v=""/>
    <s v=""/>
  </r>
  <r>
    <s v="Der_schwangere_Moench.csv"/>
    <s v="#Man-der-vrouwe"/>
    <x v="0"/>
    <s v="unbekannt"/>
    <x v="3"/>
    <s v="ehemann"/>
    <x v="1"/>
    <x v="2"/>
    <x v="1"/>
    <n v="0.75"/>
    <n v="0.30357142857142899"/>
    <n v="0.44444444444444398"/>
    <n v="6.88296229739426E-2"/>
    <x v="0"/>
    <x v="1"/>
    <s v=""/>
    <s v=""/>
    <s v=""/>
    <s v=""/>
    <s v=""/>
  </r>
  <r>
    <s v="Der_schwangere_Moench.csv"/>
    <s v="#Muenche"/>
    <x v="2"/>
    <s v="klerus:moench"/>
    <x v="3"/>
    <s v="unbekannt"/>
    <x v="1"/>
    <x v="4"/>
    <x v="1"/>
    <n v="1"/>
    <n v="0.107142857142857"/>
    <n v="0.4"/>
    <n v="0.327618125355643"/>
    <x v="3"/>
    <x v="1"/>
    <s v=""/>
    <s v=""/>
    <s v=""/>
    <s v=""/>
    <s v=""/>
  </r>
  <r>
    <s v="Der_schwangere_Moench.csv"/>
    <s v="#Hof-man"/>
    <x v="0"/>
    <s v="bauer"/>
    <x v="3"/>
    <s v="unbekannt"/>
    <x v="1"/>
    <x v="5"/>
    <x v="1"/>
    <n v="0.5"/>
    <n v="8.9285714285714302E-2"/>
    <n v="0.36363636363636398"/>
    <n v="6.0601872719788299E-2"/>
    <x v="3"/>
    <x v="1"/>
    <s v=""/>
    <s v=""/>
    <s v=""/>
    <s v=""/>
    <s v=""/>
  </r>
  <r>
    <s v="Der_schwangere_Moench.csv"/>
    <s v="#Witwen-sun"/>
    <x v="0"/>
    <s v="unbekannt"/>
    <x v="3"/>
    <s v="unbekannt"/>
    <x v="1"/>
    <x v="2"/>
    <x v="1"/>
    <n v="0.5"/>
    <n v="0"/>
    <n v="0.25"/>
    <n v="0.20966391889111699"/>
    <x v="3"/>
    <x v="1"/>
    <s v=""/>
    <s v=""/>
    <s v=""/>
    <s v=""/>
    <s v=""/>
  </r>
  <r>
    <s v="Der_schwangere_Moench.csv"/>
    <s v="#Alter-muench"/>
    <x v="0"/>
    <s v="klerus:moench"/>
    <x v="2"/>
    <s v="bote"/>
    <x v="1"/>
    <x v="4"/>
    <x v="1"/>
    <n v="0.75"/>
    <n v="8.9285714285714302E-2"/>
    <n v="0.38095238095238099"/>
    <n v="0.23384868200828701"/>
    <x v="12"/>
    <x v="1"/>
    <s v=""/>
    <s v=""/>
    <s v=""/>
    <s v=""/>
    <s v=""/>
  </r>
  <r>
    <s v="Der_Sperber.csv"/>
    <s v="#Nonnen"/>
    <x v="2"/>
    <s v="klerus:nonne"/>
    <x v="3"/>
    <s v="unbekannt"/>
    <x v="1"/>
    <x v="4"/>
    <x v="2"/>
    <n v="2"/>
    <n v="0.66666666666666696"/>
    <n v="0.75"/>
    <n v="0.20164722966590601"/>
    <x v="3"/>
    <x v="1"/>
    <s v=""/>
    <s v=""/>
    <s v=""/>
    <s v=""/>
    <s v=""/>
  </r>
  <r>
    <s v="Der_Sperber.csv"/>
    <s v="#Schuole-meisterin"/>
    <x v="1"/>
    <s v="klerus:nonne"/>
    <x v="3"/>
    <s v="helfer"/>
    <x v="1"/>
    <x v="4"/>
    <x v="2"/>
    <n v="2"/>
    <n v="0"/>
    <n v="0.6"/>
    <n v="0.37344680002823999"/>
    <x v="6"/>
    <x v="1"/>
    <s v=""/>
    <s v=""/>
    <s v=""/>
    <s v=""/>
    <s v=""/>
  </r>
  <r>
    <s v="Der_Sperber.csv"/>
    <s v="#Junk-vrouwe"/>
    <x v="1"/>
    <s v="klerus:nonne"/>
    <x v="0"/>
    <s v="betrogener"/>
    <x v="0"/>
    <x v="4"/>
    <x v="2"/>
    <n v="2"/>
    <n v="0"/>
    <n v="0.375"/>
    <n v="1"/>
    <x v="5"/>
    <x v="1"/>
    <s v=""/>
    <n v="2"/>
    <s v=""/>
    <s v=""/>
    <s v=""/>
  </r>
  <r>
    <s v="Der_Sperber.csv"/>
    <s v="#Ritter"/>
    <x v="0"/>
    <s v="adel:ritter"/>
    <x v="3"/>
    <s v="betrueger"/>
    <x v="1"/>
    <x v="1"/>
    <x v="2"/>
    <n v="2"/>
    <n v="0"/>
    <n v="0.6"/>
    <n v="0.946112034569356"/>
    <x v="4"/>
    <x v="1"/>
    <n v="1"/>
    <s v=""/>
    <s v=""/>
    <s v=""/>
    <s v=""/>
  </r>
  <r>
    <s v="Der_unbelehrbare_Zecher.csv"/>
    <s v="#Wines-slunt"/>
    <x v="0"/>
    <s v="unbekannt"/>
    <x v="3"/>
    <s v="unbekannt"/>
    <x v="0"/>
    <x v="2"/>
    <x v="1"/>
    <n v="0"/>
    <n v="0"/>
    <n v="0"/>
    <n v="0"/>
    <x v="3"/>
    <x v="1"/>
    <s v=""/>
    <s v=""/>
    <s v=""/>
    <s v=""/>
    <s v=""/>
  </r>
  <r>
    <s v="Der_unbelehrbare_Zecher.csv"/>
    <s v="#Freunt"/>
    <x v="0"/>
    <s v="unbekannt"/>
    <x v="3"/>
    <s v="gegenspieler"/>
    <x v="0"/>
    <x v="2"/>
    <x v="1"/>
    <n v="0"/>
    <n v="0"/>
    <n v="0"/>
    <n v="0"/>
    <x v="10"/>
    <x v="1"/>
    <s v=""/>
    <s v=""/>
    <s v=""/>
    <s v=""/>
    <n v="5"/>
  </r>
  <r>
    <s v="Der_verkehrte_Wirt.csv"/>
    <s v="#Ritter"/>
    <x v="0"/>
    <s v="adel:ritter"/>
    <x v="2"/>
    <s v="ehemann/betrogener"/>
    <x v="0"/>
    <x v="1"/>
    <x v="3"/>
    <n v="1.5"/>
    <n v="0"/>
    <n v="0.16"/>
    <n v="1"/>
    <x v="5"/>
    <x v="1"/>
    <s v=""/>
    <n v="2"/>
    <s v=""/>
    <s v=""/>
    <s v=""/>
  </r>
  <r>
    <s v="Der_verkehrte_Wirt.csv"/>
    <s v="#Wip"/>
    <x v="1"/>
    <s v="adel:edelfrau"/>
    <x v="3"/>
    <s v="ehefrau/betrueger"/>
    <x v="0"/>
    <x v="1"/>
    <x v="3"/>
    <n v="2"/>
    <n v="0.33333333333333298"/>
    <n v="0.25"/>
    <n v="0.99954369641468699"/>
    <x v="4"/>
    <x v="1"/>
    <n v="1"/>
    <s v=""/>
    <s v=""/>
    <s v=""/>
    <s v=""/>
  </r>
  <r>
    <s v="Der_verkehrte_Wirt.csv"/>
    <s v="#Buoler"/>
    <x v="0"/>
    <s v="adel:ritter"/>
    <x v="3"/>
    <s v="betrueger"/>
    <x v="1"/>
    <x v="1"/>
    <x v="3"/>
    <n v="1.5"/>
    <n v="0.33333333333333298"/>
    <n v="0.25"/>
    <n v="0.44449245889201999"/>
    <x v="4"/>
    <x v="1"/>
    <n v="1"/>
    <s v=""/>
    <s v=""/>
    <s v=""/>
    <s v=""/>
  </r>
  <r>
    <s v="Der_verkehrte_Wirt.csv"/>
    <s v="#Bote"/>
    <x v="0"/>
    <s v="unbekannt"/>
    <x v="3"/>
    <s v="bote"/>
    <x v="1"/>
    <x v="2"/>
    <x v="3"/>
    <n v="1"/>
    <n v="0.5"/>
    <n v="0.266666666666667"/>
    <n v="5.8059205976879698E-2"/>
    <x v="12"/>
    <x v="1"/>
    <s v=""/>
    <s v=""/>
    <s v=""/>
    <s v=""/>
    <s v=""/>
  </r>
  <r>
    <s v="Der_verkehrte_Wirt.csv"/>
    <s v="#Gevaterin"/>
    <x v="1"/>
    <s v="unbekannt"/>
    <x v="3"/>
    <s v="helfer"/>
    <x v="1"/>
    <x v="2"/>
    <x v="3"/>
    <n v="1"/>
    <n v="0"/>
    <n v="0.14285714285714299"/>
    <n v="0.52257051818489497"/>
    <x v="6"/>
    <x v="1"/>
    <s v=""/>
    <s v=""/>
    <s v=""/>
    <s v=""/>
    <s v=""/>
  </r>
  <r>
    <s v="Der_wahrsagende_Baum.csv"/>
    <s v="#Man"/>
    <x v="0"/>
    <s v="unbekannt"/>
    <x v="3"/>
    <s v="ehemann"/>
    <x v="0"/>
    <x v="2"/>
    <x v="3"/>
    <n v="0"/>
    <n v="0"/>
    <n v="0"/>
    <n v="0"/>
    <x v="0"/>
    <x v="1"/>
    <s v=""/>
    <s v=""/>
    <s v=""/>
    <s v=""/>
    <s v=""/>
  </r>
  <r>
    <s v="Der_wahrsagende_Baum.csv"/>
    <s v="#Wip"/>
    <x v="1"/>
    <s v="unbekannt"/>
    <x v="3"/>
    <s v="ehefrau"/>
    <x v="0"/>
    <x v="2"/>
    <x v="3"/>
    <n v="0"/>
    <n v="0"/>
    <n v="0"/>
    <n v="0"/>
    <x v="1"/>
    <x v="1"/>
    <s v=""/>
    <s v=""/>
    <s v=""/>
    <s v=""/>
    <s v=""/>
  </r>
  <r>
    <s v="Der_weiße_Rosendorn.csv"/>
    <s v="#Junk-vrouw"/>
    <x v="1"/>
    <s v="unbekannt"/>
    <x v="3"/>
    <s v="gegenspieler"/>
    <x v="0"/>
    <x v="2"/>
    <x v="1"/>
    <n v="0"/>
    <n v="0"/>
    <n v="0"/>
    <n v="0"/>
    <x v="10"/>
    <x v="0"/>
    <s v=""/>
    <s v=""/>
    <s v=""/>
    <s v=""/>
    <n v="5"/>
  </r>
  <r>
    <s v="Der_weiße_Rosendorn.csv"/>
    <s v="#Vut"/>
    <x v="4"/>
    <s v="NA"/>
    <x v="4"/>
    <s v="gegenspieler"/>
    <x v="0"/>
    <x v="0"/>
    <x v="1"/>
    <n v="0"/>
    <n v="0"/>
    <n v="0"/>
    <n v="0"/>
    <x v="10"/>
    <x v="0"/>
    <s v=""/>
    <s v=""/>
    <s v=""/>
    <s v=""/>
    <n v="5"/>
  </r>
  <r>
    <s v="Der_weiße_Rosendorn.csv"/>
    <s v="#Schuoler"/>
    <x v="0"/>
    <s v="buergerlich:schueler"/>
    <x v="3"/>
    <s v="unbekannt"/>
    <x v="1"/>
    <x v="3"/>
    <x v="1"/>
    <n v="0"/>
    <n v="0"/>
    <n v="0"/>
    <n v="0"/>
    <x v="3"/>
    <x v="0"/>
    <s v=""/>
    <s v=""/>
    <s v=""/>
    <s v=""/>
    <s v=""/>
  </r>
  <r>
    <s v="Der_Welt_Lohn.csv"/>
    <s v="#Her-Wirent-da-von-Gravenberk"/>
    <x v="0"/>
    <s v="adel:ritter"/>
    <x v="3"/>
    <s v="unbekannt"/>
    <x v="0"/>
    <x v="1"/>
    <x v="1"/>
    <n v="0"/>
    <n v="0"/>
    <n v="0"/>
    <n v="0"/>
    <x v="3"/>
    <x v="0"/>
    <s v=""/>
    <s v=""/>
    <s v=""/>
    <s v=""/>
    <s v=""/>
  </r>
  <r>
    <s v="Der_Welt_Lohn.csv"/>
    <s v="#Werlt"/>
    <x v="1"/>
    <s v="NA"/>
    <x v="4"/>
    <s v="unbekannt"/>
    <x v="0"/>
    <x v="0"/>
    <x v="1"/>
    <n v="0"/>
    <n v="0"/>
    <n v="0"/>
    <n v="0"/>
    <x v="3"/>
    <x v="0"/>
    <s v=""/>
    <s v=""/>
    <s v=""/>
    <s v=""/>
    <s v=""/>
  </r>
  <r>
    <s v="Der_Weltheilige.csv"/>
    <s v="#Luoderaere"/>
    <x v="0"/>
    <s v="unbekannt"/>
    <x v="3"/>
    <s v="betrueger"/>
    <x v="0"/>
    <x v="2"/>
    <x v="1"/>
    <n v="2"/>
    <n v="0.7"/>
    <n v="0.45454545454545497"/>
    <n v="1"/>
    <x v="4"/>
    <x v="1"/>
    <n v="1"/>
    <s v=""/>
    <s v=""/>
    <s v=""/>
    <s v=""/>
  </r>
  <r>
    <s v="Der_Weltheilige.csv"/>
    <s v="#Vriunden"/>
    <x v="2"/>
    <s v="unbekannt"/>
    <x v="3"/>
    <s v="unbekannt"/>
    <x v="1"/>
    <x v="2"/>
    <x v="1"/>
    <n v="0.8"/>
    <n v="0"/>
    <n v="0.217391304347826"/>
    <n v="0.67150236807641095"/>
    <x v="3"/>
    <x v="1"/>
    <s v=""/>
    <s v=""/>
    <s v=""/>
    <s v=""/>
    <s v=""/>
  </r>
  <r>
    <s v="Der_Weltheilige.csv"/>
    <s v="#Pfaffe"/>
    <x v="0"/>
    <s v="klerus:pfarrer"/>
    <x v="3"/>
    <s v="unbekannt"/>
    <x v="1"/>
    <x v="4"/>
    <x v="1"/>
    <n v="0.8"/>
    <n v="0.4"/>
    <n v="0.33333333333333298"/>
    <n v="0.29570716340551501"/>
    <x v="3"/>
    <x v="1"/>
    <s v=""/>
    <s v=""/>
    <s v=""/>
    <s v=""/>
    <s v=""/>
  </r>
  <r>
    <s v="Der_Weltheilige.csv"/>
    <s v="#Wip-1"/>
    <x v="1"/>
    <s v="unbekannt"/>
    <x v="3"/>
    <s v="helfer"/>
    <x v="1"/>
    <x v="2"/>
    <x v="1"/>
    <n v="1.2"/>
    <n v="0"/>
    <n v="0.3125"/>
    <n v="0.73116852160074197"/>
    <x v="6"/>
    <x v="1"/>
    <s v=""/>
    <s v=""/>
    <s v=""/>
    <s v=""/>
    <s v=""/>
  </r>
  <r>
    <s v="Der_Weltheilige.csv"/>
    <s v="#Knecht-von-wip-1"/>
    <x v="0"/>
    <s v="unbekannt:knecht"/>
    <x v="3"/>
    <s v="begleiter"/>
    <x v="1"/>
    <x v="2"/>
    <x v="1"/>
    <n v="0.8"/>
    <n v="0.3"/>
    <n v="0.38461538461538503"/>
    <n v="0.15313138128802001"/>
    <x v="14"/>
    <x v="1"/>
    <s v=""/>
    <s v=""/>
    <s v=""/>
    <s v=""/>
    <s v=""/>
  </r>
  <r>
    <s v="Der_Weltheilige.csv"/>
    <s v="#Wip-2"/>
    <x v="1"/>
    <s v="unbekannt"/>
    <x v="3"/>
    <s v="unbekannt"/>
    <x v="1"/>
    <x v="2"/>
    <x v="1"/>
    <n v="0.8"/>
    <n v="0"/>
    <n v="0.27777777777777801"/>
    <n v="0.37093864148094902"/>
    <x v="3"/>
    <x v="1"/>
    <s v=""/>
    <s v=""/>
    <s v=""/>
    <s v=""/>
    <s v=""/>
  </r>
  <r>
    <s v="Der_Wiener_Meerfahrt.csv"/>
    <s v="#Burgaere"/>
    <x v="2"/>
    <s v="buergerlich:unbekannt"/>
    <x v="3"/>
    <s v="betrueger"/>
    <x v="0"/>
    <x v="3"/>
    <x v="1"/>
    <n v="1.6923076923076901"/>
    <n v="0.354700854700855"/>
    <n v="0.29545454545454503"/>
    <n v="1"/>
    <x v="4"/>
    <x v="1"/>
    <n v="1"/>
    <s v=""/>
    <s v=""/>
    <s v=""/>
    <s v=""/>
  </r>
  <r>
    <s v="Der_Wiener_Meerfahrt.csv"/>
    <s v="#Wirt"/>
    <x v="0"/>
    <s v="buergerlich:wirt"/>
    <x v="3"/>
    <s v="unbekannt"/>
    <x v="1"/>
    <x v="3"/>
    <x v="1"/>
    <n v="0.46153846153846201"/>
    <n v="0"/>
    <n v="0.22807017543859601"/>
    <n v="0.171088408347843"/>
    <x v="3"/>
    <x v="1"/>
    <s v=""/>
    <s v=""/>
    <s v=""/>
    <s v=""/>
    <s v=""/>
  </r>
  <r>
    <s v="Der_Wiener_Meerfahrt.csv"/>
    <s v="#Einer"/>
    <x v="0"/>
    <s v="buergerlich:unbekannt"/>
    <x v="3"/>
    <s v="unbekannt"/>
    <x v="1"/>
    <x v="3"/>
    <x v="1"/>
    <n v="0.76923076923076905"/>
    <n v="2.6068376068376101E-2"/>
    <n v="0.245283018867925"/>
    <n v="0.53880985936399495"/>
    <x v="3"/>
    <x v="1"/>
    <s v=""/>
    <s v=""/>
    <s v=""/>
    <s v=""/>
    <s v=""/>
  </r>
  <r>
    <s v="Der_Wiener_Meerfahrt.csv"/>
    <s v="#Ein-ander"/>
    <x v="0"/>
    <s v="buergerlich:unbekannt"/>
    <x v="3"/>
    <s v="unbekannt"/>
    <x v="1"/>
    <x v="3"/>
    <x v="1"/>
    <n v="0.92307692307692302"/>
    <n v="4.6153846153846101E-2"/>
    <n v="0.25490196078431399"/>
    <n v="0.442325029869159"/>
    <x v="3"/>
    <x v="1"/>
    <s v=""/>
    <s v=""/>
    <s v=""/>
    <s v=""/>
    <s v=""/>
  </r>
  <r>
    <s v="Der_Wiener_Meerfahrt.csv"/>
    <s v="#Schribaere"/>
    <x v="0"/>
    <s v="buergerlich:schreiber"/>
    <x v="3"/>
    <s v="unbekannt"/>
    <x v="1"/>
    <x v="3"/>
    <x v="1"/>
    <n v="0.76923076923076905"/>
    <n v="6.7307692307692304E-2"/>
    <n v="0.26"/>
    <n v="0.33076300976294698"/>
    <x v="3"/>
    <x v="1"/>
    <s v=""/>
    <s v=""/>
    <s v=""/>
    <s v=""/>
    <s v=""/>
  </r>
  <r>
    <s v="Der_Wiener_Meerfahrt.csv"/>
    <s v="#Ein-burger"/>
    <x v="0"/>
    <s v="buergerlich:unbekannt"/>
    <x v="3"/>
    <s v="unbekannt"/>
    <x v="1"/>
    <x v="3"/>
    <x v="1"/>
    <n v="0.30769230769230799"/>
    <n v="4.48717948717949E-2"/>
    <n v="0.25490196078431399"/>
    <n v="9.2309779935597094E-2"/>
    <x v="3"/>
    <x v="1"/>
    <s v=""/>
    <s v=""/>
    <s v=""/>
    <s v=""/>
    <s v=""/>
  </r>
  <r>
    <s v="Der_Wiener_Meerfahrt.csv"/>
    <s v="#Einer-2"/>
    <x v="0"/>
    <s v="buergerlich:unbekannt"/>
    <x v="3"/>
    <s v="unbekannt"/>
    <x v="1"/>
    <x v="3"/>
    <x v="1"/>
    <n v="0.15384615384615399"/>
    <n v="0"/>
    <n v="7.69230769230769E-2"/>
    <n v="4.0528826699823401E-17"/>
    <x v="3"/>
    <x v="1"/>
    <s v=""/>
    <s v=""/>
    <s v=""/>
    <s v=""/>
    <s v=""/>
  </r>
  <r>
    <s v="Der_Wiener_Meerfahrt.csv"/>
    <s v="#Dri-buerger"/>
    <x v="2"/>
    <s v="buergerlich:unbekannt"/>
    <x v="3"/>
    <s v="unbekannt"/>
    <x v="1"/>
    <x v="3"/>
    <x v="1"/>
    <n v="0.15384615384615399"/>
    <n v="0"/>
    <n v="7.69230769230769E-2"/>
    <n v="4.5273225956579E-17"/>
    <x v="3"/>
    <x v="1"/>
    <s v=""/>
    <s v=""/>
    <s v=""/>
    <s v=""/>
    <s v=""/>
  </r>
  <r>
    <s v="Der_Wiener_Meerfahrt.csv"/>
    <s v="#Richer-burger"/>
    <x v="0"/>
    <s v="buergerlich:unbekannt"/>
    <x v="3"/>
    <s v="betrogener"/>
    <x v="0"/>
    <x v="3"/>
    <x v="1"/>
    <n v="1.07692307692308"/>
    <n v="6.41025641025641E-3"/>
    <n v="0.25"/>
    <n v="0.83713576155104497"/>
    <x v="5"/>
    <x v="1"/>
    <s v=""/>
    <n v="2"/>
    <s v=""/>
    <s v=""/>
    <s v=""/>
  </r>
  <r>
    <s v="Der_Wiener_Meerfahrt.csv"/>
    <s v="#Dritte"/>
    <x v="0"/>
    <s v="buergerlich:unbekannt"/>
    <x v="3"/>
    <s v="unbekannt"/>
    <x v="1"/>
    <x v="3"/>
    <x v="1"/>
    <n v="0.61538461538461497"/>
    <n v="4.6367521367521397E-2"/>
    <n v="0.27083333333333298"/>
    <n v="0.145465960922014"/>
    <x v="3"/>
    <x v="1"/>
    <s v=""/>
    <s v=""/>
    <s v=""/>
    <s v=""/>
    <s v=""/>
  </r>
  <r>
    <s v="Der_Wiener_Meerfahrt.csv"/>
    <s v="#Vierde"/>
    <x v="0"/>
    <s v="buergerlich:unbekannt"/>
    <x v="3"/>
    <s v="unbekannt"/>
    <x v="1"/>
    <x v="3"/>
    <x v="1"/>
    <n v="0.61538461538461497"/>
    <n v="4.6367521367521397E-2"/>
    <n v="0.27083333333333298"/>
    <n v="0.145465960922014"/>
    <x v="3"/>
    <x v="1"/>
    <s v=""/>
    <s v=""/>
    <s v=""/>
    <s v=""/>
    <s v=""/>
  </r>
  <r>
    <s v="Der_Wiener_Meerfahrt.csv"/>
    <s v="#Vijnfte"/>
    <x v="0"/>
    <s v="buergerlich:unbekannt"/>
    <x v="3"/>
    <s v="unbekannt"/>
    <x v="1"/>
    <x v="3"/>
    <x v="1"/>
    <n v="0.15384615384615399"/>
    <n v="0"/>
    <n v="0.240740740740741"/>
    <n v="5.9987775210739502E-2"/>
    <x v="3"/>
    <x v="1"/>
    <s v=""/>
    <s v=""/>
    <s v=""/>
    <s v=""/>
    <s v=""/>
  </r>
  <r>
    <s v="Der_Wiener_Meerfahrt.csv"/>
    <s v="#Nuechterne"/>
    <x v="2"/>
    <s v="buergerlich:unbekannt"/>
    <x v="3"/>
    <s v="unbekannt"/>
    <x v="1"/>
    <x v="3"/>
    <x v="1"/>
    <n v="0.61538461538461497"/>
    <n v="0.111538461538462"/>
    <n v="0.27659574468085102"/>
    <n v="0.19052854903915101"/>
    <x v="3"/>
    <x v="1"/>
    <s v=""/>
    <s v=""/>
    <s v=""/>
    <s v=""/>
    <s v=""/>
  </r>
  <r>
    <s v="Der_Wiener_Meerfahrt.csv"/>
    <s v="#Vriunde-des-richen"/>
    <x v="2"/>
    <s v="buergerlich:unbekannt"/>
    <x v="3"/>
    <s v="gegenspieler"/>
    <x v="1"/>
    <x v="3"/>
    <x v="1"/>
    <n v="0.30769230769230799"/>
    <n v="0"/>
    <n v="0.245283018867925"/>
    <n v="0.16042359898033001"/>
    <x v="10"/>
    <x v="1"/>
    <s v=""/>
    <s v=""/>
    <s v=""/>
    <s v=""/>
    <n v="5"/>
  </r>
  <r>
    <s v="Des_Bruders_Felix_Verzueckung.csv"/>
    <s v="#Felix"/>
    <x v="0"/>
    <s v="klerus:moench"/>
    <x v="3"/>
    <s v="unbekannt"/>
    <x v="0"/>
    <x v="4"/>
    <x v="1"/>
    <n v="2"/>
    <n v="0"/>
    <n v="0.44444444444444398"/>
    <n v="1"/>
    <x v="3"/>
    <x v="0"/>
    <s v=""/>
    <s v=""/>
    <s v=""/>
    <s v=""/>
    <s v=""/>
  </r>
  <r>
    <s v="Des_Bruders_Felix_Verzueckung.csv"/>
    <s v="#Pfortenaere"/>
    <x v="0"/>
    <s v="klerus:pfortner"/>
    <x v="3"/>
    <s v="gegenspieler"/>
    <x v="1"/>
    <x v="4"/>
    <x v="1"/>
    <n v="1"/>
    <n v="0"/>
    <n v="0.4"/>
    <n v="0.46203707670192201"/>
    <x v="10"/>
    <x v="0"/>
    <s v=""/>
    <s v=""/>
    <s v=""/>
    <s v=""/>
    <n v="5"/>
  </r>
  <r>
    <s v="Des_Bruders_Felix_Verzueckung.csv"/>
    <s v="#Apt"/>
    <x v="0"/>
    <s v="klerus:abt"/>
    <x v="3"/>
    <s v="unbekannt"/>
    <x v="1"/>
    <x v="4"/>
    <x v="1"/>
    <n v="2"/>
    <n v="0.33333333333333298"/>
    <n v="0.5"/>
    <n v="0.96406043082997095"/>
    <x v="3"/>
    <x v="0"/>
    <s v=""/>
    <s v=""/>
    <s v=""/>
    <s v=""/>
    <s v=""/>
  </r>
  <r>
    <s v="Des_Bruders_Felix_Verzueckung.csv"/>
    <s v="#Eldisten"/>
    <x v="2"/>
    <s v="klerus:moench"/>
    <x v="3"/>
    <s v="unbekannt"/>
    <x v="1"/>
    <x v="4"/>
    <x v="1"/>
    <n v="1.5"/>
    <n v="0"/>
    <n v="0.5"/>
    <n v="0.50448143521806499"/>
    <x v="3"/>
    <x v="0"/>
    <s v=""/>
    <s v=""/>
    <s v=""/>
    <s v=""/>
    <s v=""/>
  </r>
  <r>
    <s v="Des_Bruders_Felix_Verzueckung.csv"/>
    <s v="#Muench"/>
    <x v="0"/>
    <s v="klerus:moench"/>
    <x v="2"/>
    <s v="helfer"/>
    <x v="1"/>
    <x v="4"/>
    <x v="1"/>
    <n v="1.5"/>
    <n v="0.25"/>
    <n v="0.57142857142857095"/>
    <n v="0.400092167716463"/>
    <x v="6"/>
    <x v="0"/>
    <s v=""/>
    <s v=""/>
    <s v=""/>
    <s v=""/>
    <s v=""/>
  </r>
  <r>
    <s v="Die_alte_Mutter_und_Kaiser_Friedrich.csv"/>
    <s v="#Keiser-Vridrich"/>
    <x v="0"/>
    <s v="adel:kaiser"/>
    <x v="3"/>
    <s v="helfer"/>
    <x v="1"/>
    <x v="1"/>
    <x v="1"/>
    <n v="1.1111111111111101"/>
    <n v="7.6388888888888895E-2"/>
    <n v="0.33333333333333298"/>
    <n v="0.68078474513314302"/>
    <x v="6"/>
    <x v="1"/>
    <s v=""/>
    <s v=""/>
    <s v=""/>
    <s v=""/>
    <s v=""/>
  </r>
  <r>
    <s v="Die_alte_Mutter_und_Kaiser_Friedrich.csv"/>
    <s v="#Fremder-ritter"/>
    <x v="0"/>
    <s v="adel:ritter"/>
    <x v="3"/>
    <s v="betrogener"/>
    <x v="0"/>
    <x v="1"/>
    <x v="1"/>
    <n v="1.55555555555556"/>
    <n v="5.7870370370370398E-2"/>
    <n v="0.36"/>
    <n v="0.88699304273590596"/>
    <x v="5"/>
    <x v="1"/>
    <s v=""/>
    <n v="2"/>
    <s v=""/>
    <s v=""/>
    <s v=""/>
  </r>
  <r>
    <s v="Die_alte_Mutter_und_Kaiser_Friedrich.csv"/>
    <s v="#Muoter"/>
    <x v="1"/>
    <s v="adel:edelfrau"/>
    <x v="2"/>
    <s v="betrogener"/>
    <x v="0"/>
    <x v="1"/>
    <x v="1"/>
    <n v="1.7777777777777799"/>
    <n v="0.26388888888888901"/>
    <n v="0.39130434782608697"/>
    <n v="1"/>
    <x v="5"/>
    <x v="1"/>
    <s v=""/>
    <n v="2"/>
    <s v=""/>
    <s v=""/>
    <s v=""/>
  </r>
  <r>
    <s v="Die_alte_Mutter_und_Kaiser_Friedrich.csv"/>
    <s v="#Ein-ritter"/>
    <x v="0"/>
    <s v="adel:ritter"/>
    <x v="3"/>
    <s v="unbekannt"/>
    <x v="1"/>
    <x v="1"/>
    <x v="1"/>
    <n v="0"/>
    <n v="0"/>
    <n v="0.1"/>
    <n v="0"/>
    <x v="3"/>
    <x v="1"/>
    <s v=""/>
    <s v=""/>
    <s v=""/>
    <s v=""/>
    <s v=""/>
  </r>
  <r>
    <s v="Die_alte_Mutter_und_Kaiser_Friedrich.csv"/>
    <s v="#Liute"/>
    <x v="2"/>
    <s v="unbekannt"/>
    <x v="3"/>
    <s v="unbekannt"/>
    <x v="1"/>
    <x v="2"/>
    <x v="1"/>
    <n v="0.88888888888888895"/>
    <n v="0"/>
    <n v="0.3"/>
    <n v="0.27620196624966498"/>
    <x v="3"/>
    <x v="1"/>
    <s v=""/>
    <s v=""/>
    <s v=""/>
    <s v=""/>
    <s v=""/>
  </r>
  <r>
    <s v="Die_alte_Mutter_und_Kaiser_Friedrich.csv"/>
    <s v="#Man-der-muoter"/>
    <x v="0"/>
    <s v="adel:unbekannt"/>
    <x v="5"/>
    <s v="unbekannt"/>
    <x v="1"/>
    <x v="1"/>
    <x v="1"/>
    <n v="0.44444444444444398"/>
    <n v="3.4722222222222203E-2"/>
    <n v="0.33333333333333298"/>
    <n v="5.0943220616632798E-2"/>
    <x v="3"/>
    <x v="1"/>
    <s v=""/>
    <s v=""/>
    <s v=""/>
    <s v=""/>
    <s v=""/>
  </r>
  <r>
    <s v="Die_alte_Mutter_und_Kaiser_Friedrich.csv"/>
    <s v="#Sun"/>
    <x v="0"/>
    <s v="adel:ritter"/>
    <x v="0"/>
    <s v="betrueger"/>
    <x v="0"/>
    <x v="1"/>
    <x v="1"/>
    <n v="1.3333333333333299"/>
    <n v="8.7962962962963007E-2"/>
    <n v="0.34615384615384598"/>
    <n v="0.59414139280215195"/>
    <x v="4"/>
    <x v="1"/>
    <n v="1"/>
    <s v=""/>
    <s v=""/>
    <s v=""/>
    <s v=""/>
  </r>
  <r>
    <s v="Die_alte_Mutter_und_Kaiser_Friedrich.csv"/>
    <s v="#Herre"/>
    <x v="0"/>
    <s v="unbekannt"/>
    <x v="3"/>
    <s v="unbekannt"/>
    <x v="1"/>
    <x v="2"/>
    <x v="1"/>
    <n v="0.66666666666666696"/>
    <n v="0.101851851851852"/>
    <n v="0.36"/>
    <n v="7.928843670947E-2"/>
    <x v="3"/>
    <x v="1"/>
    <s v=""/>
    <s v=""/>
    <s v=""/>
    <s v=""/>
    <s v=""/>
  </r>
  <r>
    <s v="Die_alte_Mutter_und_Kaiser_Friedrich.csv"/>
    <s v="#Ein-ritter-2"/>
    <x v="0"/>
    <s v="adel:ritter"/>
    <x v="3"/>
    <s v="unbekannt"/>
    <x v="1"/>
    <x v="1"/>
    <x v="1"/>
    <n v="0.66666666666666696"/>
    <n v="0.180555555555556"/>
    <n v="0.375"/>
    <n v="8.2057257237367898E-2"/>
    <x v="3"/>
    <x v="1"/>
    <s v=""/>
    <s v=""/>
    <s v=""/>
    <s v=""/>
    <s v=""/>
  </r>
  <r>
    <s v="Die_alte_Mutter_und_Kaiser_Friedrich.csv"/>
    <s v="#Schar-des-suns"/>
    <x v="2"/>
    <s v="unbekannt"/>
    <x v="3"/>
    <s v="unbekannt"/>
    <x v="1"/>
    <x v="2"/>
    <x v="1"/>
    <n v="0.44444444444444398"/>
    <n v="0"/>
    <n v="0.31034482758620702"/>
    <n v="8.8646958028771594E-2"/>
    <x v="3"/>
    <x v="1"/>
    <s v=""/>
    <s v=""/>
    <s v=""/>
    <s v=""/>
    <s v=""/>
  </r>
  <r>
    <s v="Die_Beichte.csv"/>
    <s v="#Man"/>
    <x v="0"/>
    <s v="unbekannt"/>
    <x v="3"/>
    <s v="ehemann/betrueger/betrogener"/>
    <x v="0"/>
    <x v="2"/>
    <x v="3"/>
    <n v="0"/>
    <n v="0"/>
    <n v="0"/>
    <n v="0"/>
    <x v="5"/>
    <x v="1"/>
    <s v=""/>
    <n v="2"/>
    <s v=""/>
    <s v=""/>
    <s v=""/>
  </r>
  <r>
    <s v="Die_Beichte.csv"/>
    <s v="#Vrouwe"/>
    <x v="1"/>
    <s v="unbekannt"/>
    <x v="3"/>
    <s v="ehefrau/betrueger/betrogener"/>
    <x v="0"/>
    <x v="2"/>
    <x v="3"/>
    <n v="0"/>
    <n v="0"/>
    <n v="0"/>
    <n v="0"/>
    <x v="5"/>
    <x v="1"/>
    <s v=""/>
    <n v="2"/>
    <s v=""/>
    <s v=""/>
    <s v=""/>
  </r>
  <r>
    <s v="Die_drei_Moenche_von_Kolmar.csv"/>
    <s v="#Man"/>
    <x v="0"/>
    <s v="unbekannt"/>
    <x v="3"/>
    <s v="ehemann/betrueger"/>
    <x v="0"/>
    <x v="2"/>
    <x v="1"/>
    <n v="1.6666666666666701"/>
    <n v="0"/>
    <n v="0.12765957446808501"/>
    <n v="0.95661262941960301"/>
    <x v="4"/>
    <x v="1"/>
    <n v="1"/>
    <s v=""/>
    <s v=""/>
    <s v=""/>
    <s v=""/>
  </r>
  <r>
    <s v="Die_drei_Moenche_von_Kolmar.csv"/>
    <s v="#Vrouwe"/>
    <x v="1"/>
    <s v="unbekannt"/>
    <x v="0"/>
    <s v="ehefrau/betrueger"/>
    <x v="0"/>
    <x v="2"/>
    <x v="1"/>
    <n v="1.3333333333333299"/>
    <n v="0"/>
    <n v="0.11764705882352899"/>
    <n v="1"/>
    <x v="4"/>
    <x v="1"/>
    <n v="1"/>
    <s v=""/>
    <s v=""/>
    <s v=""/>
    <s v=""/>
  </r>
  <r>
    <s v="Die_drei_Moenche_von_Kolmar.csv"/>
    <s v="#Bruoder-TetiÃ "/>
    <x v="0"/>
    <s v="klerus:moench"/>
    <x v="3"/>
    <s v="betrogener"/>
    <x v="1"/>
    <x v="4"/>
    <x v="1"/>
    <n v="2"/>
    <n v="5.5555555555555601E-2"/>
    <n v="0.25"/>
    <n v="0.95222085104804999"/>
    <x v="5"/>
    <x v="1"/>
    <s v=""/>
    <n v="2"/>
    <s v=""/>
    <s v=""/>
    <s v=""/>
  </r>
  <r>
    <s v="Die_drei_Moenche_von_Kolmar.csv"/>
    <s v="#Muench"/>
    <x v="0"/>
    <s v="klerus:moench"/>
    <x v="3"/>
    <s v="betrogener"/>
    <x v="1"/>
    <x v="4"/>
    <x v="1"/>
    <n v="2"/>
    <n v="0"/>
    <n v="0.230769230769231"/>
    <n v="0.87113382517415705"/>
    <x v="5"/>
    <x v="1"/>
    <s v=""/>
    <n v="2"/>
    <s v=""/>
    <s v=""/>
    <s v=""/>
  </r>
  <r>
    <s v="Die_drei_Moenche_von_Kolmar.csv"/>
    <s v="#Augustiner-muench"/>
    <x v="0"/>
    <s v="klerus:moench"/>
    <x v="3"/>
    <s v="betrogener"/>
    <x v="1"/>
    <x v="4"/>
    <x v="1"/>
    <n v="2"/>
    <n v="0.53333333333333299"/>
    <n v="0.28571428571428598"/>
    <n v="0.67807182041540304"/>
    <x v="5"/>
    <x v="1"/>
    <s v=""/>
    <n v="2"/>
    <s v=""/>
    <s v=""/>
    <s v=""/>
  </r>
  <r>
    <s v="Die_drei_Moenche_von_Kolmar.csv"/>
    <s v="#Schuoler"/>
    <x v="0"/>
    <s v="buergerlich:schueler"/>
    <x v="3"/>
    <s v="helfer"/>
    <x v="1"/>
    <x v="3"/>
    <x v="1"/>
    <n v="1.6666666666666701"/>
    <n v="0"/>
    <n v="0.1875"/>
    <n v="0.37870162876688301"/>
    <x v="6"/>
    <x v="1"/>
    <s v=""/>
    <s v=""/>
    <s v=""/>
    <s v=""/>
    <s v=""/>
  </r>
  <r>
    <s v="Die_drei_Moenche_von_Kolmar.csv"/>
    <s v="#Ein-bruoder"/>
    <x v="0"/>
    <s v="klerus:moench"/>
    <x v="3"/>
    <s v="betrogener"/>
    <x v="1"/>
    <x v="4"/>
    <x v="1"/>
    <n v="1.3333333333333299"/>
    <n v="0.51111111111111096"/>
    <n v="0.28571428571428598"/>
    <n v="9.4801868264653699E-2"/>
    <x v="5"/>
    <x v="1"/>
    <s v=""/>
    <n v="2"/>
    <s v=""/>
    <s v=""/>
    <s v=""/>
  </r>
  <r>
    <s v="Die_drei_Wuensche.csv"/>
    <s v="#Man"/>
    <x v="0"/>
    <s v="bauer"/>
    <x v="3"/>
    <s v="ehemann"/>
    <x v="0"/>
    <x v="5"/>
    <x v="3"/>
    <n v="0"/>
    <n v="0"/>
    <n v="0"/>
    <n v="0"/>
    <x v="0"/>
    <x v="1"/>
    <s v=""/>
    <s v=""/>
    <s v=""/>
    <s v=""/>
    <s v=""/>
  </r>
  <r>
    <s v="Die_drei_Wuensche.csv"/>
    <s v="#Wibe"/>
    <x v="1"/>
    <s v="bauer"/>
    <x v="3"/>
    <s v="ehefrau/gegenspieler"/>
    <x v="0"/>
    <x v="5"/>
    <x v="3"/>
    <n v="0"/>
    <n v="0"/>
    <n v="0"/>
    <n v="0"/>
    <x v="17"/>
    <x v="1"/>
    <s v=""/>
    <s v=""/>
    <s v=""/>
    <s v=""/>
    <s v=""/>
  </r>
  <r>
    <s v="Die_drei_Wuensche.csv"/>
    <s v="#Vriund-der-vrouwe"/>
    <x v="2"/>
    <s v="unbekannt"/>
    <x v="3"/>
    <s v="helfer"/>
    <x v="1"/>
    <x v="2"/>
    <x v="3"/>
    <n v="0"/>
    <n v="0"/>
    <n v="0"/>
    <n v="0"/>
    <x v="6"/>
    <x v="1"/>
    <s v=""/>
    <s v=""/>
    <s v=""/>
    <s v=""/>
    <s v=""/>
  </r>
  <r>
    <s v="Die_eingemauerte_Frau.csv"/>
    <s v="#Ritter"/>
    <x v="0"/>
    <s v="adel:ritter"/>
    <x v="3"/>
    <s v="ehemann"/>
    <x v="0"/>
    <x v="1"/>
    <x v="3"/>
    <n v="1.71428571428571"/>
    <n v="0.119047619047619"/>
    <n v="0.5"/>
    <n v="0.92679401514459703"/>
    <x v="0"/>
    <x v="1"/>
    <s v=""/>
    <s v=""/>
    <s v=""/>
    <s v=""/>
    <s v=""/>
  </r>
  <r>
    <s v="Die_eingemauerte_Frau.csv"/>
    <s v="#Wip"/>
    <x v="1"/>
    <s v="adel:edelfrau"/>
    <x v="3"/>
    <s v="ehefrau"/>
    <x v="0"/>
    <x v="1"/>
    <x v="3"/>
    <n v="2"/>
    <n v="0.15079365079365101"/>
    <n v="0.53846153846153799"/>
    <n v="1"/>
    <x v="1"/>
    <x v="1"/>
    <s v=""/>
    <s v=""/>
    <s v=""/>
    <s v=""/>
    <s v=""/>
  </r>
  <r>
    <s v="Die_eingemauerte_Frau.csv"/>
    <s v="#Ein-Wip"/>
    <x v="1"/>
    <s v="unbekannt"/>
    <x v="3"/>
    <s v="unbekannt"/>
    <x v="1"/>
    <x v="2"/>
    <x v="3"/>
    <n v="0.57142857142857095"/>
    <n v="2.3809523809523801E-2"/>
    <n v="0.41176470588235298"/>
    <n v="0.102434267109328"/>
    <x v="3"/>
    <x v="1"/>
    <s v=""/>
    <s v=""/>
    <s v=""/>
    <s v=""/>
    <s v=""/>
  </r>
  <r>
    <s v="Die_eingemauerte_Frau.csv"/>
    <s v="#Ire-mage"/>
    <x v="2"/>
    <s v="unbekannt"/>
    <x v="3"/>
    <s v="unbekannt"/>
    <x v="1"/>
    <x v="2"/>
    <x v="3"/>
    <n v="0.85714285714285698"/>
    <n v="0"/>
    <n v="0.38888888888888901"/>
    <n v="0.26679899506945498"/>
    <x v="3"/>
    <x v="1"/>
    <s v=""/>
    <s v=""/>
    <s v=""/>
    <s v=""/>
    <s v=""/>
  </r>
  <r>
    <s v="Die_eingemauerte_Frau.csv"/>
    <s v="#Ire-vriunden"/>
    <x v="2"/>
    <s v="unbekannt"/>
    <x v="3"/>
    <s v="unbekannt"/>
    <x v="1"/>
    <x v="2"/>
    <x v="3"/>
    <n v="1.71428571428571"/>
    <n v="0.40476190476190499"/>
    <n v="0.58333333333333304"/>
    <n v="0.58245763204958501"/>
    <x v="3"/>
    <x v="1"/>
    <s v=""/>
    <s v=""/>
    <s v=""/>
    <s v=""/>
    <s v=""/>
  </r>
  <r>
    <s v="Die_eingemauerte_Frau.csv"/>
    <s v="#Ein-friunt"/>
    <x v="3"/>
    <s v="unbekannt"/>
    <x v="3"/>
    <s v="unbekannt"/>
    <x v="1"/>
    <x v="2"/>
    <x v="3"/>
    <n v="0.85714285714285698"/>
    <n v="0.317460317460317"/>
    <n v="0.58333333333333304"/>
    <n v="0.13339949753472699"/>
    <x v="3"/>
    <x v="1"/>
    <s v=""/>
    <s v=""/>
    <s v=""/>
    <s v=""/>
    <s v=""/>
  </r>
  <r>
    <s v="Die_eingemauerte_Frau.csv"/>
    <s v="#Pfaffe"/>
    <x v="0"/>
    <s v="klerus:pfarrer"/>
    <x v="3"/>
    <s v="helfer"/>
    <x v="1"/>
    <x v="4"/>
    <x v="3"/>
    <n v="0.85714285714285698"/>
    <n v="0"/>
    <n v="0.38888888888888901"/>
    <n v="0.44459415307636202"/>
    <x v="6"/>
    <x v="1"/>
    <s v=""/>
    <s v=""/>
    <s v=""/>
    <s v=""/>
    <s v=""/>
  </r>
  <r>
    <s v="Die_eingemauerte_Frau.csv"/>
    <s v="#Sumliche"/>
    <x v="2"/>
    <s v="unbekannt"/>
    <x v="3"/>
    <s v="unbekannt"/>
    <x v="1"/>
    <x v="2"/>
    <x v="3"/>
    <n v="0.57142857142857095"/>
    <n v="0"/>
    <n v="0.4375"/>
    <n v="0.137291351748379"/>
    <x v="3"/>
    <x v="1"/>
    <s v=""/>
    <s v=""/>
    <s v=""/>
    <s v=""/>
    <s v=""/>
  </r>
  <r>
    <s v="Die_halbe_Birn.csv"/>
    <s v="#Kuenig"/>
    <x v="0"/>
    <s v="adel:koenig"/>
    <x v="2"/>
    <s v="vater"/>
    <x v="1"/>
    <x v="1"/>
    <x v="2"/>
    <n v="0.72727272727272696"/>
    <n v="0.118181818181818"/>
    <n v="0.36666666666666697"/>
    <n v="0.11230244846644601"/>
    <x v="7"/>
    <x v="1"/>
    <s v=""/>
    <s v=""/>
    <s v=""/>
    <s v=""/>
    <s v=""/>
  </r>
  <r>
    <s v="Die_halbe_Birn.csv"/>
    <s v="#Koenigin"/>
    <x v="1"/>
    <s v="adel:koenigin"/>
    <x v="2"/>
    <s v="mutter"/>
    <x v="1"/>
    <x v="1"/>
    <x v="2"/>
    <n v="0.36363636363636398"/>
    <n v="2.27272727272727E-2"/>
    <n v="0.35483870967741898"/>
    <n v="4.05085057459025E-2"/>
    <x v="8"/>
    <x v="1"/>
    <s v=""/>
    <s v=""/>
    <s v=""/>
    <s v=""/>
    <s v=""/>
  </r>
  <r>
    <s v="Die_halbe_Birn.csv"/>
    <s v="#Tohter-des-kuniks"/>
    <x v="1"/>
    <s v="adel:koenigstochter"/>
    <x v="0"/>
    <s v="betrogener/betrueger"/>
    <x v="0"/>
    <x v="1"/>
    <x v="2"/>
    <n v="1.8181818181818199"/>
    <n v="0.49545454545454498"/>
    <n v="0.44"/>
    <n v="0.99658329577265603"/>
    <x v="4"/>
    <x v="1"/>
    <n v="1"/>
    <s v=""/>
    <s v=""/>
    <s v=""/>
    <s v=""/>
  </r>
  <r>
    <s v="Die_halbe_Birn.csv"/>
    <s v="#Vuersten"/>
    <x v="0"/>
    <s v="adel:fuerst"/>
    <x v="3"/>
    <s v="unbekannt"/>
    <x v="1"/>
    <x v="1"/>
    <x v="2"/>
    <n v="0.36363636363636398"/>
    <n v="2.27272727272727E-2"/>
    <n v="0.35483870967741898"/>
    <n v="4.05085057459025E-2"/>
    <x v="3"/>
    <x v="1"/>
    <s v=""/>
    <s v=""/>
    <s v=""/>
    <s v=""/>
    <s v=""/>
  </r>
  <r>
    <s v="Die_halbe_Birn.csv"/>
    <s v="#Ritter-Arnolt"/>
    <x v="0"/>
    <s v="adel:ritter"/>
    <x v="3"/>
    <s v="betrogener/betrueger"/>
    <x v="0"/>
    <x v="1"/>
    <x v="2"/>
    <n v="1.4545454545454499"/>
    <n v="0.35"/>
    <n v="0.407407407407407"/>
    <n v="1"/>
    <x v="4"/>
    <x v="1"/>
    <n v="1"/>
    <s v=""/>
    <s v=""/>
    <s v=""/>
    <s v=""/>
  </r>
  <r>
    <s v="Die_halbe_Birn.csv"/>
    <s v="#Heinrich-der-kneht"/>
    <x v="0"/>
    <s v="adel:knecht"/>
    <x v="3"/>
    <s v="helfer"/>
    <x v="1"/>
    <x v="1"/>
    <x v="2"/>
    <n v="0.36363636363636398"/>
    <n v="0"/>
    <n v="0.2"/>
    <n v="0.29187211658206402"/>
    <x v="6"/>
    <x v="1"/>
    <s v=""/>
    <s v=""/>
    <s v=""/>
    <s v=""/>
    <s v=""/>
  </r>
  <r>
    <s v="Die_halbe_Birn.csv"/>
    <s v="#Liute"/>
    <x v="2"/>
    <s v="unbekannt"/>
    <x v="3"/>
    <s v="unbekannt"/>
    <x v="1"/>
    <x v="2"/>
    <x v="2"/>
    <n v="0.18181818181818199"/>
    <n v="0"/>
    <n v="0.23404255319148901"/>
    <n v="7.3061640401371905E-2"/>
    <x v="3"/>
    <x v="1"/>
    <s v=""/>
    <s v=""/>
    <s v=""/>
    <s v=""/>
    <s v=""/>
  </r>
  <r>
    <s v="Die_halbe_Birn.csv"/>
    <s v="#junk-vrouwen-der-tohter"/>
    <x v="2"/>
    <s v="adel:hofstaat"/>
    <x v="3"/>
    <s v="unbekannt"/>
    <x v="1"/>
    <x v="1"/>
    <x v="2"/>
    <n v="0.36363636363636398"/>
    <n v="0"/>
    <n v="0.25581395348837199"/>
    <n v="0.18240447098781401"/>
    <x v="3"/>
    <x v="1"/>
    <s v=""/>
    <s v=""/>
    <s v=""/>
    <s v=""/>
    <s v=""/>
  </r>
  <r>
    <s v="Die_halbe_Birn.csv"/>
    <s v="#Eine-vrouwe"/>
    <x v="1"/>
    <s v="adel:hofstaat"/>
    <x v="3"/>
    <s v="helfer"/>
    <x v="1"/>
    <x v="1"/>
    <x v="2"/>
    <n v="0.36363636363636398"/>
    <n v="9.0909090909090898E-2"/>
    <n v="0.39285714285714302"/>
    <n v="7.2936825393563803E-2"/>
    <x v="6"/>
    <x v="1"/>
    <s v=""/>
    <s v=""/>
    <s v=""/>
    <s v=""/>
    <s v=""/>
  </r>
  <r>
    <s v="Die_halbe_Birn.csv"/>
    <s v="#Eine-kamerruze"/>
    <x v="1"/>
    <s v="adel:kammerzofe"/>
    <x v="3"/>
    <s v="unbekannt"/>
    <x v="1"/>
    <x v="1"/>
    <x v="2"/>
    <n v="0.18181818181818199"/>
    <n v="0"/>
    <n v="0.314285714285714"/>
    <n v="3.6406005192877899E-2"/>
    <x v="3"/>
    <x v="1"/>
    <s v=""/>
    <s v=""/>
    <s v=""/>
    <s v=""/>
    <s v=""/>
  </r>
  <r>
    <s v="Die_halbe_Birn.csv"/>
    <s v="#Zwei-vroeuwelin"/>
    <x v="2"/>
    <s v="adel:hofstaat"/>
    <x v="3"/>
    <s v="unbekannt"/>
    <x v="1"/>
    <x v="1"/>
    <x v="2"/>
    <n v="0.36363636363636398"/>
    <n v="0"/>
    <n v="0.32352941176470601"/>
    <n v="0.10934283058644199"/>
    <x v="3"/>
    <x v="1"/>
    <s v=""/>
    <s v=""/>
    <s v=""/>
    <s v=""/>
    <s v=""/>
  </r>
  <r>
    <s v="Die_halbe_Birn.csv"/>
    <s v="#Kamer-wip-Irmegart"/>
    <x v="1"/>
    <s v="adel:kammerzofe"/>
    <x v="2"/>
    <s v="helfer"/>
    <x v="1"/>
    <x v="1"/>
    <x v="2"/>
    <n v="0.36363636363636398"/>
    <n v="0"/>
    <n v="0.14864864864864899"/>
    <n v="0.401090132160697"/>
    <x v="6"/>
    <x v="1"/>
    <s v=""/>
    <s v=""/>
    <s v=""/>
    <s v=""/>
    <s v=""/>
  </r>
  <r>
    <s v="Die_halbe_Decke.csv"/>
    <s v="#Burgaer"/>
    <x v="0"/>
    <s v="buergerlich:unbekannt"/>
    <x v="2"/>
    <s v="betrogener"/>
    <x v="0"/>
    <x v="3"/>
    <x v="1"/>
    <n v="2"/>
    <n v="0.4"/>
    <n v="0.33333333333333298"/>
    <n v="1"/>
    <x v="5"/>
    <x v="1"/>
    <s v=""/>
    <n v="2"/>
    <s v=""/>
    <s v=""/>
    <s v=""/>
  </r>
  <r>
    <s v="Die_halbe_Decke.csv"/>
    <s v="#Wip-des-alten"/>
    <x v="1"/>
    <s v="buergerlich:ehefrau"/>
    <x v="5"/>
    <s v="ehefrau"/>
    <x v="1"/>
    <x v="3"/>
    <x v="1"/>
    <n v="0.4"/>
    <n v="0"/>
    <n v="0.26315789473684198"/>
    <n v="5.3215731250487702E-2"/>
    <x v="1"/>
    <x v="1"/>
    <s v=""/>
    <s v=""/>
    <s v=""/>
    <s v=""/>
    <s v=""/>
  </r>
  <r>
    <s v="Die_halbe_Decke.csv"/>
    <s v="#Sun-des-buergers"/>
    <x v="0"/>
    <s v="buergerlich:unbekannt"/>
    <x v="0"/>
    <s v="betrueger"/>
    <x v="0"/>
    <x v="3"/>
    <x v="1"/>
    <n v="1.2"/>
    <n v="0"/>
    <n v="0.217391304347826"/>
    <n v="0.79493345639628898"/>
    <x v="4"/>
    <x v="1"/>
    <n v="1"/>
    <s v=""/>
    <s v=""/>
    <s v=""/>
    <s v=""/>
  </r>
  <r>
    <s v="Die_halbe_Decke.csv"/>
    <s v="#Kindelin"/>
    <x v="0"/>
    <s v="buergerlich:NA"/>
    <x v="1"/>
    <s v="helfer"/>
    <x v="0"/>
    <x v="3"/>
    <x v="1"/>
    <n v="1.6"/>
    <n v="0.2"/>
    <n v="0.29411764705882398"/>
    <n v="0.85354916609651099"/>
    <x v="6"/>
    <x v="1"/>
    <s v=""/>
    <s v=""/>
    <s v=""/>
    <s v=""/>
    <s v=""/>
  </r>
  <r>
    <s v="Die_halbe_Decke.csv"/>
    <s v="#Vrouwe-des-jungen"/>
    <x v="1"/>
    <s v="buergerlich:ehefrau"/>
    <x v="0"/>
    <s v="ehefrau"/>
    <x v="1"/>
    <x v="3"/>
    <x v="1"/>
    <n v="1.2"/>
    <n v="0.4"/>
    <n v="0.33333333333333298"/>
    <n v="0.33509761017081602"/>
    <x v="1"/>
    <x v="1"/>
    <s v=""/>
    <s v=""/>
    <s v=""/>
    <s v=""/>
    <s v=""/>
  </r>
  <r>
    <s v="Die_halbe_Decke.csv"/>
    <s v="#Kneh?"/>
    <x v="2"/>
    <s v="buergerlich:knecht"/>
    <x v="3"/>
    <s v="unbekannt"/>
    <x v="1"/>
    <x v="3"/>
    <x v="1"/>
    <n v="0.8"/>
    <n v="0.2"/>
    <n v="0.29411764705882398"/>
    <n v="0.19727594856511499"/>
    <x v="3"/>
    <x v="1"/>
    <s v=""/>
    <s v=""/>
    <s v=""/>
    <s v=""/>
    <s v=""/>
  </r>
  <r>
    <s v="Die_Heidin.csv"/>
    <s v="#Koenig-der-heiden"/>
    <x v="0"/>
    <s v="adel:koenig"/>
    <x v="3"/>
    <s v="ehemann/betrogener"/>
    <x v="0"/>
    <x v="1"/>
    <x v="3"/>
    <n v="0.91666666666666696"/>
    <n v="8.4194559466298599E-2"/>
    <n v="0.42857142857142899"/>
    <n v="0.63811100899106199"/>
    <x v="5"/>
    <x v="1"/>
    <s v=""/>
    <n v="2"/>
    <s v=""/>
    <s v=""/>
    <s v=""/>
  </r>
  <r>
    <s v="Die_Heidin.csv"/>
    <s v="#Kuenegin-Demuot"/>
    <x v="1"/>
    <s v="adel:koenigin"/>
    <x v="0"/>
    <s v="ehefrau/betrueger"/>
    <x v="0"/>
    <x v="1"/>
    <x v="3"/>
    <n v="1.0833333333333299"/>
    <n v="0.14272271106510201"/>
    <n v="0.46153846153846201"/>
    <n v="0.96755371858738204"/>
    <x v="4"/>
    <x v="1"/>
    <n v="1"/>
    <s v=""/>
    <s v=""/>
    <s v=""/>
    <s v=""/>
  </r>
  <r>
    <s v="Die_Heidin.csv"/>
    <s v="#Grave-Alpharius"/>
    <x v="0"/>
    <s v="adel:graf"/>
    <x v="3"/>
    <s v="betrueger"/>
    <x v="0"/>
    <x v="1"/>
    <x v="3"/>
    <n v="1.5833333333333299"/>
    <n v="0.51665947780078203"/>
    <n v="0.57142857142857095"/>
    <n v="1"/>
    <x v="4"/>
    <x v="1"/>
    <n v="1"/>
    <s v=""/>
    <s v=""/>
    <s v=""/>
    <s v=""/>
  </r>
  <r>
    <s v="Die_Heidin.csv"/>
    <s v="#Ritter-des-graven"/>
    <x v="2"/>
    <s v="adel:ritter"/>
    <x v="3"/>
    <s v="begleiter"/>
    <x v="1"/>
    <x v="1"/>
    <x v="3"/>
    <n v="0.58333333333333304"/>
    <n v="6.9760754543363196E-2"/>
    <n v="0.34782608695652201"/>
    <n v="0.265179101006282"/>
    <x v="14"/>
    <x v="1"/>
    <s v=""/>
    <s v=""/>
    <s v=""/>
    <s v=""/>
    <s v=""/>
  </r>
  <r>
    <s v="Die_Heidin.csv"/>
    <s v="#Knehte-des-graven"/>
    <x v="2"/>
    <s v="adel:knecht"/>
    <x v="3"/>
    <s v="begleiter"/>
    <x v="1"/>
    <x v="1"/>
    <x v="3"/>
    <n v="0.5"/>
    <n v="2.1128076834598601E-2"/>
    <n v="0.28571428571428598"/>
    <n v="0.25548775811783703"/>
    <x v="14"/>
    <x v="1"/>
    <s v=""/>
    <s v=""/>
    <s v=""/>
    <s v=""/>
    <s v=""/>
  </r>
  <r>
    <s v="Die_Heidin.csv"/>
    <s v="#Ratman"/>
    <x v="0"/>
    <s v="adel:berater"/>
    <x v="3"/>
    <s v="unbekannt"/>
    <x v="1"/>
    <x v="1"/>
    <x v="3"/>
    <n v="0.16666666666666699"/>
    <n v="8.6697722567287798E-3"/>
    <n v="0.266666666666667"/>
    <n v="6.0060240748399099E-3"/>
    <x v="3"/>
    <x v="1"/>
    <s v=""/>
    <s v=""/>
    <s v=""/>
    <s v=""/>
    <s v=""/>
  </r>
  <r>
    <s v="Die_Heidin.csv"/>
    <s v="#Hou(b)-est-dienst-man"/>
    <x v="0"/>
    <s v="adel:hauptmann"/>
    <x v="3"/>
    <s v="unbekannt"/>
    <x v="1"/>
    <x v="1"/>
    <x v="3"/>
    <n v="0.16666666666666699"/>
    <n v="7.8821601104209799E-2"/>
    <n v="0.40677966101694901"/>
    <n v="1.4594161326900701E-2"/>
    <x v="3"/>
    <x v="1"/>
    <s v=""/>
    <s v=""/>
    <s v=""/>
    <s v=""/>
    <s v=""/>
  </r>
  <r>
    <s v="Die_Heidin.csv"/>
    <s v="#Ein-bote-1"/>
    <x v="0"/>
    <s v="buergerlich:bote"/>
    <x v="3"/>
    <s v="bote"/>
    <x v="1"/>
    <x v="3"/>
    <x v="3"/>
    <n v="8.3333333333333301E-2"/>
    <n v="0"/>
    <n v="0.36923076923076897"/>
    <n v="1.15352532422429E-2"/>
    <x v="12"/>
    <x v="1"/>
    <s v=""/>
    <s v=""/>
    <s v=""/>
    <s v=""/>
    <s v=""/>
  </r>
  <r>
    <s v="Die_Heidin.csv"/>
    <s v="#Herren-von-den-vesten"/>
    <x v="2"/>
    <s v="unbekannt"/>
    <x v="3"/>
    <s v="unbekannt"/>
    <x v="1"/>
    <x v="2"/>
    <x v="3"/>
    <n v="0.25"/>
    <n v="0"/>
    <n v="0.233009708737864"/>
    <n v="5.2623831951248597E-2"/>
    <x v="3"/>
    <x v="1"/>
    <s v=""/>
    <s v=""/>
    <s v=""/>
    <s v=""/>
    <s v=""/>
  </r>
  <r>
    <s v="Die_Heidin.csv"/>
    <s v="#Ein-bote-2"/>
    <x v="0"/>
    <s v="buergerlich:bote"/>
    <x v="3"/>
    <s v="bote"/>
    <x v="1"/>
    <x v="3"/>
    <x v="3"/>
    <n v="0.25"/>
    <n v="1.1214630779848201E-3"/>
    <n v="0.36363636363636398"/>
    <n v="4.1592255739240198E-2"/>
    <x v="12"/>
    <x v="1"/>
    <s v=""/>
    <s v=""/>
    <s v=""/>
    <s v=""/>
    <s v=""/>
  </r>
  <r>
    <s v="Die_Heidin.csv"/>
    <s v="#Heren-des-heiden"/>
    <x v="2"/>
    <s v="unbekannt"/>
    <x v="3"/>
    <s v="unbekannt"/>
    <x v="1"/>
    <x v="2"/>
    <x v="3"/>
    <n v="0.25"/>
    <n v="7.1325051759834293E-2"/>
    <n v="0.4"/>
    <n v="1.8796943947652502E-2"/>
    <x v="3"/>
    <x v="1"/>
    <s v=""/>
    <s v=""/>
    <s v=""/>
    <s v=""/>
    <s v=""/>
  </r>
  <r>
    <s v="Die_Heidin.csv"/>
    <s v="#Ritter-Ringelolt"/>
    <x v="0"/>
    <s v="adel:ritter"/>
    <x v="3"/>
    <s v="gegner"/>
    <x v="1"/>
    <x v="1"/>
    <x v="3"/>
    <n v="0.66666666666666696"/>
    <n v="8.9447463768115895E-2"/>
    <n v="0.38095238095238099"/>
    <n v="2.38568401680475E-2"/>
    <x v="13"/>
    <x v="1"/>
    <s v=""/>
    <s v=""/>
    <s v=""/>
    <s v=""/>
    <s v=""/>
  </r>
  <r>
    <s v="Die_Heidin.csv"/>
    <s v="#Helde-dri"/>
    <x v="2"/>
    <s v="adel:ritter"/>
    <x v="3"/>
    <s v="gegner"/>
    <x v="1"/>
    <x v="1"/>
    <x v="3"/>
    <n v="0.33333333333333298"/>
    <n v="1.8115942028985501E-3"/>
    <n v="0.34782608695652201"/>
    <n v="4.2457017268458401E-4"/>
    <x v="13"/>
    <x v="1"/>
    <s v=""/>
    <s v=""/>
    <s v=""/>
    <s v=""/>
    <s v=""/>
  </r>
  <r>
    <s v="Die_Heidin.csv"/>
    <s v="#Ritter-Wolfart"/>
    <x v="0"/>
    <s v="adel:ritter"/>
    <x v="3"/>
    <s v="gegner"/>
    <x v="1"/>
    <x v="1"/>
    <x v="3"/>
    <n v="0.33333333333333298"/>
    <n v="1.8115942028985501E-3"/>
    <n v="0.34782608695652201"/>
    <n v="4.2457017268464998E-4"/>
    <x v="13"/>
    <x v="1"/>
    <s v=""/>
    <s v=""/>
    <s v=""/>
    <s v=""/>
    <s v=""/>
  </r>
  <r>
    <s v="Die_Heidin.csv"/>
    <s v="#Ritter-Tituban"/>
    <x v="0"/>
    <s v="adel:ritter"/>
    <x v="3"/>
    <s v="gegner"/>
    <x v="1"/>
    <x v="1"/>
    <x v="3"/>
    <n v="0.33333333333333298"/>
    <n v="1.8115942028985501E-3"/>
    <n v="0.34782608695652201"/>
    <n v="4.24570172684562E-4"/>
    <x v="13"/>
    <x v="1"/>
    <s v=""/>
    <s v=""/>
    <s v=""/>
    <s v=""/>
    <s v=""/>
  </r>
  <r>
    <s v="Die_Heidin.csv"/>
    <s v="#Ritter-Kuonrich"/>
    <x v="0"/>
    <s v="adel:ritter"/>
    <x v="3"/>
    <s v="gegner"/>
    <x v="1"/>
    <x v="1"/>
    <x v="3"/>
    <n v="0.41666666666666702"/>
    <n v="0.14492753623188401"/>
    <n v="0.42105263157894701"/>
    <n v="1.21003352014222E-2"/>
    <x v="13"/>
    <x v="1"/>
    <s v=""/>
    <s v=""/>
    <s v=""/>
    <s v=""/>
    <s v=""/>
  </r>
  <r>
    <s v="Die_Heidin.csv"/>
    <s v="#Genoz-des-Ringlelolt"/>
    <x v="0"/>
    <s v="adel:ritter"/>
    <x v="3"/>
    <s v="gegner"/>
    <x v="1"/>
    <x v="1"/>
    <x v="3"/>
    <n v="0.25"/>
    <n v="1.24532723717506E-2"/>
    <n v="0.42105263157894701"/>
    <n v="1.19482743050577E-2"/>
    <x v="13"/>
    <x v="1"/>
    <s v=""/>
    <s v=""/>
    <s v=""/>
    <s v=""/>
    <s v=""/>
  </r>
  <r>
    <s v="Die_Heidin.csv"/>
    <s v="#Vierter-ritter"/>
    <x v="0"/>
    <s v="adel:ritter"/>
    <x v="3"/>
    <s v="gegner"/>
    <x v="1"/>
    <x v="1"/>
    <x v="3"/>
    <n v="0.25"/>
    <n v="1.24532723717506E-2"/>
    <n v="0.42105263157894701"/>
    <n v="1.19482743050577E-2"/>
    <x v="13"/>
    <x v="1"/>
    <s v=""/>
    <s v=""/>
    <s v=""/>
    <s v=""/>
    <s v=""/>
  </r>
  <r>
    <s v="Die_Heidin.csv"/>
    <s v="#Fuenfter-ritter"/>
    <x v="0"/>
    <s v="adel:ritter"/>
    <x v="3"/>
    <s v="gegner"/>
    <x v="1"/>
    <x v="1"/>
    <x v="3"/>
    <n v="0.58333333333333304"/>
    <n v="1.4783183804922899E-2"/>
    <n v="0.46153846153846201"/>
    <n v="3.1510949632662502E-2"/>
    <x v="13"/>
    <x v="1"/>
    <s v=""/>
    <s v=""/>
    <s v=""/>
    <s v=""/>
    <s v=""/>
  </r>
  <r>
    <s v="Die_Heidin.csv"/>
    <s v="#Sehster-ritter"/>
    <x v="0"/>
    <s v="adel:ritter"/>
    <x v="3"/>
    <s v="gegner"/>
    <x v="1"/>
    <x v="1"/>
    <x v="3"/>
    <n v="0.58333333333333304"/>
    <n v="1.4783183804922899E-2"/>
    <n v="0.46153846153846201"/>
    <n v="3.1510949632662599E-2"/>
    <x v="13"/>
    <x v="1"/>
    <s v=""/>
    <s v=""/>
    <s v=""/>
    <s v=""/>
    <s v=""/>
  </r>
  <r>
    <s v="Die_Heidin.csv"/>
    <s v="#Sibender-ritter"/>
    <x v="0"/>
    <s v="adel:ritter"/>
    <x v="3"/>
    <s v="gegner"/>
    <x v="1"/>
    <x v="1"/>
    <x v="3"/>
    <n v="0.58333333333333304"/>
    <n v="1.4783183804922899E-2"/>
    <n v="0.46153846153846201"/>
    <n v="3.1510949632662599E-2"/>
    <x v="13"/>
    <x v="1"/>
    <s v=""/>
    <s v=""/>
    <s v=""/>
    <s v=""/>
    <s v=""/>
  </r>
  <r>
    <s v="Die_Heidin.csv"/>
    <s v="#Ahter-ritter"/>
    <x v="0"/>
    <s v="adel:ritter"/>
    <x v="3"/>
    <s v="gegner"/>
    <x v="1"/>
    <x v="1"/>
    <x v="3"/>
    <n v="0.58333333333333304"/>
    <n v="1.4783183804922899E-2"/>
    <n v="0.46153846153846201"/>
    <n v="3.1510949632662502E-2"/>
    <x v="13"/>
    <x v="1"/>
    <s v=""/>
    <s v=""/>
    <s v=""/>
    <s v=""/>
    <s v=""/>
  </r>
  <r>
    <s v="Die_Heidin.csv"/>
    <s v="#Niunder-ritter"/>
    <x v="0"/>
    <s v="adel:ritter"/>
    <x v="3"/>
    <s v="gegner"/>
    <x v="1"/>
    <x v="1"/>
    <x v="3"/>
    <n v="0.58333333333333304"/>
    <n v="1.4783183804922899E-2"/>
    <n v="0.46153846153846201"/>
    <n v="3.1510949632662599E-2"/>
    <x v="13"/>
    <x v="1"/>
    <s v=""/>
    <s v=""/>
    <s v=""/>
    <s v=""/>
    <s v=""/>
  </r>
  <r>
    <s v="Die_Heidin.csv"/>
    <s v="#Die-heidenschaft"/>
    <x v="2"/>
    <s v="unbekannt"/>
    <x v="3"/>
    <s v="unbekannt"/>
    <x v="1"/>
    <x v="2"/>
    <x v="3"/>
    <n v="0.16666666666666699"/>
    <n v="6.1860190936277896E-3"/>
    <n v="0.41379310344827602"/>
    <n v="2.2696230411622199E-2"/>
    <x v="3"/>
    <x v="1"/>
    <s v=""/>
    <s v=""/>
    <s v=""/>
    <s v=""/>
    <s v=""/>
  </r>
  <r>
    <s v="Die_Heidin.csv"/>
    <s v="#Ein-bote-3"/>
    <x v="0"/>
    <s v="buergerlich:bote"/>
    <x v="3"/>
    <s v="bote"/>
    <x v="1"/>
    <x v="3"/>
    <x v="3"/>
    <n v="0.16666666666666699"/>
    <n v="0"/>
    <n v="0.296296296296296"/>
    <n v="4.5392460823244503E-2"/>
    <x v="12"/>
    <x v="1"/>
    <s v=""/>
    <s v=""/>
    <s v=""/>
    <s v=""/>
    <s v=""/>
  </r>
  <r>
    <s v="Die_Katze_als_Nonne.csv"/>
    <s v="#Katz"/>
    <x v="5"/>
    <s v="NA"/>
    <x v="4"/>
    <s v="unbekannt"/>
    <x v="0"/>
    <x v="0"/>
    <x v="1"/>
    <n v="0"/>
    <n v="0"/>
    <n v="0"/>
    <n v="0"/>
    <x v="3"/>
    <x v="0"/>
    <s v=""/>
    <s v=""/>
    <s v=""/>
    <s v=""/>
    <s v=""/>
  </r>
  <r>
    <s v="Die_Katze_als_Nonne.csv"/>
    <s v="#Ein-muÃŸ"/>
    <x v="5"/>
    <s v="NA"/>
    <x v="4"/>
    <s v="gegner"/>
    <x v="1"/>
    <x v="0"/>
    <x v="1"/>
    <n v="0"/>
    <n v="0"/>
    <n v="0"/>
    <n v="0"/>
    <x v="13"/>
    <x v="0"/>
    <s v=""/>
    <s v=""/>
    <s v=""/>
    <s v=""/>
    <s v=""/>
  </r>
  <r>
    <s v="Die_Katze_als_Nonne.csv"/>
    <s v="#Nunnen"/>
    <x v="2"/>
    <s v="klerus:nonne"/>
    <x v="3"/>
    <s v="gegenspieler"/>
    <x v="1"/>
    <x v="4"/>
    <x v="1"/>
    <n v="0"/>
    <n v="0"/>
    <n v="0"/>
    <n v="0"/>
    <x v="10"/>
    <x v="0"/>
    <s v=""/>
    <s v=""/>
    <s v=""/>
    <s v=""/>
    <n v="5"/>
  </r>
  <r>
    <s v="Die_Koenigin_von_Frankreich_und_der_ungetreue_Marschall.csv"/>
    <s v="#Kuenik-von-Frankreich"/>
    <x v="0"/>
    <s v="adel:koenig"/>
    <x v="0"/>
    <s v="ehemann/betrogener"/>
    <x v="0"/>
    <x v="1"/>
    <x v="3"/>
    <n v="2"/>
    <n v="0.52752525252525295"/>
    <n v="0.375"/>
    <n v="1"/>
    <x v="5"/>
    <x v="1"/>
    <s v=""/>
    <n v="2"/>
    <s v=""/>
    <s v=""/>
    <s v=""/>
  </r>
  <r>
    <s v="Die_Koenigin_von_Frankreich_und_der_ungetreue_Marschall.csv"/>
    <s v="#Koenigin-von-Frankreich"/>
    <x v="1"/>
    <s v="adel:koenigin"/>
    <x v="0"/>
    <s v="ehefrau/betrogener"/>
    <x v="0"/>
    <x v="1"/>
    <x v="3"/>
    <n v="1.5"/>
    <n v="5.5303030303030298E-2"/>
    <n v="0.22222222222222199"/>
    <n v="0.99170278756153496"/>
    <x v="5"/>
    <x v="1"/>
    <s v=""/>
    <n v="2"/>
    <s v=""/>
    <s v=""/>
    <s v=""/>
  </r>
  <r>
    <s v="Die_Koenigin_von_Frankreich_und_der_ungetreue_Marschall.csv"/>
    <s v="#Marschal"/>
    <x v="0"/>
    <s v="adel:marschall"/>
    <x v="3"/>
    <s v="betrueger"/>
    <x v="0"/>
    <x v="1"/>
    <x v="3"/>
    <n v="1.3333333333333299"/>
    <n v="0.117676767676768"/>
    <n v="0.27906976744186002"/>
    <n v="0.70018176391376896"/>
    <x v="4"/>
    <x v="1"/>
    <n v="1"/>
    <s v=""/>
    <s v=""/>
    <s v=""/>
    <s v=""/>
  </r>
  <r>
    <s v="Die_Koenigin_von_Frankreich_und_der_ungetreue_Marschall.csv"/>
    <s v="#Twerig"/>
    <x v="6"/>
    <s v="unbekannt"/>
    <x v="3"/>
    <s v="betrogener"/>
    <x v="1"/>
    <x v="2"/>
    <x v="3"/>
    <n v="0.5"/>
    <n v="2.5757575757575799E-2"/>
    <n v="0.21052631578947401"/>
    <n v="0.22666581876425701"/>
    <x v="5"/>
    <x v="1"/>
    <s v=""/>
    <n v="2"/>
    <s v=""/>
    <s v=""/>
    <s v=""/>
  </r>
  <r>
    <s v="Die_Koenigin_von_Frankreich_und_der_ungetreue_Marschall.csv"/>
    <s v="#Herzoge-Liupolt"/>
    <x v="0"/>
    <s v="adel:herzog"/>
    <x v="3"/>
    <s v="helfer"/>
    <x v="1"/>
    <x v="1"/>
    <x v="3"/>
    <n v="1.1666666666666701"/>
    <n v="3.8383838383838402E-2"/>
    <n v="0.27906976744186002"/>
    <n v="0.48045950198083498"/>
    <x v="6"/>
    <x v="1"/>
    <s v=""/>
    <s v=""/>
    <s v=""/>
    <s v=""/>
    <s v=""/>
  </r>
  <r>
    <s v="Die_Koenigin_von_Frankreich_und_der_ungetreue_Marschall.csv"/>
    <s v="#Ritter"/>
    <x v="0"/>
    <s v="adel:ritter"/>
    <x v="3"/>
    <s v="unbekannt"/>
    <x v="1"/>
    <x v="1"/>
    <x v="3"/>
    <n v="0.83333333333333304"/>
    <n v="0.114646464646465"/>
    <n v="0.33333333333333298"/>
    <n v="0.28987206203439903"/>
    <x v="3"/>
    <x v="1"/>
    <s v=""/>
    <s v=""/>
    <s v=""/>
    <s v=""/>
    <s v=""/>
  </r>
  <r>
    <s v="Die_Koenigin_von_Frankreich_und_der_ungetreue_Marschall.csv"/>
    <s v="#Koler"/>
    <x v="0"/>
    <s v="buergerlich:koler"/>
    <x v="3"/>
    <s v="helfer"/>
    <x v="1"/>
    <x v="3"/>
    <x v="3"/>
    <n v="0.83333333333333304"/>
    <n v="3.03030303030303E-2"/>
    <n v="0.22222222222222199"/>
    <n v="0.51888118596430899"/>
    <x v="6"/>
    <x v="1"/>
    <s v=""/>
    <s v=""/>
    <s v=""/>
    <s v=""/>
    <s v=""/>
  </r>
  <r>
    <s v="Die_Koenigin_von_Frankreich_und_der_ungetreue_Marschall.csv"/>
    <s v="#Kint"/>
    <x v="0"/>
    <s v="adel:koenigssohn"/>
    <x v="1"/>
    <s v="unbekannt"/>
    <x v="1"/>
    <x v="1"/>
    <x v="3"/>
    <n v="0.5"/>
    <n v="0"/>
    <n v="0.1875"/>
    <n v="0.31141074098357902"/>
    <x v="3"/>
    <x v="1"/>
    <s v=""/>
    <s v=""/>
    <s v=""/>
    <s v=""/>
    <s v=""/>
  </r>
  <r>
    <s v="Die_Koenigin_von_Frankreich_und_der_ungetreue_Marschall.csv"/>
    <s v="#Hunt"/>
    <x v="5"/>
    <s v="NA"/>
    <x v="4"/>
    <s v="helfer"/>
    <x v="1"/>
    <x v="0"/>
    <x v="3"/>
    <n v="0.83333333333333304"/>
    <n v="5.8080808080808101E-2"/>
    <n v="0.230769230769231"/>
    <n v="0.33027665177238302"/>
    <x v="6"/>
    <x v="1"/>
    <s v=""/>
    <s v=""/>
    <s v=""/>
    <s v=""/>
    <s v=""/>
  </r>
  <r>
    <s v="Die_Koenigin_von_Frankreich_und_der_ungetreue_Marschall.csv"/>
    <s v="#Alter-ritter"/>
    <x v="0"/>
    <s v="adel:ritter"/>
    <x v="2"/>
    <s v="unbekannt"/>
    <x v="1"/>
    <x v="1"/>
    <x v="3"/>
    <n v="0.33333333333333298"/>
    <n v="7.6010101010101E-2"/>
    <n v="0.30769230769230799"/>
    <n v="4.6012104942066603E-2"/>
    <x v="3"/>
    <x v="1"/>
    <s v=""/>
    <s v=""/>
    <s v=""/>
    <s v=""/>
    <s v=""/>
  </r>
  <r>
    <s v="Die_Koenigin_von_Frankreich_und_der_ungetreue_Marschall.csv"/>
    <s v="#Henker"/>
    <x v="0"/>
    <s v="buergerlich:henker"/>
    <x v="3"/>
    <s v="unbekannt"/>
    <x v="1"/>
    <x v="3"/>
    <x v="3"/>
    <n v="0.33333333333333298"/>
    <n v="7.6010101010101E-2"/>
    <n v="0.30769230769230799"/>
    <n v="4.6012104942066499E-2"/>
    <x v="3"/>
    <x v="1"/>
    <s v=""/>
    <s v=""/>
    <s v=""/>
    <s v=""/>
    <s v=""/>
  </r>
  <r>
    <s v="Die_Koenigin_von_Frankreich_und_der_ungetreue_Marschall.csv"/>
    <s v="#Kramerin"/>
    <x v="1"/>
    <s v="buergerlich:kraemer"/>
    <x v="3"/>
    <s v="bote"/>
    <x v="1"/>
    <x v="3"/>
    <x v="3"/>
    <n v="0.66666666666666696"/>
    <n v="0.115656565656566"/>
    <n v="0.3"/>
    <n v="0.18873202389641"/>
    <x v="12"/>
    <x v="1"/>
    <s v=""/>
    <s v=""/>
    <s v=""/>
    <s v=""/>
    <s v=""/>
  </r>
  <r>
    <s v="Die_Koenigin_von_Frankreich_und_der_ungetreue_Marschall.csv"/>
    <s v="#Herren"/>
    <x v="2"/>
    <s v="unbekannt"/>
    <x v="3"/>
    <s v="unbekannt"/>
    <x v="1"/>
    <x v="2"/>
    <x v="3"/>
    <n v="0.16666666666666699"/>
    <n v="0"/>
    <n v="0.27906976744186002"/>
    <n v="2.7063050503581501E-2"/>
    <x v="3"/>
    <x v="1"/>
    <s v=""/>
    <s v=""/>
    <s v=""/>
    <s v=""/>
    <s v=""/>
  </r>
  <r>
    <s v="Die_Meierin_mit_der_Geiß.csv"/>
    <s v="#Meir"/>
    <x v="0"/>
    <s v="bauer:meyer"/>
    <x v="3"/>
    <s v="ehemann/betrogener"/>
    <x v="0"/>
    <x v="5"/>
    <x v="3"/>
    <n v="1.1428571428571399"/>
    <n v="4.7619047619047603E-2"/>
    <n v="0.41176470588235298"/>
    <n v="0.47837768827359201"/>
    <x v="5"/>
    <x v="1"/>
    <s v=""/>
    <n v="2"/>
    <s v=""/>
    <s v=""/>
    <s v=""/>
  </r>
  <r>
    <s v="Die_Meierin_mit_der_Geiß.csv"/>
    <s v="#Wip"/>
    <x v="1"/>
    <s v="bauer:meyer"/>
    <x v="0"/>
    <s v="ehefrau/betrueger"/>
    <x v="0"/>
    <x v="5"/>
    <x v="3"/>
    <n v="2"/>
    <n v="0.22222222222222199"/>
    <n v="0.53846153846153799"/>
    <n v="1"/>
    <x v="4"/>
    <x v="1"/>
    <n v="1"/>
    <s v=""/>
    <s v=""/>
    <s v=""/>
    <s v=""/>
  </r>
  <r>
    <s v="Die_Meierin_mit_der_Geiß.csv"/>
    <s v="#Swester-des-mannes"/>
    <x v="1"/>
    <s v="unbekannt"/>
    <x v="3"/>
    <s v="unbekannt"/>
    <x v="1"/>
    <x v="2"/>
    <x v="3"/>
    <n v="0.85714285714285698"/>
    <n v="0.158730158730159"/>
    <n v="0.5"/>
    <n v="0.18107133974885001"/>
    <x v="3"/>
    <x v="1"/>
    <s v=""/>
    <s v=""/>
    <s v=""/>
    <s v=""/>
    <s v=""/>
  </r>
  <r>
    <s v="Die_Meierin_mit_der_Geiß.csv"/>
    <s v="#Ritter"/>
    <x v="0"/>
    <s v="adel:ritter"/>
    <x v="3"/>
    <s v="betrueger"/>
    <x v="0"/>
    <x v="1"/>
    <x v="3"/>
    <n v="2"/>
    <n v="0.25396825396825401"/>
    <n v="0.53846153846153799"/>
    <n v="0.95738655250610305"/>
    <x v="4"/>
    <x v="1"/>
    <n v="1"/>
    <s v=""/>
    <s v=""/>
    <s v=""/>
    <s v=""/>
  </r>
  <r>
    <s v="Die_Meierin_mit_der_Geiß.csv"/>
    <s v="#Werberin"/>
    <x v="1"/>
    <s v="bauer:weber"/>
    <x v="3"/>
    <s v="unbekannt"/>
    <x v="1"/>
    <x v="5"/>
    <x v="3"/>
    <n v="0.57142857142857095"/>
    <n v="0"/>
    <n v="0.30434782608695699"/>
    <n v="0.29101881005955599"/>
    <x v="3"/>
    <x v="1"/>
    <s v=""/>
    <s v=""/>
    <s v=""/>
    <s v=""/>
    <s v=""/>
  </r>
  <r>
    <s v="Die_Meierin_mit_der_Geiß.csv"/>
    <s v="#Bote"/>
    <x v="1"/>
    <s v="unbekannt"/>
    <x v="2"/>
    <s v="bote"/>
    <x v="1"/>
    <x v="2"/>
    <x v="3"/>
    <n v="0.57142857142857095"/>
    <n v="0"/>
    <n v="0.24137931034482801"/>
    <n v="0.43652821508933498"/>
    <x v="12"/>
    <x v="1"/>
    <s v=""/>
    <s v=""/>
    <s v=""/>
    <s v=""/>
    <s v=""/>
  </r>
  <r>
    <s v="Die_Meierin_mit_der_Geiß.csv"/>
    <s v="#Schuoler-des-ritters"/>
    <x v="0"/>
    <s v="adel:schueler"/>
    <x v="3"/>
    <s v="helfer"/>
    <x v="1"/>
    <x v="1"/>
    <x v="3"/>
    <n v="1.1428571428571399"/>
    <n v="4.7619047619047603E-2"/>
    <n v="0.41176470588235298"/>
    <n v="0.33927261075889498"/>
    <x v="6"/>
    <x v="1"/>
    <s v=""/>
    <s v=""/>
    <s v=""/>
    <s v=""/>
    <s v=""/>
  </r>
  <r>
    <s v="Die_Meierin_mit_der_Geiß.csv"/>
    <s v="#Kneht-des-ritter"/>
    <x v="0"/>
    <s v="adel:knecht"/>
    <x v="3"/>
    <s v="unbekannt"/>
    <x v="1"/>
    <x v="1"/>
    <x v="3"/>
    <n v="0.85714285714285698"/>
    <n v="0.119047619047619"/>
    <n v="0.5"/>
    <n v="0.17073046096848399"/>
    <x v="3"/>
    <x v="1"/>
    <s v=""/>
    <s v=""/>
    <s v=""/>
    <s v=""/>
    <s v=""/>
  </r>
  <r>
    <s v="Die_Nachtigall.csv"/>
    <s v="#Vater-der-vrouwe"/>
    <x v="0"/>
    <s v="adel:ritter"/>
    <x v="2"/>
    <s v="vater"/>
    <x v="1"/>
    <x v="1"/>
    <x v="2"/>
    <n v="2"/>
    <n v="0.4"/>
    <n v="0.55555555555555602"/>
    <n v="0.77702982441856205"/>
    <x v="7"/>
    <x v="2"/>
    <s v=""/>
    <s v=""/>
    <s v=""/>
    <s v=""/>
    <s v=""/>
  </r>
  <r>
    <s v="Die_Nachtigall.csv"/>
    <s v="#Tohter"/>
    <x v="1"/>
    <s v="adel:edelfrau"/>
    <x v="0"/>
    <s v="liebende"/>
    <x v="0"/>
    <x v="1"/>
    <x v="2"/>
    <n v="2"/>
    <n v="0.1"/>
    <n v="0.45454545454545497"/>
    <n v="1"/>
    <x v="11"/>
    <x v="2"/>
    <s v=""/>
    <s v=""/>
    <s v=""/>
    <n v="4"/>
    <s v=""/>
  </r>
  <r>
    <s v="Die_Nachtigall.csv"/>
    <s v="#Vater-des-jungen"/>
    <x v="0"/>
    <s v="adel:ritter"/>
    <x v="2"/>
    <s v="vater"/>
    <x v="1"/>
    <x v="1"/>
    <x v="2"/>
    <n v="1.2"/>
    <n v="0.4"/>
    <n v="0.55555555555555602"/>
    <n v="0.16654704276367199"/>
    <x v="7"/>
    <x v="2"/>
    <s v=""/>
    <s v=""/>
    <s v=""/>
    <s v=""/>
    <s v=""/>
  </r>
  <r>
    <s v="Die_Nachtigall.csv"/>
    <s v="#Sun"/>
    <x v="0"/>
    <s v="adel:unbekannt"/>
    <x v="0"/>
    <s v="liebender"/>
    <x v="0"/>
    <x v="1"/>
    <x v="2"/>
    <n v="1.6"/>
    <n v="0"/>
    <n v="0.35714285714285698"/>
    <n v="0.85433040660473902"/>
    <x v="9"/>
    <x v="2"/>
    <s v=""/>
    <s v=""/>
    <n v="3"/>
    <s v=""/>
    <s v=""/>
  </r>
  <r>
    <s v="Die_Nachtigall.csv"/>
    <s v="#Bote"/>
    <x v="0"/>
    <s v="unbekannt"/>
    <x v="3"/>
    <s v="bote"/>
    <x v="1"/>
    <x v="2"/>
    <x v="2"/>
    <n v="0.8"/>
    <n v="0.1"/>
    <n v="0.45454545454545497"/>
    <n v="8.4906864357060297E-2"/>
    <x v="12"/>
    <x v="2"/>
    <s v=""/>
    <s v=""/>
    <s v=""/>
    <s v=""/>
    <s v=""/>
  </r>
  <r>
    <s v="Die_Nachtigall.csv"/>
    <s v="#Muoter-der-vrouwe"/>
    <x v="1"/>
    <s v="adel:edelfrau"/>
    <x v="2"/>
    <s v="mutter"/>
    <x v="1"/>
    <x v="1"/>
    <x v="2"/>
    <n v="1.2"/>
    <n v="0"/>
    <n v="0.35714285714285698"/>
    <n v="0.44257476100925203"/>
    <x v="8"/>
    <x v="2"/>
    <s v=""/>
    <s v=""/>
    <s v=""/>
    <s v=""/>
    <s v=""/>
  </r>
  <r>
    <s v="Die_Teufelsacht.csv"/>
    <s v="#Vrouwe"/>
    <x v="1"/>
    <s v="unbekannt"/>
    <x v="0"/>
    <s v="ehefrau/betrogener"/>
    <x v="0"/>
    <x v="2"/>
    <x v="3"/>
    <n v="1.6666666666666701"/>
    <n v="0.33333333333333298"/>
    <n v="0.66666666666666696"/>
    <n v="1"/>
    <x v="5"/>
    <x v="1"/>
    <s v=""/>
    <n v="2"/>
    <s v=""/>
    <s v=""/>
    <s v=""/>
  </r>
  <r>
    <s v="Die_Teufelsacht.csv"/>
    <s v="#Man"/>
    <x v="0"/>
    <s v="unbekannt"/>
    <x v="0"/>
    <s v="ehemann/betrueger"/>
    <x v="0"/>
    <x v="2"/>
    <x v="3"/>
    <n v="1.3333333333333299"/>
    <n v="0"/>
    <n v="0.54545454545454497"/>
    <n v="0.96261356875522597"/>
    <x v="4"/>
    <x v="1"/>
    <n v="1"/>
    <s v=""/>
    <s v=""/>
    <s v=""/>
    <s v=""/>
  </r>
  <r>
    <s v="Die_Teufelsacht.csv"/>
    <s v="#Muoter-der-vrouwe"/>
    <x v="1"/>
    <s v="unbekannt"/>
    <x v="3"/>
    <s v="helfer"/>
    <x v="1"/>
    <x v="2"/>
    <x v="3"/>
    <n v="1.3333333333333299"/>
    <n v="0"/>
    <n v="0.54545454545454497"/>
    <n v="0.64191747675994204"/>
    <x v="6"/>
    <x v="1"/>
    <s v=""/>
    <s v=""/>
    <s v=""/>
    <s v=""/>
    <s v=""/>
  </r>
  <r>
    <s v="Die_Teufelsacht.csv"/>
    <s v="#Swester-des-mans"/>
    <x v="1"/>
    <s v="unbekannt"/>
    <x v="3"/>
    <s v="unbekannt"/>
    <x v="1"/>
    <x v="2"/>
    <x v="3"/>
    <n v="0.33333333333333298"/>
    <n v="0"/>
    <n v="0.42857142857142899"/>
    <n v="3.3992095868854003E-2"/>
    <x v="3"/>
    <x v="1"/>
    <s v=""/>
    <s v=""/>
    <s v=""/>
    <s v=""/>
    <s v=""/>
  </r>
  <r>
    <s v="Die_Teufelsacht.csv"/>
    <s v="#Knehte-und-man"/>
    <x v="2"/>
    <s v="unbekannt"/>
    <x v="3"/>
    <s v="unbekannt"/>
    <x v="1"/>
    <x v="2"/>
    <x v="3"/>
    <n v="1.3333333333333299"/>
    <n v="0.16666666666666699"/>
    <n v="0.75"/>
    <n v="9.1652411912467494E-2"/>
    <x v="3"/>
    <x v="1"/>
    <s v=""/>
    <s v=""/>
    <s v=""/>
    <s v=""/>
    <s v=""/>
  </r>
  <r>
    <s v="Die_Teufelsacht.csv"/>
    <s v="#Vrouwen"/>
    <x v="2"/>
    <s v="unbekannt"/>
    <x v="3"/>
    <s v="unbekannt"/>
    <x v="1"/>
    <x v="2"/>
    <x v="3"/>
    <n v="1.6666666666666701"/>
    <n v="0.5"/>
    <n v="0.85714285714285698"/>
    <n v="9.1754945971641397E-2"/>
    <x v="3"/>
    <x v="1"/>
    <s v=""/>
    <s v=""/>
    <s v=""/>
    <s v=""/>
    <s v=""/>
  </r>
  <r>
    <s v="Die_Teufelsacht.csv"/>
    <s v="#Bote"/>
    <x v="0"/>
    <s v="unbekannt"/>
    <x v="3"/>
    <s v="bote"/>
    <x v="1"/>
    <x v="2"/>
    <x v="3"/>
    <n v="0.33333333333333298"/>
    <n v="0"/>
    <n v="0.5"/>
    <n v="3.1189429199095799E-3"/>
    <x v="12"/>
    <x v="1"/>
    <s v=""/>
    <s v=""/>
    <s v=""/>
    <s v=""/>
    <s v=""/>
  </r>
  <r>
    <s v="Drei_listige_Frauen.csv"/>
    <s v="#Frau-Maechilt"/>
    <x v="1"/>
    <s v="unbekannt"/>
    <x v="3"/>
    <s v="ehefrau/betrueger"/>
    <x v="0"/>
    <x v="2"/>
    <x v="3"/>
    <n v="1.55555555555556"/>
    <n v="6.9444444444444406E-2"/>
    <n v="0.39130434782608697"/>
    <n v="0.68723480271770299"/>
    <x v="4"/>
    <x v="1"/>
    <n v="1"/>
    <s v=""/>
    <s v=""/>
    <s v=""/>
    <s v=""/>
  </r>
  <r>
    <s v="Drei_listige_Frauen.csv"/>
    <s v="#Frau-Juet"/>
    <x v="1"/>
    <s v="unbekannt"/>
    <x v="3"/>
    <s v="ehefrau/betrueger"/>
    <x v="0"/>
    <x v="2"/>
    <x v="3"/>
    <n v="1.55555555555556"/>
    <n v="0.33055555555555499"/>
    <n v="0.47368421052631599"/>
    <n v="0.811734277068903"/>
    <x v="4"/>
    <x v="1"/>
    <n v="1"/>
    <s v=""/>
    <s v=""/>
    <s v=""/>
    <s v=""/>
  </r>
  <r>
    <s v="Drei_listige_Frauen.csv"/>
    <s v="#Frau-Hiltgart"/>
    <x v="1"/>
    <s v="unbekannt"/>
    <x v="3"/>
    <s v="ehefrau/betrueger"/>
    <x v="0"/>
    <x v="2"/>
    <x v="3"/>
    <n v="1.55555555555556"/>
    <n v="0.20092592592592601"/>
    <n v="0.42857142857142899"/>
    <n v="1"/>
    <x v="4"/>
    <x v="1"/>
    <n v="1"/>
    <s v=""/>
    <s v=""/>
    <s v=""/>
    <s v=""/>
  </r>
  <r>
    <s v="Drei_listige_Frauen.csv"/>
    <s v="#Mair-Perchtold"/>
    <x v="0"/>
    <s v="unbekannt"/>
    <x v="3"/>
    <s v="ehemann/betrogener"/>
    <x v="0"/>
    <x v="2"/>
    <x v="3"/>
    <n v="2"/>
    <n v="9.0740740740740705E-2"/>
    <n v="0.39130434782608697"/>
    <n v="0.96558739483465805"/>
    <x v="5"/>
    <x v="1"/>
    <s v=""/>
    <n v="2"/>
    <s v=""/>
    <s v=""/>
    <s v=""/>
  </r>
  <r>
    <s v="Drei_listige_Frauen.csv"/>
    <s v="#Knecht-Heinz-von-Mair-Perchtold"/>
    <x v="0"/>
    <s v="unbekannt:knecht"/>
    <x v="3"/>
    <s v="helfer"/>
    <x v="1"/>
    <x v="2"/>
    <x v="3"/>
    <n v="0.88888888888888895"/>
    <n v="4.1666666666666699E-2"/>
    <n v="0.36"/>
    <n v="0.44119177254382003"/>
    <x v="6"/>
    <x v="1"/>
    <s v=""/>
    <s v=""/>
    <s v=""/>
    <s v=""/>
    <s v=""/>
  </r>
  <r>
    <s v="Drei_listige_Frauen.csv"/>
    <s v="#Pfarrer"/>
    <x v="0"/>
    <s v="klerus:pfarrer"/>
    <x v="3"/>
    <s v="unbekannt"/>
    <x v="1"/>
    <x v="4"/>
    <x v="3"/>
    <n v="0.44444444444444398"/>
    <n v="0"/>
    <n v="0.25714285714285701"/>
    <n v="0.113415250393356"/>
    <x v="3"/>
    <x v="1"/>
    <s v=""/>
    <s v=""/>
    <s v=""/>
    <s v=""/>
    <s v=""/>
  </r>
  <r>
    <s v="Drei_listige_Frauen.csv"/>
    <s v="#Nachpuerin"/>
    <x v="1"/>
    <s v="unbekannt"/>
    <x v="3"/>
    <s v="unbekannt"/>
    <x v="1"/>
    <x v="2"/>
    <x v="3"/>
    <n v="0.88888888888888895"/>
    <n v="0.483333333333333"/>
    <n v="0.52941176470588203"/>
    <n v="9.9953210196523798E-2"/>
    <x v="3"/>
    <x v="1"/>
    <s v=""/>
    <s v=""/>
    <s v=""/>
    <s v=""/>
    <s v=""/>
  </r>
  <r>
    <s v="Drei_listige_Frauen.csv"/>
    <s v="#Mair-Cuonrat"/>
    <x v="0"/>
    <s v="unbekannt"/>
    <x v="3"/>
    <s v="ehemann/betrogener"/>
    <x v="0"/>
    <x v="2"/>
    <x v="3"/>
    <n v="1.3333333333333299"/>
    <n v="1.94444444444444E-2"/>
    <n v="0.29032258064516098"/>
    <n v="0.65431990766178705"/>
    <x v="5"/>
    <x v="1"/>
    <s v=""/>
    <n v="2"/>
    <s v=""/>
    <s v=""/>
    <s v=""/>
  </r>
  <r>
    <s v="Drei_listige_Frauen.csv"/>
    <s v="#Mair-Seifrid"/>
    <x v="0"/>
    <s v="unbekannt"/>
    <x v="3"/>
    <s v="ehemann/betrogener"/>
    <x v="0"/>
    <x v="2"/>
    <x v="3"/>
    <n v="1.1111111111111101"/>
    <n v="0.181018518518518"/>
    <n v="0.39130434782608697"/>
    <n v="0.38444313996726798"/>
    <x v="5"/>
    <x v="1"/>
    <s v=""/>
    <n v="2"/>
    <s v=""/>
    <s v=""/>
    <s v=""/>
  </r>
  <r>
    <s v="Drei_listige_Frauen.csv"/>
    <s v="#Volk"/>
    <x v="2"/>
    <s v="unbekannt"/>
    <x v="3"/>
    <s v="unbekannt"/>
    <x v="1"/>
    <x v="2"/>
    <x v="3"/>
    <n v="0.66666666666666696"/>
    <n v="4.8611111111111098E-2"/>
    <n v="0.31034482758620702"/>
    <n v="0.16027544071918401"/>
    <x v="3"/>
    <x v="1"/>
    <s v=""/>
    <s v=""/>
    <s v=""/>
    <s v=""/>
    <s v=""/>
  </r>
  <r>
    <s v="Edelmann_und_Pferdehaendler.csv"/>
    <s v="#Man"/>
    <x v="0"/>
    <s v="unbekannt"/>
    <x v="3"/>
    <s v="betrueger"/>
    <x v="0"/>
    <x v="2"/>
    <x v="1"/>
    <n v="2"/>
    <n v="0"/>
    <n v="0.5"/>
    <n v="1"/>
    <x v="4"/>
    <x v="1"/>
    <n v="1"/>
    <s v=""/>
    <s v=""/>
    <s v=""/>
    <s v=""/>
  </r>
  <r>
    <s v="Edelmann_und_Pferdehaendler.csv"/>
    <s v="#Rosteuscher"/>
    <x v="0"/>
    <s v="buergerlich:pferdehaendler"/>
    <x v="3"/>
    <s v="betrogener"/>
    <x v="0"/>
    <x v="3"/>
    <x v="1"/>
    <n v="2"/>
    <n v="0"/>
    <n v="0.5"/>
    <n v="0.97376888933608796"/>
    <x v="5"/>
    <x v="1"/>
    <s v=""/>
    <n v="2"/>
    <s v=""/>
    <s v=""/>
    <s v=""/>
  </r>
  <r>
    <s v="Edelmann_und_Pferdehaendler.csv"/>
    <s v="#Sine-magen"/>
    <x v="2"/>
    <s v="unbekannt"/>
    <x v="3"/>
    <s v="helfer"/>
    <x v="1"/>
    <x v="2"/>
    <x v="1"/>
    <n v="2"/>
    <n v="0"/>
    <n v="0.375"/>
    <n v="0.76755963250737502"/>
    <x v="6"/>
    <x v="1"/>
    <s v=""/>
    <s v=""/>
    <s v=""/>
    <s v=""/>
    <s v=""/>
  </r>
  <r>
    <s v="Edelmann_und_Pferdehaendler.csv"/>
    <s v="#Einer-der-magen"/>
    <x v="0"/>
    <s v="unbekannt"/>
    <x v="3"/>
    <s v="unbekannt"/>
    <x v="1"/>
    <x v="2"/>
    <x v="1"/>
    <n v="2"/>
    <n v="1"/>
    <n v="0.75"/>
    <n v="0.203279190560956"/>
    <x v="3"/>
    <x v="1"/>
    <s v=""/>
    <s v=""/>
    <s v=""/>
    <s v=""/>
    <s v=""/>
  </r>
  <r>
    <s v="Ehe_im_Leben_und_Tode.csv"/>
    <s v="#Man"/>
    <x v="0"/>
    <s v="unbekannt"/>
    <x v="3"/>
    <s v="ehemann/betrogener"/>
    <x v="0"/>
    <x v="2"/>
    <x v="3"/>
    <n v="2"/>
    <n v="0.3"/>
    <n v="0.3125"/>
    <n v="1"/>
    <x v="5"/>
    <x v="1"/>
    <s v=""/>
    <n v="2"/>
    <s v=""/>
    <s v=""/>
    <s v=""/>
  </r>
  <r>
    <s v="Ehe_im_Leben_und_Tode.csv"/>
    <s v="#Wip"/>
    <x v="1"/>
    <s v="unbekannt"/>
    <x v="3"/>
    <s v="ehefrau/betrueger"/>
    <x v="0"/>
    <x v="2"/>
    <x v="3"/>
    <n v="2"/>
    <n v="0"/>
    <n v="0.29411764705882398"/>
    <n v="0.98923123871989205"/>
    <x v="4"/>
    <x v="1"/>
    <n v="1"/>
    <s v=""/>
    <s v=""/>
    <s v=""/>
    <s v=""/>
  </r>
  <r>
    <s v="Ehe_im_Leben_und_Tode.csv"/>
    <s v="#Gevatern"/>
    <x v="1"/>
    <s v="unbekannt"/>
    <x v="3"/>
    <s v="helfer"/>
    <x v="1"/>
    <x v="2"/>
    <x v="3"/>
    <n v="0.8"/>
    <n v="0.1"/>
    <n v="0.27777777777777801"/>
    <n v="0.12875531469443099"/>
    <x v="6"/>
    <x v="1"/>
    <s v=""/>
    <s v=""/>
    <s v=""/>
    <s v=""/>
    <s v=""/>
  </r>
  <r>
    <s v="Ehe_im_Leben_und_Tode.csv"/>
    <s v="#Vriunt-und-onch"/>
    <x v="2"/>
    <s v="unbekannt"/>
    <x v="3"/>
    <s v="unbekannt"/>
    <x v="1"/>
    <x v="2"/>
    <x v="3"/>
    <n v="1.6"/>
    <n v="0.25"/>
    <n v="0.35714285714285698"/>
    <n v="0.345080753859143"/>
    <x v="3"/>
    <x v="1"/>
    <s v=""/>
    <s v=""/>
    <s v=""/>
    <s v=""/>
    <s v=""/>
  </r>
  <r>
    <s v="Ehe_im_Leben_und_Tode.csv"/>
    <s v="#Ihre-magen"/>
    <x v="2"/>
    <s v="unbekannt:magd"/>
    <x v="3"/>
    <s v="unbekannt"/>
    <x v="1"/>
    <x v="2"/>
    <x v="3"/>
    <n v="1.6"/>
    <n v="0"/>
    <n v="0.238095238095238"/>
    <n v="0.56093514929539601"/>
    <x v="3"/>
    <x v="1"/>
    <s v=""/>
    <s v=""/>
    <s v=""/>
    <s v=""/>
    <s v=""/>
  </r>
  <r>
    <s v="Ehe_im_Leben_und_Tode.csv"/>
    <s v="#Seine-magen"/>
    <x v="2"/>
    <s v="unbekannt:magd"/>
    <x v="3"/>
    <s v="unbekannt"/>
    <x v="1"/>
    <x v="2"/>
    <x v="3"/>
    <n v="1.6"/>
    <n v="0"/>
    <n v="0.27777777777777801"/>
    <n v="0.44654867864479197"/>
    <x v="3"/>
    <x v="1"/>
    <s v=""/>
    <s v=""/>
    <s v=""/>
    <s v=""/>
    <s v=""/>
  </r>
  <r>
    <s v="Ehefrau_und_Buhlerin.csv"/>
    <s v="#Man"/>
    <x v="0"/>
    <s v="unbekannt"/>
    <x v="3"/>
    <s v="ehemann/betrueger/betrogener"/>
    <x v="0"/>
    <x v="2"/>
    <x v="3"/>
    <n v="2"/>
    <n v="0.58796296296296302"/>
    <n v="0.47368421052631599"/>
    <n v="1"/>
    <x v="5"/>
    <x v="1"/>
    <s v=""/>
    <n v="2"/>
    <s v=""/>
    <s v=""/>
    <s v=""/>
  </r>
  <r>
    <s v="Ehefrau_und_Buhlerin.csv"/>
    <s v="#Wip"/>
    <x v="1"/>
    <s v="unbekannt"/>
    <x v="3"/>
    <s v="ehefrau/betrogener"/>
    <x v="0"/>
    <x v="2"/>
    <x v="3"/>
    <n v="0.66666666666666696"/>
    <n v="4.6296296296296301E-2"/>
    <n v="0.33333333333333298"/>
    <n v="0.577589939030275"/>
    <x v="5"/>
    <x v="1"/>
    <s v=""/>
    <n v="2"/>
    <s v=""/>
    <s v=""/>
    <s v=""/>
  </r>
  <r>
    <s v="Ehefrau_und_Buhlerin.csv"/>
    <s v="#Buhlerin-1"/>
    <x v="1"/>
    <s v="unbekannt"/>
    <x v="3"/>
    <s v="betrueger"/>
    <x v="0"/>
    <x v="2"/>
    <x v="3"/>
    <n v="1.1111111111111101"/>
    <n v="0.29166666666666702"/>
    <n v="0.39130434782608697"/>
    <n v="0.53929299768885397"/>
    <x v="4"/>
    <x v="1"/>
    <n v="1"/>
    <s v=""/>
    <s v=""/>
    <s v=""/>
    <s v=""/>
  </r>
  <r>
    <s v="Ehefrau_und_Buhlerin.csv"/>
    <s v="#Buhlerin-2"/>
    <x v="1"/>
    <s v="unbekannt"/>
    <x v="3"/>
    <s v="betrueger"/>
    <x v="0"/>
    <x v="2"/>
    <x v="3"/>
    <n v="1.1111111111111101"/>
    <n v="0.148148148148148"/>
    <n v="0.39130434782608697"/>
    <n v="0.66598735349279603"/>
    <x v="4"/>
    <x v="1"/>
    <n v="1"/>
    <s v=""/>
    <s v=""/>
    <s v=""/>
    <s v=""/>
  </r>
  <r>
    <s v="Ehefrau_und_Buhlerin.csv"/>
    <s v="#Ander-man"/>
    <x v="0"/>
    <s v="unbekannt"/>
    <x v="3"/>
    <s v="unbekannt"/>
    <x v="1"/>
    <x v="2"/>
    <x v="3"/>
    <n v="0.66666666666666696"/>
    <n v="0.50925925925925897"/>
    <n v="0.47368421052631599"/>
    <n v="8.3770092636581001E-2"/>
    <x v="3"/>
    <x v="1"/>
    <s v=""/>
    <s v=""/>
    <s v=""/>
    <s v=""/>
    <s v=""/>
  </r>
  <r>
    <s v="Ehefrau_und_Buhlerin.csv"/>
    <s v="#Einer"/>
    <x v="0"/>
    <s v="unbekannt"/>
    <x v="3"/>
    <s v="unbekannt"/>
    <x v="1"/>
    <x v="2"/>
    <x v="3"/>
    <n v="0.22222222222222199"/>
    <n v="0"/>
    <n v="0.33333333333333298"/>
    <n v="3.7986142030284102E-2"/>
    <x v="3"/>
    <x v="1"/>
    <s v=""/>
    <s v=""/>
    <s v=""/>
    <s v=""/>
    <s v=""/>
  </r>
  <r>
    <s v="Ehefrau_und_Buhlerin.csv"/>
    <s v="#Ein-anderer-man"/>
    <x v="0"/>
    <s v="unbekannt"/>
    <x v="3"/>
    <s v="gegner"/>
    <x v="1"/>
    <x v="2"/>
    <x v="3"/>
    <n v="0.44444444444444398"/>
    <n v="0"/>
    <n v="0.27272727272727298"/>
    <n v="8.2218620448337401E-2"/>
    <x v="13"/>
    <x v="1"/>
    <s v=""/>
    <s v=""/>
    <s v=""/>
    <s v=""/>
    <s v=""/>
  </r>
  <r>
    <s v="Ehefrau_und_Buhlerin.csv"/>
    <s v="#Ein-man"/>
    <x v="0"/>
    <s v="unbekannt"/>
    <x v="3"/>
    <s v="gegner"/>
    <x v="1"/>
    <x v="2"/>
    <x v="3"/>
    <n v="0.44444444444444398"/>
    <n v="0"/>
    <n v="0.27272727272727298"/>
    <n v="8.2218620448337304E-2"/>
    <x v="13"/>
    <x v="1"/>
    <s v=""/>
    <s v=""/>
    <s v=""/>
    <s v=""/>
    <s v=""/>
  </r>
  <r>
    <s v="Ehefrau_und_Buhlerin.csv"/>
    <s v="#Burger"/>
    <x v="0"/>
    <s v="buergerlich:unbekannt"/>
    <x v="2"/>
    <s v="helfer"/>
    <x v="1"/>
    <x v="3"/>
    <x v="3"/>
    <n v="0.44444444444444398"/>
    <n v="0"/>
    <n v="0.230769230769231"/>
    <n v="0.26888817299399798"/>
    <x v="6"/>
    <x v="1"/>
    <s v=""/>
    <s v=""/>
    <s v=""/>
    <s v=""/>
    <s v=""/>
  </r>
  <r>
    <s v="Ehefrau_und_Buhlerin.csv"/>
    <s v="#Zwo-voruwen"/>
    <x v="2"/>
    <s v="unbekannt"/>
    <x v="3"/>
    <s v="unbekannt"/>
    <x v="1"/>
    <x v="2"/>
    <x v="3"/>
    <n v="0.44444444444444398"/>
    <n v="0"/>
    <n v="0.29032258064516098"/>
    <n v="0.12656886446086901"/>
    <x v="3"/>
    <x v="1"/>
    <s v=""/>
    <s v=""/>
    <s v=""/>
    <s v=""/>
    <s v=""/>
  </r>
  <r>
    <s v="Ehestand_Tod_und_Hochzeit.csv"/>
    <s v="#Man"/>
    <x v="0"/>
    <s v="bauer"/>
    <x v="0"/>
    <s v="betrogener"/>
    <x v="0"/>
    <x v="5"/>
    <x v="3"/>
    <n v="1.6666666666666701"/>
    <n v="0.43333333333333302"/>
    <n v="0.6"/>
    <n v="1"/>
    <x v="5"/>
    <x v="1"/>
    <s v=""/>
    <n v="2"/>
    <s v=""/>
    <s v=""/>
    <s v=""/>
  </r>
  <r>
    <s v="Ehestand_Tod_und_Hochzeit.csv"/>
    <s v="#Wip"/>
    <x v="1"/>
    <s v="bauer"/>
    <x v="0"/>
    <s v="betrueger"/>
    <x v="0"/>
    <x v="5"/>
    <x v="3"/>
    <n v="1.3333333333333299"/>
    <n v="0.1"/>
    <n v="0.5"/>
    <n v="0.94780937787963404"/>
    <x v="4"/>
    <x v="1"/>
    <n v="1"/>
    <s v=""/>
    <s v=""/>
    <s v=""/>
    <s v=""/>
  </r>
  <r>
    <s v="Ehestand_Tod_und_Hochzeit.csv"/>
    <s v="#Gevater"/>
    <x v="1"/>
    <s v="unbekannt"/>
    <x v="3"/>
    <s v="helfer"/>
    <x v="0"/>
    <x v="2"/>
    <x v="3"/>
    <n v="1"/>
    <n v="0"/>
    <n v="0.31578947368421101"/>
    <n v="0.88284932783126602"/>
    <x v="6"/>
    <x v="1"/>
    <s v=""/>
    <s v=""/>
    <s v=""/>
    <s v=""/>
    <s v=""/>
  </r>
  <r>
    <s v="Ehestand_Tod_und_Hochzeit.csv"/>
    <s v="#Pfaffe"/>
    <x v="0"/>
    <s v="klerus:pfarrer"/>
    <x v="3"/>
    <s v="unbekannt"/>
    <x v="1"/>
    <x v="4"/>
    <x v="3"/>
    <n v="1.3333333333333299"/>
    <n v="0.66666666666666696"/>
    <n v="0.66666666666666696"/>
    <n v="0.114936789177064"/>
    <x v="3"/>
    <x v="1"/>
    <s v=""/>
    <s v=""/>
    <s v=""/>
    <s v=""/>
    <s v=""/>
  </r>
  <r>
    <s v="Ehestand_Tod_und_Hochzeit.csv"/>
    <s v="#Knehte-des-pfarrers"/>
    <x v="2"/>
    <s v="unbekannt:knecht"/>
    <x v="3"/>
    <s v="unbekannt"/>
    <x v="1"/>
    <x v="2"/>
    <x v="3"/>
    <n v="0.33333333333333298"/>
    <n v="0"/>
    <n v="0.42857142857142899"/>
    <n v="3.55400726737818E-3"/>
    <x v="3"/>
    <x v="1"/>
    <s v=""/>
    <s v=""/>
    <s v=""/>
    <s v=""/>
    <s v=""/>
  </r>
  <r>
    <s v="Ehestand_Tod_und_Hochzeit.csv"/>
    <s v="#Vriunde-des-mans"/>
    <x v="2"/>
    <s v="unbekannt"/>
    <x v="3"/>
    <s v="unbekannt"/>
    <x v="1"/>
    <x v="2"/>
    <x v="3"/>
    <n v="0.66666666666666696"/>
    <n v="6.6666666666666693E-2"/>
    <n v="0.46153846153846201"/>
    <n v="6.0229007039575899E-2"/>
    <x v="3"/>
    <x v="1"/>
    <s v=""/>
    <s v=""/>
    <s v=""/>
    <s v=""/>
    <s v=""/>
  </r>
  <r>
    <s v="Ehestand_Tod_und_Hochzeit.csv"/>
    <s v="#Lant-liute"/>
    <x v="2"/>
    <s v="unbekannt"/>
    <x v="3"/>
    <s v="unbekannt"/>
    <x v="1"/>
    <x v="2"/>
    <x v="3"/>
    <n v="0.33333333333333298"/>
    <n v="0"/>
    <n v="0.4"/>
    <n v="3.09214072606738E-2"/>
    <x v="3"/>
    <x v="1"/>
    <s v=""/>
    <s v=""/>
    <s v=""/>
    <s v=""/>
    <s v=""/>
  </r>
  <r>
    <s v="Ein_boeses_Weib_scheidet_eine_Ehe.csv"/>
    <s v="#Man"/>
    <x v="0"/>
    <s v="unbekannt"/>
    <x v="3"/>
    <s v="ehemann/betrogener"/>
    <x v="0"/>
    <x v="2"/>
    <x v="3"/>
    <n v="2"/>
    <n v="0"/>
    <n v="0.57142857142857095"/>
    <n v="1"/>
    <x v="5"/>
    <x v="1"/>
    <s v=""/>
    <n v="2"/>
    <s v=""/>
    <s v=""/>
    <s v=""/>
  </r>
  <r>
    <s v="Ein_boeses_Weib_scheidet_eine_Ehe.csv"/>
    <s v="#Wib"/>
    <x v="1"/>
    <s v="unbekannt"/>
    <x v="3"/>
    <s v="ehefrau/betrogener"/>
    <x v="0"/>
    <x v="2"/>
    <x v="3"/>
    <n v="1.5"/>
    <n v="0"/>
    <n v="0.5"/>
    <n v="0.91119618750437403"/>
    <x v="5"/>
    <x v="1"/>
    <s v=""/>
    <n v="2"/>
    <s v=""/>
    <s v=""/>
    <s v=""/>
  </r>
  <r>
    <s v="Ein_boeses_Weib_scheidet_eine_Ehe.csv"/>
    <s v="#Gesellen"/>
    <x v="2"/>
    <s v="unbekannt"/>
    <x v="3"/>
    <s v="unbekannt"/>
    <x v="1"/>
    <x v="2"/>
    <x v="3"/>
    <n v="1.5"/>
    <n v="0.33333333333333298"/>
    <n v="0.66666666666666696"/>
    <n v="0.26212957968259598"/>
    <x v="3"/>
    <x v="1"/>
    <s v=""/>
    <s v=""/>
    <s v=""/>
    <s v=""/>
    <s v=""/>
  </r>
  <r>
    <s v="Ein_boeses_Weib_scheidet_eine_Ehe.csv"/>
    <s v="#Einer"/>
    <x v="0"/>
    <s v="unbekannt"/>
    <x v="3"/>
    <s v="gegenspieler"/>
    <x v="1"/>
    <x v="2"/>
    <x v="3"/>
    <n v="1.5"/>
    <n v="0.33333333333333298"/>
    <n v="0.66666666666666696"/>
    <n v="0.34672333816259299"/>
    <x v="10"/>
    <x v="1"/>
    <s v=""/>
    <s v=""/>
    <s v=""/>
    <s v=""/>
    <n v="5"/>
  </r>
  <r>
    <s v="Ein_boeses_Weib_scheidet_eine_Ehe.csv"/>
    <s v="#Frowen"/>
    <x v="1"/>
    <s v="unbekannt"/>
    <x v="2"/>
    <s v="betrueger"/>
    <x v="0"/>
    <x v="2"/>
    <x v="3"/>
    <n v="1.5"/>
    <n v="0"/>
    <n v="0.36363636363636398"/>
    <n v="0.86222985510054095"/>
    <x v="4"/>
    <x v="1"/>
    <n v="1"/>
    <s v=""/>
    <s v=""/>
    <s v=""/>
    <s v=""/>
  </r>
  <r>
    <s v="Frauenbestaendigkeit.csv"/>
    <s v="#Man"/>
    <x v="0"/>
    <s v="adel:ritter"/>
    <x v="3"/>
    <s v="ehemann/betrueger"/>
    <x v="0"/>
    <x v="1"/>
    <x v="3"/>
    <n v="2"/>
    <n v="0.65"/>
    <n v="0.38461538461538503"/>
    <n v="0.91789203004382203"/>
    <x v="4"/>
    <x v="1"/>
    <n v="1"/>
    <s v=""/>
    <s v=""/>
    <s v=""/>
    <s v=""/>
  </r>
  <r>
    <s v="Frauenbestaendigkeit.csv"/>
    <s v="#Vrouwe"/>
    <x v="1"/>
    <s v="adel:edelfrau"/>
    <x v="3"/>
    <s v="ehefrau/betrogener"/>
    <x v="0"/>
    <x v="1"/>
    <x v="3"/>
    <n v="2"/>
    <n v="0"/>
    <n v="0.26315789473684198"/>
    <n v="1"/>
    <x v="5"/>
    <x v="1"/>
    <s v=""/>
    <n v="2"/>
    <s v=""/>
    <s v=""/>
    <s v=""/>
  </r>
  <r>
    <s v="Frauenbestaendigkeit.csv"/>
    <s v="#Kneht-Henselin"/>
    <x v="0"/>
    <s v="adel:knecht"/>
    <x v="0"/>
    <s v="betrueger"/>
    <x v="0"/>
    <x v="1"/>
    <x v="3"/>
    <n v="0.8"/>
    <n v="0"/>
    <n v="0.12195121951219499"/>
    <n v="0.77147114603007705"/>
    <x v="4"/>
    <x v="1"/>
    <n v="1"/>
    <s v=""/>
    <s v=""/>
    <s v=""/>
    <s v=""/>
  </r>
  <r>
    <s v="Frauenbestaendigkeit.csv"/>
    <s v="#JÃºnk-vrouwen"/>
    <x v="2"/>
    <s v="adel:edelfrau"/>
    <x v="0"/>
    <s v="helfer"/>
    <x v="1"/>
    <x v="1"/>
    <x v="3"/>
    <n v="1.2"/>
    <n v="0"/>
    <n v="0.25"/>
    <n v="0.31461619084110198"/>
    <x v="6"/>
    <x v="1"/>
    <s v=""/>
    <s v=""/>
    <s v=""/>
    <s v=""/>
    <s v=""/>
  </r>
  <r>
    <s v="Frauenbestaendigkeit.csv"/>
    <s v="#Kamer-wip"/>
    <x v="1"/>
    <s v="adel:magd"/>
    <x v="2"/>
    <s v="helfer"/>
    <x v="1"/>
    <x v="1"/>
    <x v="3"/>
    <n v="1.2"/>
    <n v="0"/>
    <n v="0.3125"/>
    <n v="0.22741781155799601"/>
    <x v="6"/>
    <x v="1"/>
    <s v=""/>
    <s v=""/>
    <s v=""/>
    <s v=""/>
    <s v=""/>
  </r>
  <r>
    <s v="Frauenbestaendigkeit.csv"/>
    <s v="#Arzt"/>
    <x v="0"/>
    <s v="buergerlich:arzt"/>
    <x v="3"/>
    <s v="unbekannt"/>
    <x v="1"/>
    <x v="3"/>
    <x v="3"/>
    <n v="0.8"/>
    <n v="0.25"/>
    <n v="0.33333333333333298"/>
    <n v="9.5920579422089605E-2"/>
    <x v="3"/>
    <x v="1"/>
    <s v=""/>
    <s v=""/>
    <s v=""/>
    <s v=""/>
    <s v=""/>
  </r>
  <r>
    <s v="Frauenlist.csv"/>
    <s v="#Schuolaer"/>
    <x v="0"/>
    <s v="buergerlich:schueler"/>
    <x v="0"/>
    <s v="betrueger"/>
    <x v="0"/>
    <x v="3"/>
    <x v="3"/>
    <n v="2"/>
    <n v="0.33333333333333298"/>
    <n v="0.3"/>
    <n v="0.96417092020800998"/>
    <x v="4"/>
    <x v="1"/>
    <n v="1"/>
    <s v=""/>
    <s v=""/>
    <s v=""/>
    <s v=""/>
  </r>
  <r>
    <s v="Frauenlist.csv"/>
    <s v="#Vrouwe"/>
    <x v="1"/>
    <s v="unbekannt"/>
    <x v="3"/>
    <s v="ehefrau/betrueger"/>
    <x v="0"/>
    <x v="2"/>
    <x v="3"/>
    <n v="2"/>
    <n v="0"/>
    <n v="0.230769230769231"/>
    <n v="1"/>
    <x v="4"/>
    <x v="1"/>
    <n v="1"/>
    <s v=""/>
    <s v=""/>
    <s v=""/>
    <s v=""/>
  </r>
  <r>
    <s v="Frauenlist.csv"/>
    <s v="#Dirne"/>
    <x v="1"/>
    <s v="unbekannt:magd"/>
    <x v="3"/>
    <s v="unbekannt"/>
    <x v="1"/>
    <x v="2"/>
    <x v="3"/>
    <n v="1.3333333333333299"/>
    <n v="0.33333333333333298"/>
    <n v="0.3"/>
    <n v="0.177660242290957"/>
    <x v="3"/>
    <x v="1"/>
    <s v=""/>
    <s v=""/>
    <s v=""/>
    <s v=""/>
    <s v=""/>
  </r>
  <r>
    <s v="Frauenlist.csv"/>
    <s v="#E-man"/>
    <x v="0"/>
    <s v="unbekannt"/>
    <x v="3"/>
    <s v="ehemann/betrogener"/>
    <x v="1"/>
    <x v="2"/>
    <x v="3"/>
    <n v="1.3333333333333299"/>
    <n v="0"/>
    <n v="0.17647058823529399"/>
    <n v="0.49099623494289202"/>
    <x v="5"/>
    <x v="1"/>
    <s v=""/>
    <n v="2"/>
    <s v=""/>
    <s v=""/>
    <s v=""/>
  </r>
  <r>
    <s v="Frauentreue.csv"/>
    <s v="#Vrouwen"/>
    <x v="1"/>
    <s v="buergerlich:unbekannt"/>
    <x v="0"/>
    <s v="ehefrau"/>
    <x v="0"/>
    <x v="3"/>
    <x v="2"/>
    <n v="1.6666666666666701"/>
    <n v="0.266666666666667"/>
    <n v="0.26086956521739102"/>
    <n v="0.98310577465358695"/>
    <x v="1"/>
    <x v="2"/>
    <s v=""/>
    <s v=""/>
    <s v=""/>
    <s v=""/>
    <s v=""/>
  </r>
  <r>
    <s v="Frauentreue.csv"/>
    <s v="#Ritter"/>
    <x v="0"/>
    <s v="adel:ritter"/>
    <x v="3"/>
    <s v="liebender"/>
    <x v="0"/>
    <x v="1"/>
    <x v="2"/>
    <n v="2"/>
    <n v="0.4"/>
    <n v="0.3"/>
    <n v="1"/>
    <x v="9"/>
    <x v="2"/>
    <s v=""/>
    <s v=""/>
    <n v="3"/>
    <s v=""/>
    <s v=""/>
  </r>
  <r>
    <s v="Frauentreue.csv"/>
    <s v="#Buerger"/>
    <x v="0"/>
    <s v="buergerlich:unbekannt"/>
    <x v="0"/>
    <s v="ehemann"/>
    <x v="0"/>
    <x v="3"/>
    <x v="2"/>
    <n v="1"/>
    <n v="0"/>
    <n v="0.17142857142857101"/>
    <n v="0.58393144868476099"/>
    <x v="0"/>
    <x v="2"/>
    <s v=""/>
    <s v=""/>
    <s v=""/>
    <s v=""/>
    <s v=""/>
  </r>
  <r>
    <s v="Frauentreue.csv"/>
    <s v="#Ein-tumber"/>
    <x v="0"/>
    <s v="unbekannt"/>
    <x v="3"/>
    <s v="gegner"/>
    <x v="1"/>
    <x v="2"/>
    <x v="2"/>
    <n v="0.33333333333333298"/>
    <n v="0"/>
    <n v="0.2"/>
    <n v="4.4644943960943498E-2"/>
    <x v="13"/>
    <x v="2"/>
    <s v=""/>
    <s v=""/>
    <s v=""/>
    <s v=""/>
    <s v=""/>
  </r>
  <r>
    <s v="Frauentreue.csv"/>
    <s v="#Arzt"/>
    <x v="0"/>
    <s v="buergerlich:arzt"/>
    <x v="3"/>
    <s v="unbekannt"/>
    <x v="1"/>
    <x v="3"/>
    <x v="2"/>
    <n v="0.66666666666666696"/>
    <n v="0.133333333333333"/>
    <n v="0.25"/>
    <n v="8.8912767049959804E-2"/>
    <x v="3"/>
    <x v="2"/>
    <s v=""/>
    <s v=""/>
    <s v=""/>
    <s v=""/>
    <s v=""/>
  </r>
  <r>
    <s v="Frauentreue.csv"/>
    <s v="#Magd-der-vrouwe"/>
    <x v="1"/>
    <s v="buergerlich:magd"/>
    <x v="3"/>
    <s v="unbekannt"/>
    <x v="1"/>
    <x v="3"/>
    <x v="2"/>
    <n v="1"/>
    <n v="0.33333333333333298"/>
    <n v="0.24"/>
    <n v="0.18081840717915701"/>
    <x v="3"/>
    <x v="2"/>
    <s v=""/>
    <s v=""/>
    <s v=""/>
    <s v=""/>
    <s v=""/>
  </r>
  <r>
    <s v="Frauentreue.csv"/>
    <s v="#Ritters-knehte"/>
    <x v="2"/>
    <s v="adel:knecht"/>
    <x v="3"/>
    <s v="unbekannt"/>
    <x v="1"/>
    <x v="1"/>
    <x v="2"/>
    <n v="0.66666666666666696"/>
    <n v="0"/>
    <n v="0.22222222222222199"/>
    <n v="0.11085811815850501"/>
    <x v="3"/>
    <x v="2"/>
    <s v=""/>
    <s v=""/>
    <s v=""/>
    <s v=""/>
    <s v=""/>
  </r>
  <r>
    <s v="Frauenzucht.csv"/>
    <s v="#Vater"/>
    <x v="0"/>
    <s v="adel:ritter"/>
    <x v="3"/>
    <s v="vater"/>
    <x v="0"/>
    <x v="1"/>
    <x v="3"/>
    <n v="1.2"/>
    <n v="0"/>
    <n v="0.12195121951219499"/>
    <n v="0.86660102782214898"/>
    <x v="7"/>
    <x v="1"/>
    <s v=""/>
    <s v=""/>
    <s v=""/>
    <s v=""/>
    <s v=""/>
  </r>
  <r>
    <s v="Frauenzucht.csv"/>
    <s v="#Muoter"/>
    <x v="1"/>
    <s v="adel:edelfrau"/>
    <x v="3"/>
    <s v="mutter"/>
    <x v="0"/>
    <x v="1"/>
    <x v="3"/>
    <n v="1.6"/>
    <n v="0.1"/>
    <n v="0.27777777777777801"/>
    <n v="0.86875827609624301"/>
    <x v="8"/>
    <x v="1"/>
    <s v=""/>
    <s v=""/>
    <s v=""/>
    <s v=""/>
    <s v=""/>
  </r>
  <r>
    <s v="Frauenzucht.csv"/>
    <s v="#Tohter"/>
    <x v="1"/>
    <s v="adel:edelfrau"/>
    <x v="0"/>
    <s v="ehefrau"/>
    <x v="0"/>
    <x v="1"/>
    <x v="3"/>
    <n v="1.6"/>
    <n v="0.15"/>
    <n v="0.29411764705882398"/>
    <n v="0.90345687342862402"/>
    <x v="1"/>
    <x v="1"/>
    <s v=""/>
    <s v=""/>
    <s v=""/>
    <s v=""/>
    <s v=""/>
  </r>
  <r>
    <s v="Frauenzucht.csv"/>
    <s v="#Ritter"/>
    <x v="0"/>
    <s v="adel:ritter"/>
    <x v="3"/>
    <s v="ehemann"/>
    <x v="0"/>
    <x v="1"/>
    <x v="3"/>
    <n v="2"/>
    <n v="0.4"/>
    <n v="0.33333333333333298"/>
    <n v="1"/>
    <x v="0"/>
    <x v="1"/>
    <s v=""/>
    <s v=""/>
    <s v=""/>
    <s v=""/>
    <s v=""/>
  </r>
  <r>
    <s v="Frauenzucht.csv"/>
    <s v="#Sin-vriunt"/>
    <x v="2"/>
    <s v="unbekannt"/>
    <x v="3"/>
    <s v="unbekannt"/>
    <x v="1"/>
    <x v="2"/>
    <x v="3"/>
    <n v="0.8"/>
    <n v="0.35"/>
    <n v="0.33333333333333298"/>
    <n v="7.4055764941341307E-2"/>
    <x v="3"/>
    <x v="1"/>
    <s v=""/>
    <s v=""/>
    <s v=""/>
    <s v=""/>
    <s v=""/>
  </r>
  <r>
    <s v="Frauenzucht.csv"/>
    <s v="#Zwen-knehte"/>
    <x v="2"/>
    <s v="adel:knecht"/>
    <x v="3"/>
    <s v="unbekannt"/>
    <x v="1"/>
    <x v="1"/>
    <x v="3"/>
    <n v="0.8"/>
    <n v="0.3"/>
    <n v="0.3125"/>
    <n v="7.2705783650085301E-2"/>
    <x v="3"/>
    <x v="1"/>
    <s v=""/>
    <s v=""/>
    <s v=""/>
    <s v=""/>
    <s v=""/>
  </r>
  <r>
    <s v="Heinrich_von_Kempten_und_des_Kaisers_Bart.csv"/>
    <s v="#Keiser-Otte"/>
    <x v="0"/>
    <s v="adel:kaiser"/>
    <x v="3"/>
    <s v="gegenspieler"/>
    <x v="0"/>
    <x v="1"/>
    <x v="1"/>
    <n v="1.5"/>
    <n v="0.42857142857142899"/>
    <n v="0.42105263157894701"/>
    <n v="0.979312096629257"/>
    <x v="10"/>
    <x v="3"/>
    <s v=""/>
    <s v=""/>
    <s v=""/>
    <s v=""/>
    <n v="5"/>
  </r>
  <r>
    <s v="Heinrich_von_Kempten_und_des_Kaisers_Bart.csv"/>
    <s v="#Junk-herre-von-Heinrich"/>
    <x v="0"/>
    <s v="adel:unbekannt"/>
    <x v="0"/>
    <s v="unbekannt"/>
    <x v="1"/>
    <x v="1"/>
    <x v="1"/>
    <n v="0.75"/>
    <n v="0.107142857142857"/>
    <n v="0.4"/>
    <n v="0.116909047627392"/>
    <x v="3"/>
    <x v="3"/>
    <s v=""/>
    <s v=""/>
    <s v=""/>
    <s v=""/>
    <s v=""/>
  </r>
  <r>
    <s v="Heinrich_von_Kempten_und_des_Kaisers_Bart.csv"/>
    <s v="#Truhsaeze"/>
    <x v="0"/>
    <s v="adel:truhtsaeze"/>
    <x v="3"/>
    <s v="gegenspieler"/>
    <x v="1"/>
    <x v="1"/>
    <x v="1"/>
    <n v="0.75"/>
    <n v="0"/>
    <n v="0.34782608695652201"/>
    <n v="0.147888950359849"/>
    <x v="10"/>
    <x v="3"/>
    <s v=""/>
    <s v=""/>
    <s v=""/>
    <s v=""/>
    <n v="5"/>
  </r>
  <r>
    <s v="Heinrich_von_Kempten_und_des_Kaisers_Bart.csv"/>
    <s v="#Heinrich-von-Kempten"/>
    <x v="0"/>
    <s v="adel:ritter"/>
    <x v="3"/>
    <s v="betrogener"/>
    <x v="0"/>
    <x v="1"/>
    <x v="1"/>
    <n v="1.75"/>
    <n v="0.42857142857142899"/>
    <n v="0.38095238095238099"/>
    <n v="1"/>
    <x v="5"/>
    <x v="3"/>
    <s v=""/>
    <n v="2"/>
    <s v=""/>
    <s v=""/>
    <s v=""/>
  </r>
  <r>
    <s v="Heinrich_von_Kempten_und_des_Kaisers_Bart.csv"/>
    <s v="#Herr-von-Heinrich"/>
    <x v="0"/>
    <s v="adel:unbekannt"/>
    <x v="3"/>
    <s v="helfer"/>
    <x v="1"/>
    <x v="1"/>
    <x v="1"/>
    <n v="0.5"/>
    <n v="0"/>
    <n v="0.24242424242424199"/>
    <n v="0.10375008095898"/>
    <x v="6"/>
    <x v="3"/>
    <s v=""/>
    <s v=""/>
    <s v=""/>
    <s v=""/>
    <s v=""/>
  </r>
  <r>
    <s v="Heinrich_von_Kempten_und_des_Kaisers_Bart.csv"/>
    <s v="#Bote"/>
    <x v="0"/>
    <s v="unbekannt"/>
    <x v="3"/>
    <s v="bote"/>
    <x v="1"/>
    <x v="2"/>
    <x v="1"/>
    <n v="0.5"/>
    <n v="0.25"/>
    <n v="0.30769230769230799"/>
    <n v="3.7697681684529097E-2"/>
    <x v="12"/>
    <x v="3"/>
    <s v=""/>
    <s v=""/>
    <s v=""/>
    <s v=""/>
    <s v=""/>
  </r>
  <r>
    <s v="Heinrich_von_Kempten_und_des_Kaisers_Bart.csv"/>
    <s v="#Burgaere"/>
    <x v="2"/>
    <s v="buergerlich:buerger"/>
    <x v="3"/>
    <s v="gegner"/>
    <x v="1"/>
    <x v="3"/>
    <x v="1"/>
    <n v="0.75"/>
    <n v="0"/>
    <n v="0.25"/>
    <n v="0.31297245224541198"/>
    <x v="13"/>
    <x v="3"/>
    <s v=""/>
    <s v=""/>
    <s v=""/>
    <s v=""/>
    <s v=""/>
  </r>
  <r>
    <s v="Heinrich_von_Kempten_und_des_Kaisers_Bart.csv"/>
    <s v="#Keiser-maere"/>
    <x v="2"/>
    <s v="unbekannt"/>
    <x v="3"/>
    <s v="gegner"/>
    <x v="1"/>
    <x v="2"/>
    <x v="1"/>
    <n v="0.75"/>
    <n v="0.35714285714285698"/>
    <n v="0.44444444444444398"/>
    <n v="0.12313460552687901"/>
    <x v="13"/>
    <x v="3"/>
    <s v=""/>
    <s v=""/>
    <s v=""/>
    <s v=""/>
    <s v=""/>
  </r>
  <r>
    <s v="Heinrich_von_Kempten_und_des_Kaisers_Bart.csv"/>
    <s v="#Vuersten"/>
    <x v="2"/>
    <s v="adel:fuerst"/>
    <x v="3"/>
    <s v="unbekannt"/>
    <x v="1"/>
    <x v="1"/>
    <x v="1"/>
    <n v="0.25"/>
    <n v="0"/>
    <n v="0.30769230769230799"/>
    <n v="3.3447604059483202E-2"/>
    <x v="3"/>
    <x v="3"/>
    <s v=""/>
    <s v=""/>
    <s v=""/>
    <s v=""/>
    <s v=""/>
  </r>
  <r>
    <s v="Hero_und_Leander.csv"/>
    <s v="#Leander"/>
    <x v="0"/>
    <s v="adel:unbekannt"/>
    <x v="0"/>
    <s v="liebender"/>
    <x v="0"/>
    <x v="1"/>
    <x v="2"/>
    <n v="1.1428571428571399"/>
    <n v="0.476190476190476"/>
    <n v="0.28000000000000003"/>
    <n v="1"/>
    <x v="9"/>
    <x v="2"/>
    <s v=""/>
    <s v=""/>
    <n v="3"/>
    <s v=""/>
    <s v=""/>
  </r>
  <r>
    <s v="Hero_und_Leander.csv"/>
    <s v="#Vater-Leanders"/>
    <x v="0"/>
    <s v="adel:unbekannt"/>
    <x v="2"/>
    <s v="vater"/>
    <x v="1"/>
    <x v="1"/>
    <x v="2"/>
    <n v="0.57142857142857095"/>
    <n v="0"/>
    <n v="0.2"/>
    <n v="0.19612003075071399"/>
    <x v="7"/>
    <x v="2"/>
    <s v=""/>
    <s v=""/>
    <s v=""/>
    <s v=""/>
    <s v=""/>
  </r>
  <r>
    <s v="Hero_und_Leander.csv"/>
    <s v="#Muoter-Leanders"/>
    <x v="1"/>
    <s v="adel:unbekannt"/>
    <x v="2"/>
    <s v="mutter"/>
    <x v="1"/>
    <x v="1"/>
    <x v="2"/>
    <n v="0.57142857142857095"/>
    <n v="0"/>
    <n v="0.2"/>
    <n v="0.19612003075071399"/>
    <x v="8"/>
    <x v="2"/>
    <s v=""/>
    <s v=""/>
    <s v=""/>
    <s v=""/>
    <s v=""/>
  </r>
  <r>
    <s v="Hero_und_Leander.csv"/>
    <s v="#Hero"/>
    <x v="1"/>
    <s v="adel:koenigstochter"/>
    <x v="0"/>
    <s v="liebende"/>
    <x v="0"/>
    <x v="1"/>
    <x v="2"/>
    <n v="1.4285714285714299"/>
    <n v="0.57142857142857095"/>
    <n v="0.33333333333333298"/>
    <n v="0.97859293433193695"/>
    <x v="11"/>
    <x v="2"/>
    <s v=""/>
    <s v=""/>
    <s v=""/>
    <n v="4"/>
    <s v=""/>
  </r>
  <r>
    <s v="Hero_und_Leander.csv"/>
    <s v="#Vater-Heros"/>
    <x v="0"/>
    <s v="adel:unbekannt"/>
    <x v="5"/>
    <s v="vater"/>
    <x v="1"/>
    <x v="1"/>
    <x v="2"/>
    <n v="0.85714285714285698"/>
    <n v="0"/>
    <n v="0.28000000000000003"/>
    <n v="9.5960838186805605E-2"/>
    <x v="7"/>
    <x v="2"/>
    <s v=""/>
    <s v=""/>
    <s v=""/>
    <s v=""/>
    <s v=""/>
  </r>
  <r>
    <s v="Hero_und_Leander.csv"/>
    <s v="#Muoter-Heros"/>
    <x v="1"/>
    <s v="adel:unbekannt"/>
    <x v="5"/>
    <s v="mutter"/>
    <x v="1"/>
    <x v="1"/>
    <x v="2"/>
    <n v="0.85714285714285698"/>
    <n v="0"/>
    <n v="0.28000000000000003"/>
    <n v="9.5960838186805703E-2"/>
    <x v="8"/>
    <x v="2"/>
    <s v=""/>
    <s v=""/>
    <s v=""/>
    <s v=""/>
    <s v=""/>
  </r>
  <r>
    <s v="Hero_und_Leander.csv"/>
    <s v="#Amme-Heros"/>
    <x v="1"/>
    <s v="adel:amme"/>
    <x v="2"/>
    <s v="unbekannt"/>
    <x v="1"/>
    <x v="1"/>
    <x v="2"/>
    <n v="0.85714285714285698"/>
    <n v="0"/>
    <n v="0.28000000000000003"/>
    <n v="9.59608381868058E-2"/>
    <x v="3"/>
    <x v="2"/>
    <s v=""/>
    <s v=""/>
    <s v=""/>
    <s v=""/>
    <s v=""/>
  </r>
  <r>
    <s v="Hero_und_Leander.csv"/>
    <s v="#Vischer"/>
    <x v="0"/>
    <s v="buergerlich:fischer"/>
    <x v="3"/>
    <s v="bote"/>
    <x v="1"/>
    <x v="3"/>
    <x v="2"/>
    <n v="0.57142857142857095"/>
    <n v="0.57142857142857095"/>
    <n v="0.33333333333333298"/>
    <n v="0.324417029351796"/>
    <x v="12"/>
    <x v="2"/>
    <s v=""/>
    <s v=""/>
    <s v=""/>
    <s v=""/>
    <s v=""/>
  </r>
  <r>
    <s v="Herr_Friedrich_von_Auchenfurt.csv"/>
    <s v="#Keiser"/>
    <x v="0"/>
    <s v="adel:kaiser"/>
    <x v="3"/>
    <s v="unbekannt"/>
    <x v="1"/>
    <x v="1"/>
    <x v="3"/>
    <n v="0.4"/>
    <n v="0"/>
    <n v="0.45454545454545497"/>
    <n v="5.6313443279017203E-2"/>
    <x v="3"/>
    <x v="2"/>
    <s v=""/>
    <s v=""/>
    <s v=""/>
    <s v=""/>
    <s v=""/>
  </r>
  <r>
    <s v="Herr_Friedrich_von_Auchenfurt.csv"/>
    <s v="#Ouchenvurt-ber-Vrid(e)rich"/>
    <x v="0"/>
    <s v="adel:ritter"/>
    <x v="3"/>
    <s v="liebender"/>
    <x v="0"/>
    <x v="1"/>
    <x v="3"/>
    <n v="2"/>
    <n v="0.9"/>
    <n v="0.71428571428571397"/>
    <n v="0.943623203090448"/>
    <x v="9"/>
    <x v="2"/>
    <s v=""/>
    <s v=""/>
    <n v="3"/>
    <s v=""/>
    <s v=""/>
  </r>
  <r>
    <s v="Herr_Friedrich_von_Auchenfurt.csv"/>
    <s v="#Graevin"/>
    <x v="1"/>
    <s v="adel:graefin"/>
    <x v="3"/>
    <s v="ehefrau/betrogener"/>
    <x v="0"/>
    <x v="1"/>
    <x v="3"/>
    <n v="1.2"/>
    <n v="0"/>
    <n v="0.38461538461538503"/>
    <n v="1"/>
    <x v="5"/>
    <x v="2"/>
    <s v=""/>
    <n v="2"/>
    <s v=""/>
    <s v=""/>
    <s v=""/>
  </r>
  <r>
    <s v="Herr_Friedrich_von_Auchenfurt.csv"/>
    <s v="#Grave"/>
    <x v="0"/>
    <s v="adel:graf"/>
    <x v="3"/>
    <s v="ehemann"/>
    <x v="1"/>
    <x v="1"/>
    <x v="3"/>
    <n v="0.8"/>
    <n v="0"/>
    <n v="0.45454545454545497"/>
    <n v="0.41438079322072602"/>
    <x v="0"/>
    <x v="2"/>
    <s v=""/>
    <s v=""/>
    <s v=""/>
    <s v=""/>
    <s v=""/>
  </r>
  <r>
    <s v="Herr_Friedrich_von_Auchenfurt.csv"/>
    <s v="#Ritter"/>
    <x v="0"/>
    <s v="adel:ritter"/>
    <x v="3"/>
    <s v="gegner"/>
    <x v="1"/>
    <x v="1"/>
    <x v="3"/>
    <n v="0.4"/>
    <n v="0"/>
    <n v="0.33333333333333298"/>
    <n v="0.112626886558034"/>
    <x v="13"/>
    <x v="2"/>
    <s v=""/>
    <s v=""/>
    <s v=""/>
    <s v=""/>
    <s v=""/>
  </r>
  <r>
    <s v="Herr_Friedrich_von_Auchenfurt.csv"/>
    <s v="#Junk-vrouwen-der-graefin"/>
    <x v="2"/>
    <s v="adel:hofstaat"/>
    <x v="3"/>
    <s v="bote"/>
    <x v="1"/>
    <x v="1"/>
    <x v="3"/>
    <n v="0.8"/>
    <n v="0.4"/>
    <n v="0.55555555555555602"/>
    <n v="0.115991334935969"/>
    <x v="12"/>
    <x v="2"/>
    <s v=""/>
    <s v=""/>
    <s v=""/>
    <s v=""/>
    <s v=""/>
  </r>
  <r>
    <s v="Irregang_und_Girregar.csv"/>
    <s v="#Geselle-1"/>
    <x v="0"/>
    <s v="unbekannt"/>
    <x v="3"/>
    <s v="liebender/betrueger"/>
    <x v="0"/>
    <x v="2"/>
    <x v="3"/>
    <n v="2"/>
    <n v="0.11111111111111099"/>
    <n v="0.269230769230769"/>
    <n v="1"/>
    <x v="4"/>
    <x v="1"/>
    <n v="1"/>
    <s v=""/>
    <s v=""/>
    <s v=""/>
    <s v=""/>
  </r>
  <r>
    <s v="Irregang_und_Girregar.csv"/>
    <s v="#Geselle-2"/>
    <x v="0"/>
    <s v="unbekannt"/>
    <x v="3"/>
    <s v="liebender/betrueger"/>
    <x v="0"/>
    <x v="2"/>
    <x v="3"/>
    <n v="2"/>
    <n v="3.1746031746031703E-2"/>
    <n v="0.233333333333333"/>
    <n v="0.83169000866847098"/>
    <x v="4"/>
    <x v="1"/>
    <n v="1"/>
    <s v=""/>
    <s v=""/>
    <s v=""/>
    <s v=""/>
  </r>
  <r>
    <s v="Irregang_und_Girregar.csv"/>
    <s v="#Maget"/>
    <x v="1"/>
    <s v="unbekannt"/>
    <x v="0"/>
    <s v="tochter/betrueger"/>
    <x v="0"/>
    <x v="2"/>
    <x v="3"/>
    <n v="1.4285714285714299"/>
    <n v="0"/>
    <n v="0.116666666666667"/>
    <n v="0.739252769085332"/>
    <x v="4"/>
    <x v="1"/>
    <n v="1"/>
    <s v=""/>
    <s v=""/>
    <s v=""/>
    <s v=""/>
  </r>
  <r>
    <s v="Irregang_und_Girregar.csv"/>
    <s v="#Wirt"/>
    <x v="0"/>
    <s v="unbekannt"/>
    <x v="2"/>
    <s v="ehemann/betrogener"/>
    <x v="0"/>
    <x v="2"/>
    <x v="3"/>
    <n v="2"/>
    <n v="0.11111111111111099"/>
    <n v="0.269230769230769"/>
    <n v="0.77204975762844896"/>
    <x v="5"/>
    <x v="1"/>
    <s v=""/>
    <n v="2"/>
    <s v=""/>
    <s v=""/>
    <s v=""/>
  </r>
  <r>
    <s v="Irregang_und_Girregar.csv"/>
    <s v="#Bote"/>
    <x v="0"/>
    <s v="unbekannt"/>
    <x v="3"/>
    <s v="bote"/>
    <x v="1"/>
    <x v="2"/>
    <x v="3"/>
    <n v="0.85714285714285698"/>
    <n v="0.182539682539683"/>
    <n v="0.25"/>
    <n v="2.3894815022153799E-2"/>
    <x v="12"/>
    <x v="1"/>
    <s v=""/>
    <s v=""/>
    <s v=""/>
    <s v=""/>
    <s v=""/>
  </r>
  <r>
    <s v="Irregang_und_Girregar.csv"/>
    <s v="#Gesinde"/>
    <x v="2"/>
    <s v="unbekannt"/>
    <x v="3"/>
    <s v="unbekannt"/>
    <x v="1"/>
    <x v="2"/>
    <x v="3"/>
    <n v="1.4285714285714299"/>
    <n v="0.28571428571428598"/>
    <n v="0.194444444444444"/>
    <n v="0.19775098609363001"/>
    <x v="3"/>
    <x v="1"/>
    <s v=""/>
    <s v=""/>
    <s v=""/>
    <s v=""/>
    <s v=""/>
  </r>
  <r>
    <s v="Irregang_und_Girregar.csv"/>
    <s v="#Wirtin"/>
    <x v="1"/>
    <s v="unbekannt"/>
    <x v="0"/>
    <s v="ehefrau/betrueger"/>
    <x v="0"/>
    <x v="2"/>
    <x v="3"/>
    <n v="1.71428571428571"/>
    <n v="0.34920634920634902"/>
    <n v="0.233333333333333"/>
    <n v="0.59838906358420996"/>
    <x v="4"/>
    <x v="1"/>
    <n v="1"/>
    <s v=""/>
    <s v=""/>
    <s v=""/>
    <s v=""/>
  </r>
  <r>
    <s v="Irregang_und_Girregar.csv"/>
    <s v="#Kint"/>
    <x v="3"/>
    <s v="unbekannt"/>
    <x v="1"/>
    <s v="kind"/>
    <x v="1"/>
    <x v="2"/>
    <x v="3"/>
    <n v="1.1428571428571399"/>
    <n v="0.46825396825396798"/>
    <n v="0.29166666666666702"/>
    <n v="5.5634294847443901E-2"/>
    <x v="2"/>
    <x v="1"/>
    <s v=""/>
    <s v=""/>
    <s v=""/>
    <s v=""/>
    <s v=""/>
  </r>
  <r>
    <s v="Martinsfest.csv"/>
    <s v="#Man"/>
    <x v="0"/>
    <s v="bauer"/>
    <x v="3"/>
    <s v="betrogener"/>
    <x v="0"/>
    <x v="5"/>
    <x v="1"/>
    <n v="2"/>
    <n v="0"/>
    <n v="0.29411764705882398"/>
    <n v="1"/>
    <x v="5"/>
    <x v="1"/>
    <s v=""/>
    <n v="2"/>
    <s v=""/>
    <s v=""/>
    <s v=""/>
  </r>
  <r>
    <s v="Martinsfest.csv"/>
    <s v="#Gesinde"/>
    <x v="2"/>
    <s v="bauer"/>
    <x v="3"/>
    <s v="unbekannt"/>
    <x v="1"/>
    <x v="5"/>
    <x v="1"/>
    <n v="2"/>
    <n v="0"/>
    <n v="0.41666666666666702"/>
    <n v="0.74076625529934303"/>
    <x v="3"/>
    <x v="1"/>
    <s v=""/>
    <s v=""/>
    <s v=""/>
    <s v=""/>
    <s v=""/>
  </r>
  <r>
    <s v="Martinsfest.csv"/>
    <s v="#Diebe"/>
    <x v="2"/>
    <s v="NA"/>
    <x v="3"/>
    <s v="gegenspieler"/>
    <x v="1"/>
    <x v="0"/>
    <x v="1"/>
    <n v="1.2"/>
    <n v="0.15"/>
    <n v="0.41666666666666702"/>
    <n v="0.39059917548970902"/>
    <x v="10"/>
    <x v="1"/>
    <s v=""/>
    <s v=""/>
    <s v=""/>
    <s v=""/>
    <n v="5"/>
  </r>
  <r>
    <s v="Martinsfest.csv"/>
    <s v="#Dieb"/>
    <x v="0"/>
    <s v="NA"/>
    <x v="3"/>
    <s v="betrueger"/>
    <x v="1"/>
    <x v="0"/>
    <x v="1"/>
    <n v="2"/>
    <n v="0.25"/>
    <n v="0.5"/>
    <n v="0.735962824898442"/>
    <x v="4"/>
    <x v="1"/>
    <n v="1"/>
    <s v=""/>
    <s v=""/>
    <s v=""/>
    <s v=""/>
  </r>
  <r>
    <s v="Martinsfest.csv"/>
    <s v="#KnÃ©hte"/>
    <x v="2"/>
    <s v="bauer:knecht"/>
    <x v="3"/>
    <s v="unbekannt"/>
    <x v="1"/>
    <x v="5"/>
    <x v="1"/>
    <n v="1.6"/>
    <n v="0.05"/>
    <n v="0.45454545454545497"/>
    <n v="0.50120521923078298"/>
    <x v="3"/>
    <x v="1"/>
    <s v=""/>
    <s v=""/>
    <s v=""/>
    <s v=""/>
    <s v=""/>
  </r>
  <r>
    <s v="Martinsfest.csv"/>
    <s v="#Wip"/>
    <x v="1"/>
    <s v="bauer"/>
    <x v="3"/>
    <s v="ehefrau"/>
    <x v="1"/>
    <x v="5"/>
    <x v="1"/>
    <n v="1.6"/>
    <n v="0"/>
    <n v="0.41666666666666702"/>
    <n v="0.56931726303234798"/>
    <x v="1"/>
    <x v="1"/>
    <s v=""/>
    <s v=""/>
    <s v=""/>
    <s v=""/>
    <s v=""/>
  </r>
  <r>
    <s v="Minnedurst.csv"/>
    <s v="#Wip"/>
    <x v="1"/>
    <s v="buergerlich:unbekannt"/>
    <x v="0"/>
    <s v="ehefrau/betrueger"/>
    <x v="0"/>
    <x v="3"/>
    <x v="3"/>
    <n v="2"/>
    <n v="0.16666666666666699"/>
    <n v="0.44444444444444398"/>
    <n v="1"/>
    <x v="4"/>
    <x v="1"/>
    <n v="1"/>
    <s v=""/>
    <s v=""/>
    <s v=""/>
    <s v=""/>
  </r>
  <r>
    <s v="Minnedurst.csv"/>
    <s v="#Man"/>
    <x v="0"/>
    <s v="buergerlich:unbekannt"/>
    <x v="3"/>
    <s v="ehemann/betrogener"/>
    <x v="1"/>
    <x v="3"/>
    <x v="3"/>
    <n v="2"/>
    <n v="0.16666666666666699"/>
    <n v="0.44444444444444398"/>
    <n v="0.78652875862854299"/>
    <x v="5"/>
    <x v="1"/>
    <s v=""/>
    <n v="2"/>
    <s v=""/>
    <s v=""/>
    <s v=""/>
  </r>
  <r>
    <s v="Minnedurst.csv"/>
    <s v="#Knabe"/>
    <x v="0"/>
    <s v="unbekannt"/>
    <x v="0"/>
    <s v="liebender/betrueger"/>
    <x v="0"/>
    <x v="2"/>
    <x v="3"/>
    <n v="1.5"/>
    <n v="0"/>
    <n v="0.266666666666667"/>
    <n v="0.93947963678087598"/>
    <x v="4"/>
    <x v="1"/>
    <n v="1"/>
    <s v=""/>
    <s v=""/>
    <s v=""/>
    <s v=""/>
  </r>
  <r>
    <s v="Minnedurst.csv"/>
    <s v="#Meier"/>
    <x v="0"/>
    <s v="buergerlich:meyer"/>
    <x v="3"/>
    <s v="vater"/>
    <x v="1"/>
    <x v="3"/>
    <x v="3"/>
    <n v="1.5"/>
    <n v="0.5"/>
    <n v="0.44444444444444398"/>
    <n v="0.22521804258280201"/>
    <x v="7"/>
    <x v="1"/>
    <s v=""/>
    <s v=""/>
    <s v=""/>
    <s v=""/>
    <s v=""/>
  </r>
  <r>
    <s v="Minnedurst.csv"/>
    <s v="#Wirt"/>
    <x v="0"/>
    <s v="buergerlich:wirt"/>
    <x v="3"/>
    <s v="unbekannt"/>
    <x v="1"/>
    <x v="3"/>
    <x v="3"/>
    <n v="1"/>
    <n v="0.16666666666666699"/>
    <n v="0.4"/>
    <n v="7.3799939632206296E-2"/>
    <x v="3"/>
    <x v="1"/>
    <s v=""/>
    <s v=""/>
    <s v=""/>
    <s v=""/>
    <s v=""/>
  </r>
  <r>
    <s v="Rittertreue.csv"/>
    <s v="#Ritter"/>
    <x v="0"/>
    <s v="adel:ritter"/>
    <x v="5"/>
    <s v="helfer"/>
    <x v="0"/>
    <x v="1"/>
    <x v="0"/>
    <n v="0.33333333333333298"/>
    <n v="0"/>
    <n v="0.26086956521739102"/>
    <n v="0.58180079134140095"/>
    <x v="6"/>
    <x v="3"/>
    <s v=""/>
    <s v=""/>
    <s v=""/>
    <s v=""/>
    <s v=""/>
  </r>
  <r>
    <s v="Rittertreue.csv"/>
    <s v="#Grave-Willekin"/>
    <x v="0"/>
    <s v="adel:ritter"/>
    <x v="0"/>
    <s v="unbekannt"/>
    <x v="0"/>
    <x v="1"/>
    <x v="0"/>
    <n v="1.6666666666666701"/>
    <n v="0.174242424242424"/>
    <n v="0.33333333333333298"/>
    <n v="1"/>
    <x v="3"/>
    <x v="3"/>
    <s v=""/>
    <s v=""/>
    <s v=""/>
    <s v=""/>
    <s v=""/>
  </r>
  <r>
    <s v="Rittertreue.csv"/>
    <s v="#Vater-Willekins"/>
    <x v="0"/>
    <s v="adel:unbekannt"/>
    <x v="2"/>
    <s v="vater"/>
    <x v="1"/>
    <x v="1"/>
    <x v="0"/>
    <n v="0.66666666666666696"/>
    <n v="7.5757575757575801E-2"/>
    <n v="0.375"/>
    <n v="0.25966705918486499"/>
    <x v="7"/>
    <x v="3"/>
    <s v=""/>
    <s v=""/>
    <s v=""/>
    <s v=""/>
    <s v=""/>
  </r>
  <r>
    <s v="Rittertreue.csv"/>
    <s v="#Junc-vrouwe"/>
    <x v="1"/>
    <s v="adel:edelfrau"/>
    <x v="0"/>
    <s v="helfer"/>
    <x v="1"/>
    <x v="1"/>
    <x v="0"/>
    <n v="1.3333333333333299"/>
    <n v="0.54545454545454497"/>
    <n v="0.5"/>
    <n v="0.61955072261073696"/>
    <x v="6"/>
    <x v="3"/>
    <s v=""/>
    <s v=""/>
    <s v=""/>
    <s v=""/>
    <s v=""/>
  </r>
  <r>
    <s v="Rittertreue.csv"/>
    <s v="#Rat-geben-der-vrouwe"/>
    <x v="2"/>
    <s v="adel:ratgeber"/>
    <x v="3"/>
    <s v="ratgeber"/>
    <x v="1"/>
    <x v="1"/>
    <x v="0"/>
    <n v="0.16666666666666699"/>
    <n v="0"/>
    <n v="0.34285714285714303"/>
    <n v="1.9762766371668E-2"/>
    <x v="16"/>
    <x v="3"/>
    <s v=""/>
    <s v=""/>
    <s v=""/>
    <s v=""/>
    <s v=""/>
  </r>
  <r>
    <s v="Rittertreue.csv"/>
    <s v="#Kneht(e-)-der-vrouwe"/>
    <x v="2"/>
    <s v="adel:knecht"/>
    <x v="3"/>
    <s v="unbekannt"/>
    <x v="1"/>
    <x v="1"/>
    <x v="0"/>
    <n v="0.66666666666666696"/>
    <n v="0.11363636363636399"/>
    <n v="0.38709677419354799"/>
    <n v="0.12399173468724201"/>
    <x v="3"/>
    <x v="3"/>
    <s v=""/>
    <s v=""/>
    <s v=""/>
    <s v=""/>
    <s v=""/>
  </r>
  <r>
    <s v="Rittertreue.csv"/>
    <s v="#Garzuon"/>
    <x v="0"/>
    <s v="buergerlich:garzuon"/>
    <x v="3"/>
    <s v="bote"/>
    <x v="1"/>
    <x v="3"/>
    <x v="0"/>
    <n v="0.66666666666666696"/>
    <n v="2.5252525252525301E-2"/>
    <n v="0.38709677419354799"/>
    <n v="0.23995819381793601"/>
    <x v="12"/>
    <x v="3"/>
    <s v=""/>
    <s v=""/>
    <s v=""/>
    <s v=""/>
    <s v=""/>
  </r>
  <r>
    <s v="Rittertreue.csv"/>
    <s v="#Willekins-kneht"/>
    <x v="0"/>
    <s v="adel:knecht"/>
    <x v="3"/>
    <s v="bote"/>
    <x v="1"/>
    <x v="1"/>
    <x v="0"/>
    <n v="0.83333333333333304"/>
    <n v="2.27272727272727E-2"/>
    <n v="0.30769230769230799"/>
    <n v="0.40048964481880001"/>
    <x v="12"/>
    <x v="3"/>
    <s v=""/>
    <s v=""/>
    <s v=""/>
    <s v=""/>
    <s v=""/>
  </r>
  <r>
    <s v="Rittertreue.csv"/>
    <s v="#Muoter-Willekins"/>
    <x v="1"/>
    <s v="adel:edelfrau"/>
    <x v="2"/>
    <s v="mutter"/>
    <x v="1"/>
    <x v="1"/>
    <x v="0"/>
    <n v="0.16666666666666699"/>
    <n v="0"/>
    <n v="0.25531914893617003"/>
    <n v="3.1898544623415598E-2"/>
    <x v="8"/>
    <x v="3"/>
    <s v=""/>
    <s v=""/>
    <s v=""/>
    <s v=""/>
    <s v=""/>
  </r>
  <r>
    <s v="Rittertreue.csv"/>
    <s v="#Richer-manne-dri"/>
    <x v="2"/>
    <s v="buergerlich:buerger"/>
    <x v="3"/>
    <s v="unbekannt"/>
    <x v="1"/>
    <x v="3"/>
    <x v="0"/>
    <n v="0.33333333333333298"/>
    <n v="1.5151515151515201E-2"/>
    <n v="0.34285714285714303"/>
    <n v="3.8564869156755999E-2"/>
    <x v="3"/>
    <x v="3"/>
    <s v=""/>
    <s v=""/>
    <s v=""/>
    <s v=""/>
    <s v=""/>
  </r>
  <r>
    <s v="Rittertreue.csv"/>
    <s v="#Wirt"/>
    <x v="0"/>
    <s v="buergerlich:wirt"/>
    <x v="3"/>
    <s v="helfer"/>
    <x v="1"/>
    <x v="3"/>
    <x v="0"/>
    <n v="1"/>
    <n v="0.26767676767676801"/>
    <n v="0.46153846153846201"/>
    <n v="0.40800593561455401"/>
    <x v="6"/>
    <x v="3"/>
    <s v=""/>
    <s v=""/>
    <s v=""/>
    <s v=""/>
    <s v=""/>
  </r>
  <r>
    <s v="Rittertreue.csv"/>
    <s v="#Ritter-Willekins"/>
    <x v="2"/>
    <s v="adel:ritter"/>
    <x v="3"/>
    <s v="begleiter"/>
    <x v="1"/>
    <x v="1"/>
    <x v="0"/>
    <n v="0.5"/>
    <n v="4.5454545454545497E-2"/>
    <n v="0.32432432432432401"/>
    <n v="0.10260171714093801"/>
    <x v="14"/>
    <x v="3"/>
    <s v=""/>
    <s v=""/>
    <s v=""/>
    <s v=""/>
    <s v=""/>
  </r>
  <r>
    <s v="Rittertreue.csv"/>
    <s v="#Ein-ritter"/>
    <x v="0"/>
    <s v="adel:ritter"/>
    <x v="3"/>
    <s v="gegner"/>
    <x v="1"/>
    <x v="1"/>
    <x v="0"/>
    <n v="0.33333333333333298"/>
    <n v="0.12121212121212099"/>
    <n v="0.38709677419354799"/>
    <n v="8.3559855618499199E-2"/>
    <x v="13"/>
    <x v="3"/>
    <s v=""/>
    <s v=""/>
    <s v=""/>
    <s v=""/>
    <s v=""/>
  </r>
  <r>
    <s v="Scheidung_und_Suehne.csv"/>
    <s v="#Man"/>
    <x v="0"/>
    <s v="unbekannt"/>
    <x v="3"/>
    <s v="ehemann"/>
    <x v="0"/>
    <x v="2"/>
    <x v="3"/>
    <n v="0"/>
    <n v="0"/>
    <n v="0"/>
    <n v="0"/>
    <x v="0"/>
    <x v="1"/>
    <s v=""/>
    <s v=""/>
    <s v=""/>
    <s v=""/>
    <s v=""/>
  </r>
  <r>
    <s v="Scheidung_und_Suehne.csv"/>
    <s v="#Wibe"/>
    <x v="1"/>
    <s v="unbekannt"/>
    <x v="3"/>
    <s v="ehefrau"/>
    <x v="0"/>
    <x v="2"/>
    <x v="3"/>
    <n v="0"/>
    <n v="0"/>
    <n v="0"/>
    <n v="0"/>
    <x v="1"/>
    <x v="1"/>
    <s v=""/>
    <s v=""/>
    <s v=""/>
    <s v=""/>
    <s v=""/>
  </r>
  <r>
    <s v="Thomas_von_Kandelberg.csv"/>
    <s v="#Schuolaere"/>
    <x v="2"/>
    <s v="buergerlich:schueler"/>
    <x v="0"/>
    <s v="helfer"/>
    <x v="0"/>
    <x v="3"/>
    <x v="1"/>
    <n v="1"/>
    <n v="0.5"/>
    <n v="0.133333333333333"/>
    <n v="1"/>
    <x v="6"/>
    <x v="0"/>
    <s v=""/>
    <s v=""/>
    <s v=""/>
    <s v=""/>
    <s v=""/>
  </r>
  <r>
    <s v="Thomas_von_Kandelberg.csv"/>
    <s v="#Ein-jungelink"/>
    <x v="0"/>
    <s v="buergerlich:schueler"/>
    <x v="0"/>
    <s v="helfer"/>
    <x v="1"/>
    <x v="3"/>
    <x v="1"/>
    <n v="0.5"/>
    <n v="0"/>
    <n v="0.102564102564103"/>
    <n v="0.33993198216549397"/>
    <x v="6"/>
    <x v="0"/>
    <s v=""/>
    <s v=""/>
    <s v=""/>
    <s v=""/>
    <s v=""/>
  </r>
  <r>
    <s v="Thomas_von_Kandelberg.csv"/>
    <s v="#Sante-Tomas-von-Kandelberk"/>
    <x v="0"/>
    <s v="buergerlich:schueler"/>
    <x v="0"/>
    <s v="unbekannt"/>
    <x v="0"/>
    <x v="3"/>
    <x v="1"/>
    <n v="1.5"/>
    <n v="0.66666666666666696"/>
    <n v="0.18181818181818199"/>
    <n v="0.97568737339759604"/>
    <x v="3"/>
    <x v="0"/>
    <s v=""/>
    <s v=""/>
    <s v=""/>
    <s v=""/>
    <s v=""/>
  </r>
  <r>
    <s v="Thomas_von_Kandelberg.csv"/>
    <s v="#Bischof"/>
    <x v="0"/>
    <s v="klerus:bischof"/>
    <x v="5"/>
    <s v="unbekannt"/>
    <x v="1"/>
    <x v="4"/>
    <x v="1"/>
    <n v="1"/>
    <n v="0.25"/>
    <n v="0.173913043478261"/>
    <n v="0.13737386314941699"/>
    <x v="3"/>
    <x v="0"/>
    <s v=""/>
    <s v=""/>
    <s v=""/>
    <s v=""/>
    <s v=""/>
  </r>
  <r>
    <s v="Thomas_von_Kandelberg.csv"/>
    <s v="#Babest"/>
    <x v="0"/>
    <s v="klerus:papst"/>
    <x v="3"/>
    <s v="unbekannt"/>
    <x v="1"/>
    <x v="4"/>
    <x v="1"/>
    <n v="1"/>
    <n v="0"/>
    <n v="0.15384615384615399"/>
    <n v="0.23667748507462999"/>
    <x v="3"/>
    <x v="0"/>
    <s v=""/>
    <s v=""/>
    <s v=""/>
    <s v=""/>
    <s v=""/>
  </r>
  <r>
    <s v="Turandot.csv"/>
    <s v="#Kuenig"/>
    <x v="0"/>
    <s v="adel:koenig"/>
    <x v="3"/>
    <s v="vater"/>
    <x v="1"/>
    <x v="1"/>
    <x v="1"/>
    <n v="0.8"/>
    <n v="0"/>
    <n v="0.26315789473684198"/>
    <n v="0.38297489003732998"/>
    <x v="7"/>
    <x v="1"/>
    <s v=""/>
    <s v=""/>
    <s v=""/>
    <s v=""/>
    <s v=""/>
  </r>
  <r>
    <s v="Turandot.csv"/>
    <s v="#Tohter"/>
    <x v="1"/>
    <s v="adel:koenigstochter"/>
    <x v="0"/>
    <s v="gegenspieler"/>
    <x v="0"/>
    <x v="1"/>
    <x v="1"/>
    <n v="2"/>
    <n v="0.4"/>
    <n v="0.55555555555555602"/>
    <n v="0.90094010786408596"/>
    <x v="10"/>
    <x v="1"/>
    <s v=""/>
    <s v=""/>
    <s v=""/>
    <s v=""/>
    <n v="5"/>
  </r>
  <r>
    <s v="Turandot.csv"/>
    <s v="#Dorf-man"/>
    <x v="0"/>
    <s v="unbekannt"/>
    <x v="3"/>
    <s v="vater"/>
    <x v="1"/>
    <x v="2"/>
    <x v="1"/>
    <n v="0.8"/>
    <n v="0"/>
    <n v="0.41666666666666702"/>
    <n v="0.19481364584081901"/>
    <x v="7"/>
    <x v="1"/>
    <s v=""/>
    <s v=""/>
    <s v=""/>
    <s v=""/>
    <s v=""/>
  </r>
  <r>
    <s v="Turandot.csv"/>
    <s v="#Konni"/>
    <x v="0"/>
    <s v="bauer:narr"/>
    <x v="0"/>
    <s v="unbekannt"/>
    <x v="0"/>
    <x v="5"/>
    <x v="1"/>
    <n v="2"/>
    <n v="0.1"/>
    <n v="0.5"/>
    <n v="1"/>
    <x v="3"/>
    <x v="1"/>
    <s v=""/>
    <s v=""/>
    <s v=""/>
    <s v=""/>
    <s v=""/>
  </r>
  <r>
    <s v="Turandot.csv"/>
    <s v="#Junk-her"/>
    <x v="0"/>
    <s v="adel:edelmann"/>
    <x v="0"/>
    <s v="begleiter"/>
    <x v="1"/>
    <x v="1"/>
    <x v="1"/>
    <n v="1.2"/>
    <n v="0"/>
    <n v="0.38461538461538503"/>
    <n v="0.72393701245144604"/>
    <x v="14"/>
    <x v="1"/>
    <s v=""/>
    <s v=""/>
    <s v=""/>
    <s v=""/>
    <s v=""/>
  </r>
  <r>
    <s v="Turandot.csv"/>
    <s v="#Dri-stolzen-rittern"/>
    <x v="2"/>
    <s v="adel:ritter"/>
    <x v="5"/>
    <s v="unbekannt"/>
    <x v="1"/>
    <x v="1"/>
    <x v="1"/>
    <n v="1.2"/>
    <n v="0.5"/>
    <n v="0.55555555555555602"/>
    <n v="0.17627453952137201"/>
    <x v="3"/>
    <x v="1"/>
    <s v=""/>
    <s v=""/>
    <s v=""/>
    <s v=""/>
    <s v=""/>
  </r>
  <r>
    <s v="Unser_Frauen_Ritter_und_die_Jungfrau.csv"/>
    <s v="#Ritter"/>
    <x v="0"/>
    <s v="adel:ritter"/>
    <x v="3"/>
    <s v="liebender"/>
    <x v="0"/>
    <x v="1"/>
    <x v="0"/>
    <n v="1.5"/>
    <n v="0.32142857142857101"/>
    <n v="0.42105263157894701"/>
    <n v="1"/>
    <x v="9"/>
    <x v="0"/>
    <s v=""/>
    <s v=""/>
    <n v="3"/>
    <s v=""/>
    <s v=""/>
  </r>
  <r>
    <s v="Unser_Frauen_Ritter_und_die_Jungfrau.csv"/>
    <s v="#Wirt"/>
    <x v="0"/>
    <s v="buergerlich:wirt"/>
    <x v="3"/>
    <s v="unbekannt"/>
    <x v="1"/>
    <x v="3"/>
    <x v="0"/>
    <n v="0.25"/>
    <n v="0"/>
    <n v="0.32"/>
    <n v="7.8383965115572801E-2"/>
    <x v="3"/>
    <x v="0"/>
    <s v=""/>
    <s v=""/>
    <s v=""/>
    <s v=""/>
    <s v=""/>
  </r>
  <r>
    <s v="Unser_Frauen_Ritter_und_die_Jungfrau.csv"/>
    <s v="#Maget"/>
    <x v="1"/>
    <s v="unbekannt"/>
    <x v="0"/>
    <s v="liebende"/>
    <x v="0"/>
    <x v="2"/>
    <x v="0"/>
    <n v="1.25"/>
    <n v="0.107142857142857"/>
    <n v="0.38095238095238099"/>
    <n v="0.99683395754702397"/>
    <x v="11"/>
    <x v="0"/>
    <s v=""/>
    <s v=""/>
    <s v=""/>
    <n v="4"/>
    <s v=""/>
  </r>
  <r>
    <s v="Unser_Frauen_Ritter_und_die_Jungfrau.csv"/>
    <s v="#Vater-der-vrouwe"/>
    <x v="0"/>
    <s v="unbekannt"/>
    <x v="3"/>
    <s v="vater"/>
    <x v="1"/>
    <x v="2"/>
    <x v="0"/>
    <n v="1"/>
    <n v="1.7857142857142901E-2"/>
    <n v="0.38095238095238099"/>
    <n v="0.185618845489193"/>
    <x v="7"/>
    <x v="0"/>
    <s v=""/>
    <s v=""/>
    <s v=""/>
    <s v=""/>
    <s v=""/>
  </r>
  <r>
    <s v="Unser_Frauen_Ritter_und_die_Jungfrau.csv"/>
    <s v="#Muoter-der-vrouwe"/>
    <x v="1"/>
    <s v="unbekannt"/>
    <x v="3"/>
    <s v="mutter"/>
    <x v="1"/>
    <x v="2"/>
    <x v="0"/>
    <n v="1"/>
    <n v="1.7857142857142901E-2"/>
    <n v="0.38095238095238099"/>
    <n v="0.185618845489192"/>
    <x v="8"/>
    <x v="0"/>
    <s v=""/>
    <s v=""/>
    <s v=""/>
    <s v=""/>
    <s v=""/>
  </r>
  <r>
    <s v="Unser_Frauen_Ritter_und_die_Jungfrau.csv"/>
    <s v="#Wip"/>
    <x v="1"/>
    <s v="unbekannt"/>
    <x v="3"/>
    <s v="unbekannt"/>
    <x v="1"/>
    <x v="2"/>
    <x v="0"/>
    <n v="1"/>
    <n v="1.7857142857142901E-2"/>
    <n v="0.38095238095238099"/>
    <n v="0.185618845489193"/>
    <x v="3"/>
    <x v="0"/>
    <s v=""/>
    <s v=""/>
    <s v=""/>
    <s v=""/>
    <s v=""/>
  </r>
  <r>
    <s v="Unser_Frauen_Ritter_und_die_Jungfrau.csv"/>
    <s v="#Schuoler"/>
    <x v="0"/>
    <s v="buergerlich:schueler"/>
    <x v="0"/>
    <s v="helfer"/>
    <x v="1"/>
    <x v="3"/>
    <x v="0"/>
    <n v="0.75"/>
    <n v="0.23214285714285701"/>
    <n v="0.38095238095238099"/>
    <n v="0.16046333982659999"/>
    <x v="6"/>
    <x v="0"/>
    <s v=""/>
    <s v=""/>
    <s v=""/>
    <s v=""/>
    <s v=""/>
  </r>
  <r>
    <s v="Unser_Frauen_Ritter_und_die_Jungfrau.csv"/>
    <s v="#Einer"/>
    <x v="0"/>
    <s v="unbekannt"/>
    <x v="3"/>
    <s v="unbekannt"/>
    <x v="1"/>
    <x v="2"/>
    <x v="0"/>
    <n v="0.25"/>
    <n v="0"/>
    <n v="0.24242424242424199"/>
    <n v="2.5155505662592999E-2"/>
    <x v="3"/>
    <x v="0"/>
    <s v=""/>
    <s v=""/>
    <s v=""/>
    <s v=""/>
    <s v=""/>
  </r>
  <r>
    <s v="Unser_Frauen_Ritter_und_die_Jungfrau.csv"/>
    <s v="#Bischof"/>
    <x v="0"/>
    <s v="klerus:bischof"/>
    <x v="3"/>
    <s v="unbekannt"/>
    <x v="1"/>
    <x v="4"/>
    <x v="0"/>
    <n v="0"/>
    <n v="0"/>
    <n v="0.11111111111111099"/>
    <n v="1.10144031914012E-17"/>
    <x v="3"/>
    <x v="0"/>
    <s v=""/>
    <s v=""/>
    <s v=""/>
    <s v=""/>
    <s v=""/>
  </r>
  <r>
    <s v="Von_der_ueblen_Adelheit_und_irem_Man.csv"/>
    <s v="#Der-guot-Markhart"/>
    <x v="0"/>
    <s v="unbekannt"/>
    <x v="3"/>
    <s v="unbekannt"/>
    <x v="0"/>
    <x v="2"/>
    <x v="3"/>
    <n v="2"/>
    <n v="0.16666666666666699"/>
    <n v="0.75"/>
    <n v="1"/>
    <x v="3"/>
    <x v="1"/>
    <s v=""/>
    <s v=""/>
    <s v=""/>
    <s v=""/>
    <s v=""/>
  </r>
  <r>
    <s v="Von_der_ueblen_Adelheit_und_irem_Man.csv"/>
    <s v="#Diu-uebel-Adelheit"/>
    <x v="1"/>
    <s v="unbekannt"/>
    <x v="3"/>
    <s v="gegenspieler"/>
    <x v="0"/>
    <x v="2"/>
    <x v="3"/>
    <n v="2"/>
    <n v="0.16666666666666699"/>
    <n v="0.75"/>
    <n v="1"/>
    <x v="10"/>
    <x v="1"/>
    <s v=""/>
    <s v=""/>
    <s v=""/>
    <s v=""/>
    <n v="5"/>
  </r>
  <r>
    <s v="Von_der_ueblen_Adelheit_und_irem_Man.csv"/>
    <s v="#Ein-man"/>
    <x v="0"/>
    <s v="unbekannt"/>
    <x v="3"/>
    <s v="unbekannt"/>
    <x v="1"/>
    <x v="2"/>
    <x v="3"/>
    <n v="1.3333333333333299"/>
    <n v="0.16666666666666699"/>
    <n v="0.75"/>
    <n v="0.140054944640259"/>
    <x v="3"/>
    <x v="1"/>
    <s v=""/>
    <s v=""/>
    <s v=""/>
    <s v=""/>
    <s v=""/>
  </r>
  <r>
    <s v="Von_der_ueblen_Adelheit_und_irem_Man.csv"/>
    <s v="#Ein-her"/>
    <x v="0"/>
    <s v="unbekannt"/>
    <x v="3"/>
    <s v="helfer"/>
    <x v="1"/>
    <x v="2"/>
    <x v="3"/>
    <n v="1.3333333333333299"/>
    <n v="0.16666666666666699"/>
    <n v="0.75"/>
    <n v="0.140054944640259"/>
    <x v="6"/>
    <x v="1"/>
    <s v=""/>
    <s v=""/>
    <s v=""/>
    <s v=""/>
    <s v=""/>
  </r>
  <r>
    <s v="Weiberlist.csv"/>
    <s v="#Man"/>
    <x v="0"/>
    <s v="unbekannt"/>
    <x v="3"/>
    <s v="ehemann/betrogener"/>
    <x v="0"/>
    <x v="2"/>
    <x v="3"/>
    <n v="2"/>
    <n v="0.25"/>
    <n v="0.33333333333333298"/>
    <n v="1"/>
    <x v="5"/>
    <x v="1"/>
    <s v=""/>
    <n v="2"/>
    <s v=""/>
    <s v=""/>
    <s v=""/>
  </r>
  <r>
    <s v="Weiberlist.csv"/>
    <s v="#Wip"/>
    <x v="1"/>
    <s v="unbekannt"/>
    <x v="3"/>
    <s v="ehefrau/betrueger"/>
    <x v="0"/>
    <x v="2"/>
    <x v="3"/>
    <n v="2"/>
    <n v="0.25"/>
    <n v="0.33333333333333298"/>
    <n v="1"/>
    <x v="4"/>
    <x v="1"/>
    <n v="1"/>
    <s v=""/>
    <s v=""/>
    <s v=""/>
    <s v=""/>
  </r>
  <r>
    <s v="Weiberlist.csv"/>
    <s v="#Buhler"/>
    <x v="0"/>
    <s v="unbekannt"/>
    <x v="3"/>
    <s v="betrueger"/>
    <x v="1"/>
    <x v="2"/>
    <x v="3"/>
    <n v="1"/>
    <n v="0.16666666666666699"/>
    <n v="0.30769230769230799"/>
    <n v="0.11111111111111099"/>
    <x v="4"/>
    <x v="1"/>
    <n v="1"/>
    <s v=""/>
    <s v=""/>
    <s v=""/>
    <s v=""/>
  </r>
  <r>
    <s v="Weiberlist.csv"/>
    <s v="#Nah-gebueren"/>
    <x v="2"/>
    <s v="unbekannt"/>
    <x v="3"/>
    <s v="unbekannt"/>
    <x v="1"/>
    <x v="2"/>
    <x v="3"/>
    <n v="1"/>
    <n v="0"/>
    <n v="0.25"/>
    <n v="0.22222222222222199"/>
    <x v="3"/>
    <x v="1"/>
    <s v=""/>
    <s v=""/>
    <s v=""/>
    <s v=""/>
    <s v=""/>
  </r>
  <r>
    <s v="Weiberlist.csv"/>
    <s v="#Vuegerinne"/>
    <x v="1"/>
    <s v="buergerlich:kupplerin"/>
    <x v="2"/>
    <s v="helfer"/>
    <x v="1"/>
    <x v="3"/>
    <x v="3"/>
    <n v="1"/>
    <n v="0"/>
    <n v="0.12903225806451599"/>
    <n v="0.77777777777777801"/>
    <x v="6"/>
    <x v="1"/>
    <s v=""/>
    <s v=""/>
    <s v=""/>
    <s v=""/>
    <s v=""/>
  </r>
  <r>
    <s v="Zwei_Kaufmaenner_und_die_treue_Hausfrau.csv"/>
    <s v="#Gillam"/>
    <x v="0"/>
    <s v="buergerlich:kaufmann"/>
    <x v="3"/>
    <s v="vater"/>
    <x v="1"/>
    <x v="3"/>
    <x v="3"/>
    <n v="0.57142857142857095"/>
    <n v="3.1135531135531101E-2"/>
    <n v="0.32558139534883701"/>
    <n v="0.156569428317231"/>
    <x v="7"/>
    <x v="1"/>
    <s v=""/>
    <s v=""/>
    <s v=""/>
    <s v=""/>
    <s v=""/>
  </r>
  <r>
    <s v="Zwei_Kaufmaenner_und_die_treue_Hausfrau.csv"/>
    <s v="#Gillot"/>
    <x v="0"/>
    <s v="buergerlich:kaufmann"/>
    <x v="3"/>
    <s v="vater"/>
    <x v="1"/>
    <x v="3"/>
    <x v="3"/>
    <n v="0.71428571428571397"/>
    <n v="3.1135531135531101E-2"/>
    <n v="0.32558139534883701"/>
    <n v="0.18408291566361601"/>
    <x v="7"/>
    <x v="1"/>
    <s v=""/>
    <s v=""/>
    <s v=""/>
    <s v=""/>
    <s v=""/>
  </r>
  <r>
    <s v="Zwei_Kaufmaenner_und_die_treue_Hausfrau.csv"/>
    <s v="#Bertram"/>
    <x v="0"/>
    <s v="buergerlich:kaufmann"/>
    <x v="0"/>
    <s v="ehemann"/>
    <x v="0"/>
    <x v="3"/>
    <x v="3"/>
    <n v="1.28571428571429"/>
    <n v="0.55311355311355304"/>
    <n v="0.51851851851851805"/>
    <n v="0.85061628254505495"/>
    <x v="0"/>
    <x v="1"/>
    <s v=""/>
    <s v=""/>
    <s v=""/>
    <s v=""/>
    <s v=""/>
  </r>
  <r>
    <s v="Zwei_Kaufmaenner_und_die_treue_Hausfrau.csv"/>
    <s v="#Irmengart"/>
    <x v="1"/>
    <s v="buergerlich:ehefrau"/>
    <x v="0"/>
    <s v="ehefrau/betrueger"/>
    <x v="0"/>
    <x v="3"/>
    <x v="3"/>
    <n v="1.5714285714285701"/>
    <n v="0.33516483516483497"/>
    <n v="0.42424242424242398"/>
    <n v="1"/>
    <x v="4"/>
    <x v="1"/>
    <n v="1"/>
    <s v=""/>
    <s v=""/>
    <s v=""/>
    <s v=""/>
  </r>
  <r>
    <s v="Zwei_Kaufmaenner_und_die_treue_Hausfrau.csv"/>
    <s v="#Gillots-frau"/>
    <x v="1"/>
    <s v="buergerlich:ehefrau"/>
    <x v="3"/>
    <s v="mutter"/>
    <x v="1"/>
    <x v="3"/>
    <x v="3"/>
    <n v="0.28571428571428598"/>
    <n v="0"/>
    <n v="0.30434782608695699"/>
    <n v="4.9947428029942301E-2"/>
    <x v="8"/>
    <x v="1"/>
    <s v=""/>
    <s v=""/>
    <s v=""/>
    <s v=""/>
    <s v=""/>
  </r>
  <r>
    <s v="Zwei_Kaufmaenner_und_die_treue_Hausfrau.csv"/>
    <s v="#Hogier"/>
    <x v="0"/>
    <s v="buergerlich:wirt"/>
    <x v="3"/>
    <s v="betrogener"/>
    <x v="0"/>
    <x v="3"/>
    <x v="3"/>
    <n v="1"/>
    <n v="7.1428571428571397E-2"/>
    <n v="0.37837837837837801"/>
    <n v="0.89999606847065805"/>
    <x v="5"/>
    <x v="1"/>
    <s v=""/>
    <n v="2"/>
    <s v=""/>
    <s v=""/>
    <s v=""/>
  </r>
  <r>
    <s v="Zwei_Kaufmaenner_und_die_treue_Hausfrau.csv"/>
    <s v="#Erster"/>
    <x v="0"/>
    <s v="unbekannt"/>
    <x v="3"/>
    <s v="ehemann"/>
    <x v="1"/>
    <x v="2"/>
    <x v="3"/>
    <n v="0.57142857142857095"/>
    <n v="0.29120879120879101"/>
    <n v="0.41176470588235298"/>
    <n v="4.5688951793952E-2"/>
    <x v="0"/>
    <x v="1"/>
    <s v=""/>
    <s v=""/>
    <s v=""/>
    <s v=""/>
    <s v=""/>
  </r>
  <r>
    <s v="Zwei_Kaufmaenner_und_die_treue_Hausfrau.csv"/>
    <s v="#Zweiter"/>
    <x v="0"/>
    <s v="unbekannt"/>
    <x v="3"/>
    <s v="ehemann"/>
    <x v="1"/>
    <x v="2"/>
    <x v="3"/>
    <n v="0.28571428571428598"/>
    <n v="0"/>
    <n v="0.24137931034482801"/>
    <n v="2.4091536982672299E-3"/>
    <x v="0"/>
    <x v="1"/>
    <s v=""/>
    <s v=""/>
    <s v=""/>
    <s v=""/>
    <s v=""/>
  </r>
  <r>
    <s v="Zwei_Kaufmaenner_und_die_treue_Hausfrau.csv"/>
    <s v="#Dritter"/>
    <x v="0"/>
    <s v="unbekannt"/>
    <x v="3"/>
    <s v="ehemann"/>
    <x v="1"/>
    <x v="2"/>
    <x v="3"/>
    <n v="0.28571428571428598"/>
    <n v="7.1428571428571397E-2"/>
    <n v="0.31111111111111101"/>
    <n v="1.25096772830853E-3"/>
    <x v="0"/>
    <x v="1"/>
    <s v=""/>
    <s v=""/>
    <s v=""/>
    <s v=""/>
    <s v=""/>
  </r>
  <r>
    <s v="Zwei_Kaufmaenner_und_die_treue_Hausfrau.csv"/>
    <s v="#Bote"/>
    <x v="0"/>
    <s v="unbekannt"/>
    <x v="3"/>
    <s v="bote"/>
    <x v="1"/>
    <x v="2"/>
    <x v="3"/>
    <n v="0.42857142857142899"/>
    <n v="0.305860805860806"/>
    <n v="0.46666666666666701"/>
    <n v="7.1539767502156806E-2"/>
    <x v="12"/>
    <x v="1"/>
    <s v=""/>
    <s v=""/>
    <s v=""/>
    <s v=""/>
    <s v=""/>
  </r>
  <r>
    <s v="Zwei_Kaufmaenner_und_die_treue_Hausfrau.csv"/>
    <s v="#Vriunde"/>
    <x v="2"/>
    <s v="unbekannt"/>
    <x v="3"/>
    <s v="unbekannt"/>
    <x v="1"/>
    <x v="2"/>
    <x v="3"/>
    <n v="0.57142857142857095"/>
    <n v="0"/>
    <n v="0.35897435897435898"/>
    <n v="0.228192975816009"/>
    <x v="3"/>
    <x v="1"/>
    <s v=""/>
    <s v=""/>
    <s v=""/>
    <s v=""/>
    <s v=""/>
  </r>
  <r>
    <s v="Zwei_Kaufmaenner_und_die_treue_Hausfrau.csv"/>
    <s v="#Gesinde"/>
    <x v="2"/>
    <s v="buergerlich:gesinde"/>
    <x v="3"/>
    <s v="unbekannt"/>
    <x v="1"/>
    <x v="3"/>
    <x v="3"/>
    <n v="0.57142857142857095"/>
    <n v="0"/>
    <n v="0.35897435897435898"/>
    <n v="0.223122903254032"/>
    <x v="3"/>
    <x v="1"/>
    <s v=""/>
    <s v=""/>
    <s v=""/>
    <s v=""/>
    <s v=""/>
  </r>
  <r>
    <s v="Zwei_Kaufmaenner_und_die_treue_Hausfrau.csv"/>
    <s v="#Dirn-Amelin"/>
    <x v="1"/>
    <s v="buergerlich:magd"/>
    <x v="3"/>
    <s v="helfer"/>
    <x v="1"/>
    <x v="3"/>
    <x v="3"/>
    <n v="0.42857142857142899"/>
    <n v="0"/>
    <n v="0.35"/>
    <n v="0.55529958825589698"/>
    <x v="6"/>
    <x v="1"/>
    <s v=""/>
    <s v=""/>
    <s v=""/>
    <s v=""/>
    <s v=""/>
  </r>
  <r>
    <s v="Zwei_Kaufmaenner_und_die_treue_Hausfrau.csv"/>
    <s v="#Muomen-von-Irmegart"/>
    <x v="1"/>
    <s v="buergerlich:mume"/>
    <x v="3"/>
    <s v="unbekannt"/>
    <x v="1"/>
    <x v="3"/>
    <x v="3"/>
    <n v="0.28571428571428598"/>
    <n v="4.7619047619047603E-2"/>
    <n v="0.31818181818181801"/>
    <n v="3.0796421189111099E-2"/>
    <x v="3"/>
    <x v="1"/>
    <s v=""/>
    <s v=""/>
    <s v=""/>
    <s v=""/>
    <s v=""/>
  </r>
  <r>
    <s v="Zwei_Kaufmaenner_und_die_treue_Hausfrau.csv"/>
    <s v="#Gillams-vrouwe"/>
    <x v="1"/>
    <s v="buergerlich:ehefrau"/>
    <x v="3"/>
    <s v="ehefrau"/>
    <x v="1"/>
    <x v="3"/>
    <x v="3"/>
    <n v="0.28571428571428598"/>
    <n v="4.7619047619047603E-2"/>
    <n v="0.31818181818181801"/>
    <n v="3.0080831990507002E-2"/>
    <x v="1"/>
    <x v="1"/>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ECDAE7-37F6-4BAE-B4A6-B20D21DC4CBF}" name="PivotTable6" cacheId="0"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1">
  <location ref="A3:B8" firstHeaderRow="1" firstDataRow="1" firstDataCol="1"/>
  <pivotFields count="11">
    <pivotField showAll="0"/>
    <pivotField numFmtId="164" showAll="0"/>
    <pivotField numFmtId="164" showAll="0"/>
    <pivotField numFmtId="164" showAll="0"/>
    <pivotField numFmtId="164" showAll="0"/>
    <pivotField axis="axisRow" dataField="1" numFmtId="1" showAll="0">
      <items count="5">
        <item x="1"/>
        <item x="2"/>
        <item x="3"/>
        <item x="0"/>
        <item t="default"/>
      </items>
    </pivotField>
    <pivotField numFmtId="164" showAll="0"/>
    <pivotField numFmtId="164" showAll="0"/>
    <pivotField numFmtId="164" showAll="0"/>
    <pivotField numFmtId="164" showAll="0"/>
    <pivotField numFmtId="164" showAll="0"/>
  </pivotFields>
  <rowFields count="1">
    <field x="5"/>
  </rowFields>
  <rowItems count="5">
    <i>
      <x/>
    </i>
    <i>
      <x v="1"/>
    </i>
    <i>
      <x v="2"/>
    </i>
    <i>
      <x v="3"/>
    </i>
    <i t="grand">
      <x/>
    </i>
  </rowItems>
  <colItems count="1">
    <i/>
  </colItems>
  <dataFields count="1">
    <dataField name="Anzahl von Label" fld="5" subtotal="count" baseField="0" baseItem="1"/>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4" applyNumberFormats="0" applyBorderFormats="0" applyFontFormats="0" applyPatternFormats="0" applyAlignmentFormats="0" applyWidthHeightFormats="1" dataCaption="Werte" updatedVersion="8" minRefreshableVersion="3" useAutoFormatting="1" rowGrandTotals="0" colGrandTotals="0" itemPrintTitles="1" createdVersion="7" indent="0" compact="0" compactData="0" multipleFieldFilters="0" chartFormat="21">
  <location ref="A3:B9" firstHeaderRow="1" firstDataRow="1" firstDataCol="1"/>
  <pivotFields count="20">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sortType="descending" defaultSubtotal="0">
      <items count="14">
        <item m="1" x="12"/>
        <item x="1"/>
        <item x="3"/>
        <item x="5"/>
        <item h="1" x="4"/>
        <item m="1" x="13"/>
        <item m="1" x="10"/>
        <item x="6"/>
        <item x="0"/>
        <item m="1" x="8"/>
        <item x="2"/>
        <item h="1" m="1" x="9"/>
        <item h="1" m="1" x="7"/>
        <item h="1" m="1" x="11"/>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1">
        <item m="1" x="7"/>
        <item m="1" x="10"/>
        <item x="2"/>
        <item m="1" x="6"/>
        <item x="1"/>
        <item m="1" x="9"/>
        <item x="0"/>
        <item x="4"/>
        <item x="5"/>
        <item x="3"/>
        <item m="1" x="8"/>
      </items>
      <extLst>
        <ext xmlns:x14="http://schemas.microsoft.com/office/spreadsheetml/2009/9/main" uri="{2946ED86-A175-432a-8AC1-64E0C546D7DE}">
          <x14:pivotField fillDownLabels="1"/>
        </ext>
      </extLst>
    </pivotField>
    <pivotField compact="0" outline="0" showAll="0" defaultSubtotal="0">
      <items count="50">
        <item m="1" x="40"/>
        <item m="1" x="41"/>
        <item m="1" x="44"/>
        <item x="20"/>
        <item m="1" x="28"/>
        <item x="14"/>
        <item x="25"/>
        <item x="4"/>
        <item m="1" x="30"/>
        <item x="15"/>
        <item x="1"/>
        <item x="5"/>
        <item m="1" x="48"/>
        <item x="13"/>
        <item x="16"/>
        <item x="24"/>
        <item x="0"/>
        <item x="7"/>
        <item m="1" x="33"/>
        <item x="21"/>
        <item x="17"/>
        <item m="1" x="42"/>
        <item x="11"/>
        <item x="18"/>
        <item m="1" x="45"/>
        <item m="1" x="34"/>
        <item x="6"/>
        <item x="2"/>
        <item m="1" x="27"/>
        <item m="1" x="46"/>
        <item x="12"/>
        <item x="10"/>
        <item x="19"/>
        <item x="9"/>
        <item m="1" x="32"/>
        <item x="22"/>
        <item m="1" x="29"/>
        <item x="23"/>
        <item m="1" x="47"/>
        <item m="1" x="36"/>
        <item m="1" x="49"/>
        <item m="1" x="39"/>
        <item m="1" x="43"/>
        <item m="1" x="38"/>
        <item m="1" x="37"/>
        <item x="26"/>
        <item x="3"/>
        <item m="1" x="35"/>
        <item x="8"/>
        <item m="1" x="31"/>
      </items>
      <extLst>
        <ext xmlns:x14="http://schemas.microsoft.com/office/spreadsheetml/2009/9/main" uri="{2946ED86-A175-432a-8AC1-64E0C546D7DE}">
          <x14:pivotField fillDownLabels="1"/>
        </ext>
      </extLst>
    </pivotField>
    <pivotField compact="0" outline="0" showAll="0" defaultSubtotal="0">
      <items count="18">
        <item m="1" x="5"/>
        <item m="1" x="7"/>
        <item m="1" x="11"/>
        <item m="1" x="2"/>
        <item m="1" x="16"/>
        <item m="1" x="8"/>
        <item x="0"/>
        <item m="1" x="10"/>
        <item m="1" x="4"/>
        <item m="1" x="14"/>
        <item m="1" x="9"/>
        <item x="1"/>
        <item m="1" x="6"/>
        <item m="1" x="15"/>
        <item m="1" x="17"/>
        <item m="1" x="12"/>
        <item m="1" x="13"/>
        <item m="1" x="3"/>
      </items>
      <extLst>
        <ext xmlns:x14="http://schemas.microsoft.com/office/spreadsheetml/2009/9/main" uri="{2946ED86-A175-432a-8AC1-64E0C546D7DE}">
          <x14:pivotField fillDownLabels="1"/>
        </ext>
      </extLst>
    </pivotField>
    <pivotField compact="0" outline="0" showAll="0">
      <items count="8">
        <item x="1"/>
        <item x="5"/>
        <item x="3"/>
        <item x="4"/>
        <item x="0"/>
        <item m="1" x="6"/>
        <item x="2"/>
        <item t="default"/>
      </items>
      <extLst>
        <ext xmlns:x14="http://schemas.microsoft.com/office/spreadsheetml/2009/9/main" uri="{2946ED86-A175-432a-8AC1-64E0C546D7DE}">
          <x14:pivotField fillDownLabels="1"/>
        </ext>
      </extLst>
    </pivotField>
    <pivotField compact="0" outline="0" showAll="0">
      <items count="6">
        <item x="3"/>
        <item x="2"/>
        <item x="0"/>
        <item x="1"/>
        <item m="1" x="4"/>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9">
        <item x="14"/>
        <item x="5"/>
        <item x="4"/>
        <item x="12"/>
        <item x="1"/>
        <item x="17"/>
        <item x="0"/>
        <item x="10"/>
        <item x="13"/>
        <item x="6"/>
        <item x="2"/>
        <item x="11"/>
        <item x="9"/>
        <item x="8"/>
        <item x="15"/>
        <item x="16"/>
        <item x="3"/>
        <item x="7"/>
        <item t="default"/>
      </items>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2"/>
  </rowFields>
  <rowItems count="6">
    <i>
      <x v="8"/>
    </i>
    <i>
      <x v="1"/>
    </i>
    <i>
      <x v="10"/>
    </i>
    <i>
      <x v="2"/>
    </i>
    <i>
      <x v="3"/>
    </i>
    <i>
      <x v="7"/>
    </i>
  </rowItems>
  <colItems count="1">
    <i/>
  </colItems>
  <dataFields count="1">
    <dataField name="Anzahl von Geschlecht" fld="2" subtotal="count" baseField="2" baseItem="8"/>
  </dataFields>
  <chartFormats count="10">
    <chartFormat chart="0" format="3"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2" count="1" selected="0">
            <x v="8"/>
          </reference>
        </references>
      </pivotArea>
    </chartFormat>
    <chartFormat chart="7" format="7">
      <pivotArea type="data" outline="0" fieldPosition="0">
        <references count="2">
          <reference field="4294967294" count="1" selected="0">
            <x v="0"/>
          </reference>
          <reference field="2" count="1" selected="0">
            <x v="4"/>
          </reference>
        </references>
      </pivotArea>
    </chartFormat>
    <chartFormat chart="7" format="8">
      <pivotArea type="data" outline="0" fieldPosition="0">
        <references count="2">
          <reference field="4294967294" count="1" selected="0">
            <x v="0"/>
          </reference>
          <reference field="2" count="1" selected="0">
            <x v="1"/>
          </reference>
        </references>
      </pivotArea>
    </chartFormat>
    <chartFormat chart="7" format="9">
      <pivotArea type="data" outline="0" fieldPosition="0">
        <references count="2">
          <reference field="4294967294" count="1" selected="0">
            <x v="0"/>
          </reference>
          <reference field="2" count="1" selected="0">
            <x v="10"/>
          </reference>
        </references>
      </pivotArea>
    </chartFormat>
    <chartFormat chart="7" format="10">
      <pivotArea type="data" outline="0" fieldPosition="0">
        <references count="2">
          <reference field="4294967294" count="1" selected="0">
            <x v="0"/>
          </reference>
          <reference field="2" count="1" selected="0">
            <x v="2"/>
          </reference>
        </references>
      </pivotArea>
    </chartFormat>
    <chartFormat chart="7" format="11">
      <pivotArea type="data" outline="0" fieldPosition="0">
        <references count="2">
          <reference field="4294967294" count="1" selected="0">
            <x v="0"/>
          </reference>
          <reference field="2" count="1" selected="0">
            <x v="3"/>
          </reference>
        </references>
      </pivotArea>
    </chartFormat>
    <chartFormat chart="7" format="12">
      <pivotArea type="data" outline="0" fieldPosition="0">
        <references count="2">
          <reference field="4294967294" count="1" selected="0">
            <x v="0"/>
          </reference>
          <reference field="2" count="1" selected="0">
            <x v="7"/>
          </reference>
        </references>
      </pivotArea>
    </chartFormat>
    <chartFormat chart="7" format="1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7" cacheId="1" applyNumberFormats="0" applyBorderFormats="0" applyFontFormats="0" applyPatternFormats="0" applyAlignmentFormats="0" applyWidthHeightFormats="1" dataCaption="Werte" updatedVersion="8" minRefreshableVersion="3" useAutoFormatting="1" rowGrandTotals="0" colGrandTotals="0" itemPrintTitles="1" createdVersion="7" indent="0" compact="0" compactData="0" multipleFieldFilters="0" chartFormat="14">
  <location ref="A3:B8" firstHeaderRow="1" firstDataRow="1" firstDataCol="1"/>
  <pivotFields count="20">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2">
        <item m="1" x="10"/>
        <item m="1" x="9"/>
        <item x="2"/>
        <item m="1" x="8"/>
        <item x="0"/>
        <item x="6"/>
        <item x="4"/>
        <item x="5"/>
        <item x="3"/>
        <item x="1"/>
        <item m="1" x="11"/>
        <item m="1" x="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sortType="descending" defaultSubtotal="0">
      <items count="11">
        <item m="1" x="7"/>
        <item m="1" x="10"/>
        <item x="2"/>
        <item h="1" m="1" x="6"/>
        <item x="1"/>
        <item x="0"/>
        <item h="1" x="4"/>
        <item x="5"/>
        <item x="3"/>
        <item h="1" m="1" x="8"/>
        <item h="1" m="1" x="9"/>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defaultSubtotal="0">
      <items count="50">
        <item m="1" x="40"/>
        <item m="1" x="41"/>
        <item m="1" x="44"/>
        <item x="20"/>
        <item m="1" x="28"/>
        <item x="14"/>
        <item x="25"/>
        <item x="4"/>
        <item m="1" x="30"/>
        <item x="15"/>
        <item x="1"/>
        <item x="5"/>
        <item m="1" x="48"/>
        <item x="13"/>
        <item x="16"/>
        <item x="24"/>
        <item x="0"/>
        <item x="7"/>
        <item m="1" x="33"/>
        <item x="21"/>
        <item x="17"/>
        <item m="1" x="42"/>
        <item x="11"/>
        <item x="18"/>
        <item m="1" x="45"/>
        <item m="1" x="34"/>
        <item x="6"/>
        <item x="2"/>
        <item m="1" x="27"/>
        <item m="1" x="46"/>
        <item x="12"/>
        <item x="10"/>
        <item x="19"/>
        <item x="9"/>
        <item m="1" x="32"/>
        <item x="22"/>
        <item m="1" x="29"/>
        <item x="23"/>
        <item m="1" x="47"/>
        <item m="1" x="36"/>
        <item m="1" x="49"/>
        <item m="1" x="39"/>
        <item m="1" x="43"/>
        <item m="1" x="38"/>
        <item m="1" x="37"/>
        <item x="26"/>
        <item x="3"/>
        <item m="1" x="35"/>
        <item x="8"/>
        <item m="1" x="31"/>
      </items>
      <extLst>
        <ext xmlns:x14="http://schemas.microsoft.com/office/spreadsheetml/2009/9/main" uri="{2946ED86-A175-432a-8AC1-64E0C546D7DE}">
          <x14:pivotField fillDownLabels="1"/>
        </ext>
      </extLst>
    </pivotField>
    <pivotField compact="0" outline="0" showAll="0" defaultSubtotal="0">
      <items count="13">
        <item m="1" x="3"/>
        <item m="1" x="5"/>
        <item m="1" x="7"/>
        <item m="1" x="6"/>
        <item x="0"/>
        <item m="1" x="10"/>
        <item x="1"/>
        <item m="1" x="4"/>
        <item m="1" x="11"/>
        <item m="1" x="12"/>
        <item m="1" x="8"/>
        <item m="1" x="9"/>
        <item m="1" x="2"/>
      </items>
      <extLst>
        <ext xmlns:x14="http://schemas.microsoft.com/office/spreadsheetml/2009/9/main" uri="{2946ED86-A175-432a-8AC1-64E0C546D7DE}">
          <x14:pivotField fillDownLabels="1"/>
        </ext>
      </extLst>
    </pivotField>
    <pivotField compact="0" outline="0" showAll="0">
      <items count="8">
        <item x="1"/>
        <item x="5"/>
        <item x="3"/>
        <item x="4"/>
        <item x="0"/>
        <item m="1" x="6"/>
        <item x="2"/>
        <item t="default"/>
      </items>
      <extLst>
        <ext xmlns:x14="http://schemas.microsoft.com/office/spreadsheetml/2009/9/main" uri="{2946ED86-A175-432a-8AC1-64E0C546D7DE}">
          <x14:pivotField fillDownLabels="1"/>
        </ext>
      </extLst>
    </pivotField>
    <pivotField compact="0" outline="0" showAll="0">
      <items count="6">
        <item x="3"/>
        <item x="2"/>
        <item x="0"/>
        <item x="1"/>
        <item m="1" x="4"/>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9">
        <item x="14"/>
        <item x="5"/>
        <item x="4"/>
        <item x="12"/>
        <item x="1"/>
        <item x="17"/>
        <item x="0"/>
        <item x="10"/>
        <item x="13"/>
        <item x="6"/>
        <item x="2"/>
        <item x="11"/>
        <item x="9"/>
        <item x="8"/>
        <item x="15"/>
        <item x="16"/>
        <item x="3"/>
        <item x="7"/>
        <item t="default"/>
      </items>
      <extLst>
        <ext xmlns:x14="http://schemas.microsoft.com/office/spreadsheetml/2009/9/main" uri="{2946ED86-A175-432a-8AC1-64E0C546D7DE}">
          <x14:pivotField fillDownLabels="1"/>
        </ext>
      </extLst>
    </pivotField>
    <pivotField compact="0" numFmtId="164" outline="0" showAll="0">
      <items count="5">
        <item x="1"/>
        <item x="2"/>
        <item x="3"/>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4"/>
  </rowFields>
  <rowItems count="5">
    <i>
      <x v="8"/>
    </i>
    <i>
      <x v="5"/>
    </i>
    <i>
      <x v="2"/>
    </i>
    <i>
      <x v="4"/>
    </i>
    <i>
      <x v="7"/>
    </i>
  </rowItems>
  <colItems count="1">
    <i/>
  </colItems>
  <dataFields count="1">
    <dataField name="Anzahl von Alter" fld="4" subtotal="count" baseField="0" baseItem="0"/>
  </dataFields>
  <chartFormats count="8">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4" count="1" selected="0">
            <x v="8"/>
          </reference>
        </references>
      </pivotArea>
    </chartFormat>
    <chartFormat chart="2" format="4">
      <pivotArea type="data" outline="0" fieldPosition="0">
        <references count="2">
          <reference field="4294967294" count="1" selected="0">
            <x v="0"/>
          </reference>
          <reference field="4" count="1" selected="0">
            <x v="6"/>
          </reference>
        </references>
      </pivotArea>
    </chartFormat>
    <chartFormat chart="2" format="5">
      <pivotArea type="data" outline="0" fieldPosition="0">
        <references count="2">
          <reference field="4294967294" count="1" selected="0">
            <x v="0"/>
          </reference>
          <reference field="4" count="1" selected="0">
            <x v="5"/>
          </reference>
        </references>
      </pivotArea>
    </chartFormat>
    <chartFormat chart="2" format="6">
      <pivotArea type="data" outline="0" fieldPosition="0">
        <references count="2">
          <reference field="4294967294" count="1" selected="0">
            <x v="0"/>
          </reference>
          <reference field="4" count="1" selected="0">
            <x v="2"/>
          </reference>
        </references>
      </pivotArea>
    </chartFormat>
    <chartFormat chart="2" format="7">
      <pivotArea type="data" outline="0" fieldPosition="0">
        <references count="2">
          <reference field="4294967294" count="1" selected="0">
            <x v="0"/>
          </reference>
          <reference field="4" count="1" selected="0">
            <x v="4"/>
          </reference>
        </references>
      </pivotArea>
    </chartFormat>
    <chartFormat chart="2" format="8">
      <pivotArea type="data" outline="0" fieldPosition="0">
        <references count="2">
          <reference field="4294967294" count="1" selected="0">
            <x v="0"/>
          </reference>
          <reference field="4"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F32403E-6C10-4A1D-8898-43194719604D}" name="PivotTable9" cacheId="5" applyNumberFormats="0" applyBorderFormats="0" applyFontFormats="0" applyPatternFormats="0" applyAlignmentFormats="0" applyWidthHeightFormats="1" dataCaption="Werte" updatedVersion="8" minRefreshableVersion="3" useAutoFormatting="1" rowGrandTotals="0" colGrandTotals="0" itemPrintTitles="1" createdVersion="7" indent="0" compact="0" compactData="0" multipleFieldFilters="0" chartFormat="18">
  <location ref="A3:B9" firstHeaderRow="1" firstDataRow="1" firstDataCol="1"/>
  <pivotFields count="20">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m="1" x="11"/>
        <item m="1" x="10"/>
        <item x="2"/>
        <item m="1" x="9"/>
        <item x="0"/>
        <item x="6"/>
        <item x="4"/>
        <item x="5"/>
        <item x="3"/>
        <item x="1"/>
        <item m="1" x="12"/>
        <item m="1" x="8"/>
        <item m="1" x="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2">
        <item m="1" x="8"/>
        <item m="1" x="11"/>
        <item x="2"/>
        <item m="1" x="6"/>
        <item x="1"/>
        <item m="1" x="10"/>
        <item x="0"/>
        <item x="4"/>
        <item x="5"/>
        <item x="3"/>
        <item m="1" x="9"/>
        <item m="1" x="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h="1" m="1" x="5"/>
        <item h="1" m="1" x="7"/>
        <item h="1" m="1" x="6"/>
        <item x="0"/>
        <item h="1" m="1" x="10"/>
        <item h="1" x="1"/>
        <item h="1" m="1" x="4"/>
        <item h="1" m="1" x="11"/>
        <item h="1" m="1" x="12"/>
        <item h="1" m="1" x="8"/>
        <item h="1" m="1" x="9"/>
        <item h="1" m="1" x="3"/>
        <item h="1" m="1" x="2"/>
      </items>
      <extLst>
        <ext xmlns:x14="http://schemas.microsoft.com/office/spreadsheetml/2009/9/main" uri="{2946ED86-A175-432a-8AC1-64E0C546D7DE}">
          <x14:pivotField fillDownLabels="1"/>
        </ext>
      </extLst>
    </pivotField>
    <pivotField axis="axisRow" dataField="1" compact="0" outline="0" showAll="0" sortType="descending" defaultSubtotal="0">
      <items count="7">
        <item x="1"/>
        <item x="5"/>
        <item x="3"/>
        <item x="4"/>
        <item x="0"/>
        <item m="1" x="6"/>
        <item x="2"/>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defaultSubtotal="0">
      <items count="5">
        <item x="3"/>
        <item x="2"/>
        <item x="0"/>
        <item x="1"/>
        <item m="1"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9">
        <item x="14"/>
        <item x="5"/>
        <item x="4"/>
        <item x="12"/>
        <item x="1"/>
        <item x="17"/>
        <item x="0"/>
        <item x="10"/>
        <item x="13"/>
        <item x="6"/>
        <item x="2"/>
        <item x="11"/>
        <item x="9"/>
        <item x="8"/>
        <item x="15"/>
        <item x="16"/>
        <item x="3"/>
        <item x="7"/>
        <item t="default"/>
      </items>
      <extLst>
        <ext xmlns:x14="http://schemas.microsoft.com/office/spreadsheetml/2009/9/main" uri="{2946ED86-A175-432a-8AC1-64E0C546D7DE}">
          <x14:pivotField fillDownLabels="1"/>
        </ext>
      </extLst>
    </pivotField>
    <pivotField compact="0" numFmtId="164" outline="0" showAll="0">
      <items count="5">
        <item x="1"/>
        <item x="2"/>
        <item x="3"/>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7"/>
  </rowFields>
  <rowItems count="6">
    <i>
      <x/>
    </i>
    <i>
      <x v="6"/>
    </i>
    <i>
      <x v="2"/>
    </i>
    <i>
      <x v="1"/>
    </i>
    <i>
      <x v="3"/>
    </i>
    <i>
      <x v="4"/>
    </i>
  </rowItems>
  <colItems count="1">
    <i/>
  </colItems>
  <dataFields count="1">
    <dataField name="Anzahl von Stand" fld="7" subtotal="count" baseField="0" baseItem="0"/>
  </dataFields>
  <chartFormats count="19">
    <chartFormat chart="0" format="3"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7" count="1" selected="0">
            <x v="4"/>
          </reference>
        </references>
      </pivotArea>
    </chartFormat>
    <chartFormat chart="4" format="7">
      <pivotArea type="data" outline="0" fieldPosition="0">
        <references count="2">
          <reference field="4294967294" count="1" selected="0">
            <x v="0"/>
          </reference>
          <reference field="7" count="1" selected="0">
            <x v="2"/>
          </reference>
        </references>
      </pivotArea>
    </chartFormat>
    <chartFormat chart="4" format="8">
      <pivotArea type="data" outline="0" fieldPosition="0">
        <references count="2">
          <reference field="4294967294" count="1" selected="0">
            <x v="0"/>
          </reference>
          <reference field="7" count="1" selected="0">
            <x v="0"/>
          </reference>
        </references>
      </pivotArea>
    </chartFormat>
    <chartFormat chart="4" format="9">
      <pivotArea type="data" outline="0" fieldPosition="0">
        <references count="2">
          <reference field="4294967294" count="1" selected="0">
            <x v="0"/>
          </reference>
          <reference field="7" count="1" selected="0">
            <x v="3"/>
          </reference>
        </references>
      </pivotArea>
    </chartFormat>
    <chartFormat chart="4" format="10">
      <pivotArea type="data" outline="0" fieldPosition="0">
        <references count="2">
          <reference field="4294967294" count="1" selected="0">
            <x v="0"/>
          </reference>
          <reference field="7" count="1" selected="0">
            <x v="6"/>
          </reference>
        </references>
      </pivotArea>
    </chartFormat>
    <chartFormat chart="4" format="11">
      <pivotArea type="data" outline="0" fieldPosition="0">
        <references count="2">
          <reference field="4294967294" count="1" selected="0">
            <x v="0"/>
          </reference>
          <reference field="7" count="1" selected="0">
            <x v="1"/>
          </reference>
        </references>
      </pivotArea>
    </chartFormat>
    <chartFormat chart="4" format="12">
      <pivotArea type="data" outline="0" fieldPosition="0">
        <references count="2">
          <reference field="4294967294" count="1" selected="0">
            <x v="0"/>
          </reference>
          <reference field="7" count="1" selected="0">
            <x v="5"/>
          </reference>
        </references>
      </pivotArea>
    </chartFormat>
    <chartFormat chart="15" format="13" series="1">
      <pivotArea type="data" outline="0" fieldPosition="0">
        <references count="1">
          <reference field="4294967294" count="1" selected="0">
            <x v="0"/>
          </reference>
        </references>
      </pivotArea>
    </chartFormat>
    <chartFormat chart="15" format="14">
      <pivotArea type="data" outline="0" fieldPosition="0">
        <references count="2">
          <reference field="4294967294" count="1" selected="0">
            <x v="0"/>
          </reference>
          <reference field="7" count="1" selected="0">
            <x v="0"/>
          </reference>
        </references>
      </pivotArea>
    </chartFormat>
    <chartFormat chart="15" format="15">
      <pivotArea type="data" outline="0" fieldPosition="0">
        <references count="2">
          <reference field="4294967294" count="1" selected="0">
            <x v="0"/>
          </reference>
          <reference field="7" count="1" selected="0">
            <x v="2"/>
          </reference>
        </references>
      </pivotArea>
    </chartFormat>
    <chartFormat chart="15" format="16">
      <pivotArea type="data" outline="0" fieldPosition="0">
        <references count="2">
          <reference field="4294967294" count="1" selected="0">
            <x v="0"/>
          </reference>
          <reference field="7" count="1" selected="0">
            <x v="1"/>
          </reference>
        </references>
      </pivotArea>
    </chartFormat>
    <chartFormat chart="15" format="17">
      <pivotArea type="data" outline="0" fieldPosition="0">
        <references count="2">
          <reference field="4294967294" count="1" selected="0">
            <x v="0"/>
          </reference>
          <reference field="7" count="1" selected="0">
            <x v="3"/>
          </reference>
        </references>
      </pivotArea>
    </chartFormat>
    <chartFormat chart="16" format="18" series="1">
      <pivotArea type="data" outline="0" fieldPosition="0">
        <references count="1">
          <reference field="4294967294" count="1" selected="0">
            <x v="0"/>
          </reference>
        </references>
      </pivotArea>
    </chartFormat>
    <chartFormat chart="16" format="19">
      <pivotArea type="data" outline="0" fieldPosition="0">
        <references count="2">
          <reference field="4294967294" count="1" selected="0">
            <x v="0"/>
          </reference>
          <reference field="7" count="1" selected="0">
            <x v="0"/>
          </reference>
        </references>
      </pivotArea>
    </chartFormat>
    <chartFormat chart="16" format="20">
      <pivotArea type="data" outline="0" fieldPosition="0">
        <references count="2">
          <reference field="4294967294" count="1" selected="0">
            <x v="0"/>
          </reference>
          <reference field="7" count="1" selected="0">
            <x v="2"/>
          </reference>
        </references>
      </pivotArea>
    </chartFormat>
    <chartFormat chart="16" format="21">
      <pivotArea type="data" outline="0" fieldPosition="0">
        <references count="2">
          <reference field="4294967294" count="1" selected="0">
            <x v="0"/>
          </reference>
          <reference field="7" count="1" selected="0">
            <x v="1"/>
          </reference>
        </references>
      </pivotArea>
    </chartFormat>
    <chartFormat chart="16" format="22">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A4CEFB-0789-4A77-B1FE-FCC392703BB4}" name="PivotTable7" cacheId="2"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8">
  <location ref="A3:B22" firstHeaderRow="1" firstDataRow="1" firstDataCol="1"/>
  <pivotFields count="20">
    <pivotField showAll="0"/>
    <pivotField showAll="0"/>
    <pivotField showAll="0">
      <items count="13">
        <item m="1" x="10"/>
        <item m="1" x="9"/>
        <item x="2"/>
        <item m="1" x="8"/>
        <item x="0"/>
        <item x="6"/>
        <item x="4"/>
        <item x="5"/>
        <item x="3"/>
        <item x="1"/>
        <item m="1" x="11"/>
        <item m="1" x="7"/>
        <item t="default"/>
      </items>
    </pivotField>
    <pivotField showAll="0"/>
    <pivotField showAll="0">
      <items count="12">
        <item m="1" x="7"/>
        <item m="1" x="10"/>
        <item x="2"/>
        <item m="1" x="6"/>
        <item x="1"/>
        <item m="1" x="9"/>
        <item x="0"/>
        <item x="4"/>
        <item x="5"/>
        <item x="3"/>
        <item m="1" x="8"/>
        <item t="default"/>
      </items>
    </pivotField>
    <pivotField showAll="0"/>
    <pivotField showAll="0">
      <items count="13">
        <item m="1" x="4"/>
        <item m="1" x="6"/>
        <item m="1" x="5"/>
        <item x="0"/>
        <item m="1" x="9"/>
        <item x="1"/>
        <item m="1" x="3"/>
        <item m="1" x="10"/>
        <item m="1" x="11"/>
        <item m="1" x="7"/>
        <item m="1" x="8"/>
        <item m="1" x="2"/>
        <item t="default"/>
      </items>
    </pivotField>
    <pivotField showAll="0">
      <items count="8">
        <item x="1"/>
        <item x="5"/>
        <item x="3"/>
        <item x="4"/>
        <item x="0"/>
        <item m="1" x="6"/>
        <item x="2"/>
        <item t="default"/>
      </items>
    </pivotField>
    <pivotField showAll="0">
      <items count="6">
        <item x="3"/>
        <item x="2"/>
        <item x="0"/>
        <item x="1"/>
        <item m="1" x="4"/>
        <item t="default"/>
      </items>
    </pivotField>
    <pivotField showAll="0"/>
    <pivotField showAll="0"/>
    <pivotField showAll="0"/>
    <pivotField showAll="0"/>
    <pivotField axis="axisRow" dataField="1" showAll="0" sortType="descending">
      <items count="39">
        <item x="7"/>
        <item x="3"/>
        <item m="1" x="26"/>
        <item m="1" x="37"/>
        <item m="1" x="36"/>
        <item x="16"/>
        <item x="15"/>
        <item x="8"/>
        <item x="9"/>
        <item x="11"/>
        <item m="1" x="35"/>
        <item x="2"/>
        <item x="6"/>
        <item m="1" x="23"/>
        <item x="13"/>
        <item x="10"/>
        <item m="1" x="31"/>
        <item x="0"/>
        <item x="17"/>
        <item x="1"/>
        <item x="12"/>
        <item x="4"/>
        <item x="5"/>
        <item x="14"/>
        <item m="1" x="33"/>
        <item m="1" x="30"/>
        <item m="1" x="29"/>
        <item m="1" x="27"/>
        <item m="1" x="25"/>
        <item m="1" x="20"/>
        <item m="1" x="21"/>
        <item m="1" x="32"/>
        <item m="1" x="34"/>
        <item m="1" x="18"/>
        <item m="1" x="24"/>
        <item m="1" x="28"/>
        <item m="1" x="22"/>
        <item m="1" x="19"/>
        <item t="default"/>
      </items>
      <autoSortScope>
        <pivotArea dataOnly="0" outline="0" fieldPosition="0">
          <references count="1">
            <reference field="4294967294" count="1" selected="0">
              <x v="0"/>
            </reference>
          </references>
        </pivotArea>
      </autoSortScope>
    </pivotField>
    <pivotField numFmtId="164" showAll="0">
      <items count="5">
        <item x="1"/>
        <item x="2"/>
        <item x="3"/>
        <item x="0"/>
        <item t="default"/>
      </items>
    </pivotField>
    <pivotField showAll="0"/>
    <pivotField showAll="0"/>
    <pivotField showAll="0"/>
    <pivotField showAll="0"/>
    <pivotField showAll="0"/>
  </pivotFields>
  <rowFields count="1">
    <field x="13"/>
  </rowFields>
  <rowItems count="19">
    <i>
      <x v="1"/>
    </i>
    <i>
      <x v="21"/>
    </i>
    <i>
      <x v="12"/>
    </i>
    <i>
      <x v="22"/>
    </i>
    <i>
      <x v="14"/>
    </i>
    <i>
      <x v="19"/>
    </i>
    <i>
      <x v="20"/>
    </i>
    <i>
      <x v="17"/>
    </i>
    <i>
      <x v="15"/>
    </i>
    <i>
      <x/>
    </i>
    <i>
      <x v="7"/>
    </i>
    <i>
      <x v="11"/>
    </i>
    <i>
      <x v="8"/>
    </i>
    <i>
      <x v="23"/>
    </i>
    <i>
      <x v="9"/>
    </i>
    <i>
      <x v="5"/>
    </i>
    <i>
      <x v="18"/>
    </i>
    <i>
      <x v="6"/>
    </i>
    <i t="grand">
      <x/>
    </i>
  </rowItems>
  <colItems count="1">
    <i/>
  </colItems>
  <dataFields count="1">
    <dataField name="Count of Bezeichnung2" fld="13" subtotal="count" baseField="13" baseItem="0"/>
  </dataFields>
  <chartFormats count="3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3" count="1" selected="0">
            <x v="14"/>
          </reference>
        </references>
      </pivotArea>
    </chartFormat>
    <chartFormat chart="0" format="2">
      <pivotArea type="data" outline="0" fieldPosition="0">
        <references count="2">
          <reference field="4294967294" count="1" selected="0">
            <x v="0"/>
          </reference>
          <reference field="13" count="1" selected="0">
            <x v="1"/>
          </reference>
        </references>
      </pivotArea>
    </chartFormat>
    <chartFormat chart="0" format="3">
      <pivotArea type="data" outline="0" fieldPosition="0">
        <references count="2">
          <reference field="4294967294" count="1" selected="0">
            <x v="0"/>
          </reference>
          <reference field="13" count="1" selected="0">
            <x v="21"/>
          </reference>
        </references>
      </pivotArea>
    </chartFormat>
    <chartFormat chart="0" format="4">
      <pivotArea type="data" outline="0" fieldPosition="0">
        <references count="2">
          <reference field="4294967294" count="1" selected="0">
            <x v="0"/>
          </reference>
          <reference field="13" count="1" selected="0">
            <x v="16"/>
          </reference>
        </references>
      </pivotArea>
    </chartFormat>
    <chartFormat chart="0" format="5">
      <pivotArea type="data" outline="0" fieldPosition="0">
        <references count="2">
          <reference field="4294967294" count="1" selected="0">
            <x v="0"/>
          </reference>
          <reference field="13" count="1" selected="0">
            <x v="12"/>
          </reference>
        </references>
      </pivotArea>
    </chartFormat>
    <chartFormat chart="0" format="6">
      <pivotArea type="data" outline="0" fieldPosition="0">
        <references count="2">
          <reference field="4294967294" count="1" selected="0">
            <x v="0"/>
          </reference>
          <reference field="13" count="1" selected="0">
            <x v="22"/>
          </reference>
        </references>
      </pivotArea>
    </chartFormat>
    <chartFormat chart="0" format="7">
      <pivotArea type="data" outline="0" fieldPosition="0">
        <references count="2">
          <reference field="4294967294" count="1" selected="0">
            <x v="0"/>
          </reference>
          <reference field="13" count="1" selected="0">
            <x v="10"/>
          </reference>
        </references>
      </pivotArea>
    </chartFormat>
    <chartFormat chart="0" format="8">
      <pivotArea type="data" outline="0" fieldPosition="0">
        <references count="2">
          <reference field="4294967294" count="1" selected="0">
            <x v="0"/>
          </reference>
          <reference field="13" count="1" selected="0">
            <x v="13"/>
          </reference>
        </references>
      </pivotArea>
    </chartFormat>
    <chartFormat chart="0" format="9">
      <pivotArea type="data" outline="0" fieldPosition="0">
        <references count="2">
          <reference field="4294967294" count="1" selected="0">
            <x v="0"/>
          </reference>
          <reference field="13" count="1" selected="0">
            <x v="19"/>
          </reference>
        </references>
      </pivotArea>
    </chartFormat>
    <chartFormat chart="0" format="10">
      <pivotArea type="data" outline="0" fieldPosition="0">
        <references count="2">
          <reference field="4294967294" count="1" selected="0">
            <x v="0"/>
          </reference>
          <reference field="13" count="1" selected="0">
            <x v="20"/>
          </reference>
        </references>
      </pivotArea>
    </chartFormat>
    <chartFormat chart="0" format="11">
      <pivotArea type="data" outline="0" fieldPosition="0">
        <references count="2">
          <reference field="4294967294" count="1" selected="0">
            <x v="0"/>
          </reference>
          <reference field="13" count="1" selected="0">
            <x v="17"/>
          </reference>
        </references>
      </pivotArea>
    </chartFormat>
    <chartFormat chart="0" format="12">
      <pivotArea type="data" outline="0" fieldPosition="0">
        <references count="2">
          <reference field="4294967294" count="1" selected="0">
            <x v="0"/>
          </reference>
          <reference field="13" count="1" selected="0">
            <x v="26"/>
          </reference>
        </references>
      </pivotArea>
    </chartFormat>
    <chartFormat chart="0" format="13">
      <pivotArea type="data" outline="0" fieldPosition="0">
        <references count="2">
          <reference field="4294967294" count="1" selected="0">
            <x v="0"/>
          </reference>
          <reference field="13" count="1" selected="0">
            <x v="15"/>
          </reference>
        </references>
      </pivotArea>
    </chartFormat>
    <chartFormat chart="0" format="14">
      <pivotArea type="data" outline="0" fieldPosition="0">
        <references count="2">
          <reference field="4294967294" count="1" selected="0">
            <x v="0"/>
          </reference>
          <reference field="13" count="1" selected="0">
            <x v="0"/>
          </reference>
        </references>
      </pivotArea>
    </chartFormat>
    <chartFormat chart="0" format="15">
      <pivotArea type="data" outline="0" fieldPosition="0">
        <references count="2">
          <reference field="4294967294" count="1" selected="0">
            <x v="0"/>
          </reference>
          <reference field="13" count="1" selected="0">
            <x v="3"/>
          </reference>
        </references>
      </pivotArea>
    </chartFormat>
    <chartFormat chart="0" format="16">
      <pivotArea type="data" outline="0" fieldPosition="0">
        <references count="2">
          <reference field="4294967294" count="1" selected="0">
            <x v="0"/>
          </reference>
          <reference field="13" count="1" selected="0">
            <x v="7"/>
          </reference>
        </references>
      </pivotArea>
    </chartFormat>
    <chartFormat chart="0" format="17">
      <pivotArea type="data" outline="0" fieldPosition="0">
        <references count="2">
          <reference field="4294967294" count="1" selected="0">
            <x v="0"/>
          </reference>
          <reference field="13" count="1" selected="0">
            <x v="2"/>
          </reference>
        </references>
      </pivotArea>
    </chartFormat>
    <chartFormat chart="0" format="18">
      <pivotArea type="data" outline="0" fieldPosition="0">
        <references count="2">
          <reference field="4294967294" count="1" selected="0">
            <x v="0"/>
          </reference>
          <reference field="13" count="1" selected="0">
            <x v="11"/>
          </reference>
        </references>
      </pivotArea>
    </chartFormat>
    <chartFormat chart="0" format="19">
      <pivotArea type="data" outline="0" fieldPosition="0">
        <references count="2">
          <reference field="4294967294" count="1" selected="0">
            <x v="0"/>
          </reference>
          <reference field="13" count="1" selected="0">
            <x v="8"/>
          </reference>
        </references>
      </pivotArea>
    </chartFormat>
    <chartFormat chart="0" format="20">
      <pivotArea type="data" outline="0" fieldPosition="0">
        <references count="2">
          <reference field="4294967294" count="1" selected="0">
            <x v="0"/>
          </reference>
          <reference field="13" count="1" selected="0">
            <x v="23"/>
          </reference>
        </references>
      </pivotArea>
    </chartFormat>
    <chartFormat chart="0" format="21">
      <pivotArea type="data" outline="0" fieldPosition="0">
        <references count="2">
          <reference field="4294967294" count="1" selected="0">
            <x v="0"/>
          </reference>
          <reference field="13" count="1" selected="0">
            <x v="9"/>
          </reference>
        </references>
      </pivotArea>
    </chartFormat>
    <chartFormat chart="0" format="22">
      <pivotArea type="data" outline="0" fieldPosition="0">
        <references count="2">
          <reference field="4294967294" count="1" selected="0">
            <x v="0"/>
          </reference>
          <reference field="13" count="1" selected="0">
            <x v="24"/>
          </reference>
        </references>
      </pivotArea>
    </chartFormat>
    <chartFormat chart="0" format="23">
      <pivotArea type="data" outline="0" fieldPosition="0">
        <references count="2">
          <reference field="4294967294" count="1" selected="0">
            <x v="0"/>
          </reference>
          <reference field="13" count="1" selected="0">
            <x v="6"/>
          </reference>
        </references>
      </pivotArea>
    </chartFormat>
    <chartFormat chart="0" format="24">
      <pivotArea type="data" outline="0" fieldPosition="0">
        <references count="2">
          <reference field="4294967294" count="1" selected="0">
            <x v="0"/>
          </reference>
          <reference field="13" count="1" selected="0">
            <x v="4"/>
          </reference>
        </references>
      </pivotArea>
    </chartFormat>
    <chartFormat chart="0" format="25">
      <pivotArea type="data" outline="0" fieldPosition="0">
        <references count="2">
          <reference field="4294967294" count="1" selected="0">
            <x v="0"/>
          </reference>
          <reference field="13" count="1" selected="0">
            <x v="5"/>
          </reference>
        </references>
      </pivotArea>
    </chartFormat>
    <chartFormat chart="0" format="26">
      <pivotArea type="data" outline="0" fieldPosition="0">
        <references count="2">
          <reference field="4294967294" count="1" selected="0">
            <x v="0"/>
          </reference>
          <reference field="13" count="1" selected="0">
            <x v="18"/>
          </reference>
        </references>
      </pivotArea>
    </chartFormat>
    <chartFormat chart="0" format="27">
      <pivotArea type="data" outline="0" fieldPosition="0">
        <references count="2">
          <reference field="4294967294" count="1" selected="0">
            <x v="0"/>
          </reference>
          <reference field="13" count="1" selected="0">
            <x v="25"/>
          </reference>
        </references>
      </pivotArea>
    </chartFormat>
    <chartFormat chart="0" format="28">
      <pivotArea type="data" outline="0" fieldPosition="0">
        <references count="2">
          <reference field="4294967294" count="1" selected="0">
            <x v="0"/>
          </reference>
          <reference field="13" count="1" selected="0">
            <x v="34"/>
          </reference>
        </references>
      </pivotArea>
    </chartFormat>
    <chartFormat chart="0" format="29">
      <pivotArea type="data" outline="0" fieldPosition="0">
        <references count="2">
          <reference field="4294967294" count="1" selected="0">
            <x v="0"/>
          </reference>
          <reference field="13" count="1" selected="0">
            <x v="31"/>
          </reference>
        </references>
      </pivotArea>
    </chartFormat>
    <chartFormat chart="0" format="30">
      <pivotArea type="data" outline="0" fieldPosition="0">
        <references count="2">
          <reference field="4294967294" count="1" selected="0">
            <x v="0"/>
          </reference>
          <reference field="13" count="1" selected="0">
            <x v="33"/>
          </reference>
        </references>
      </pivotArea>
    </chartFormat>
    <chartFormat chart="0" format="31">
      <pivotArea type="data" outline="0" fieldPosition="0">
        <references count="2">
          <reference field="4294967294" count="1" selected="0">
            <x v="0"/>
          </reference>
          <reference field="13" count="1" selected="0">
            <x v="2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5" cacheId="3" applyNumberFormats="0" applyBorderFormats="0" applyFontFormats="0" applyPatternFormats="0" applyAlignmentFormats="0" applyWidthHeightFormats="1" dataCaption="Werte" updatedVersion="8" minRefreshableVersion="3" useAutoFormatting="1" rowGrandTotals="0" colGrandTotals="0" itemPrintTitles="1" createdVersion="7" indent="0" compact="0" compactData="0" multipleFieldFilters="0" chartFormat="12">
  <location ref="A3:B5" firstHeaderRow="1" firstDataRow="1" firstDataCol="1"/>
  <pivotFields count="20">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2">
        <item m="1" x="10"/>
        <item m="1" x="9"/>
        <item x="2"/>
        <item m="1" x="8"/>
        <item x="0"/>
        <item x="6"/>
        <item x="4"/>
        <item x="5"/>
        <item x="3"/>
        <item x="1"/>
        <item m="1" x="11"/>
        <item m="1" x="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1">
        <item m="1" x="7"/>
        <item m="1" x="10"/>
        <item x="2"/>
        <item m="1" x="6"/>
        <item x="1"/>
        <item m="1" x="9"/>
        <item x="0"/>
        <item x="4"/>
        <item x="5"/>
        <item x="3"/>
        <item m="1" x="8"/>
      </items>
      <extLst>
        <ext xmlns:x14="http://schemas.microsoft.com/office/spreadsheetml/2009/9/main" uri="{2946ED86-A175-432a-8AC1-64E0C546D7DE}">
          <x14:pivotField fillDownLabels="1"/>
        </ext>
      </extLst>
    </pivotField>
    <pivotField compact="0" outline="0" showAll="0" defaultSubtotal="0">
      <items count="50">
        <item m="1" x="40"/>
        <item m="1" x="41"/>
        <item m="1" x="44"/>
        <item x="20"/>
        <item m="1" x="28"/>
        <item x="14"/>
        <item x="25"/>
        <item x="4"/>
        <item m="1" x="30"/>
        <item x="15"/>
        <item x="1"/>
        <item x="5"/>
        <item m="1" x="48"/>
        <item x="13"/>
        <item x="16"/>
        <item x="24"/>
        <item x="0"/>
        <item x="7"/>
        <item m="1" x="33"/>
        <item x="21"/>
        <item x="17"/>
        <item m="1" x="42"/>
        <item x="11"/>
        <item x="18"/>
        <item m="1" x="45"/>
        <item m="1" x="34"/>
        <item x="6"/>
        <item x="2"/>
        <item m="1" x="27"/>
        <item m="1" x="46"/>
        <item x="12"/>
        <item x="10"/>
        <item x="19"/>
        <item x="9"/>
        <item m="1" x="32"/>
        <item x="22"/>
        <item m="1" x="29"/>
        <item x="23"/>
        <item m="1" x="47"/>
        <item m="1" x="36"/>
        <item m="1" x="49"/>
        <item m="1" x="39"/>
        <item m="1" x="43"/>
        <item m="1" x="38"/>
        <item m="1" x="37"/>
        <item x="26"/>
        <item x="3"/>
        <item m="1" x="35"/>
        <item x="8"/>
        <item m="1" x="31"/>
      </items>
      <extLst>
        <ext xmlns:x14="http://schemas.microsoft.com/office/spreadsheetml/2009/9/main" uri="{2946ED86-A175-432a-8AC1-64E0C546D7DE}">
          <x14:pivotField fillDownLabels="1"/>
        </ext>
      </extLst>
    </pivotField>
    <pivotField axis="axisRow" dataField="1" compact="0" outline="0" showAll="0" sortType="descending" defaultSubtotal="0">
      <items count="18">
        <item m="1" x="7"/>
        <item m="1" x="11"/>
        <item m="1" x="2"/>
        <item m="1" x="16"/>
        <item m="1" x="8"/>
        <item x="0"/>
        <item m="1" x="10"/>
        <item m="1" x="4"/>
        <item m="1" x="14"/>
        <item m="1" x="9"/>
        <item x="1"/>
        <item m="1" x="6"/>
        <item m="1" x="15"/>
        <item m="1" x="17"/>
        <item m="1" x="12"/>
        <item m="1" x="13"/>
        <item m="1" x="5"/>
        <item m="1" x="3"/>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items count="8">
        <item x="1"/>
        <item x="5"/>
        <item x="3"/>
        <item x="4"/>
        <item x="0"/>
        <item m="1" x="6"/>
        <item x="2"/>
        <item t="default"/>
      </items>
      <extLst>
        <ext xmlns:x14="http://schemas.microsoft.com/office/spreadsheetml/2009/9/main" uri="{2946ED86-A175-432a-8AC1-64E0C546D7DE}">
          <x14:pivotField fillDownLabels="1"/>
        </ext>
      </extLst>
    </pivotField>
    <pivotField compact="0" outline="0" showAll="0">
      <items count="6">
        <item x="3"/>
        <item x="2"/>
        <item x="0"/>
        <item x="1"/>
        <item m="1" x="4"/>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9">
        <item x="14"/>
        <item x="5"/>
        <item x="4"/>
        <item x="12"/>
        <item x="1"/>
        <item x="17"/>
        <item x="0"/>
        <item x="10"/>
        <item x="13"/>
        <item x="6"/>
        <item x="2"/>
        <item x="11"/>
        <item x="9"/>
        <item x="8"/>
        <item x="15"/>
        <item x="16"/>
        <item x="3"/>
        <item x="7"/>
        <item t="default"/>
      </items>
      <extLst>
        <ext xmlns:x14="http://schemas.microsoft.com/office/spreadsheetml/2009/9/main" uri="{2946ED86-A175-432a-8AC1-64E0C546D7DE}">
          <x14:pivotField fillDownLabels="1"/>
        </ext>
      </extLst>
    </pivotField>
    <pivotField compact="0" numFmtId="164" outline="0" showAll="0">
      <items count="5">
        <item x="1"/>
        <item x="2"/>
        <item x="3"/>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6"/>
  </rowFields>
  <rowItems count="2">
    <i>
      <x v="10"/>
    </i>
    <i>
      <x v="5"/>
    </i>
  </rowItems>
  <colItems count="1">
    <i/>
  </colItems>
  <dataFields count="1">
    <dataField name="Anzahl von Rolle" fld="6" subtotal="count" baseField="0" baseItem="0"/>
  </dataFields>
  <chartFormats count="1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6" count="1" selected="0">
            <x v="10"/>
          </reference>
        </references>
      </pivotArea>
    </chartFormat>
    <chartFormat chart="2" format="4">
      <pivotArea type="data" outline="0" fieldPosition="0">
        <references count="2">
          <reference field="4294967294" count="1" selected="0">
            <x v="0"/>
          </reference>
          <reference field="6" count="1" selected="0">
            <x v="5"/>
          </reference>
        </references>
      </pivotArea>
    </chartFormat>
    <chartFormat chart="2" format="5">
      <pivotArea type="data" outline="0" fieldPosition="0">
        <references count="2">
          <reference field="4294967294" count="1" selected="0">
            <x v="0"/>
          </reference>
          <reference field="6" count="1" selected="0">
            <x v="4"/>
          </reference>
        </references>
      </pivotArea>
    </chartFormat>
    <chartFormat chart="2" format="6">
      <pivotArea type="data" outline="0" fieldPosition="0">
        <references count="2">
          <reference field="4294967294" count="1" selected="0">
            <x v="0"/>
          </reference>
          <reference field="6" count="1" selected="0">
            <x v="8"/>
          </reference>
        </references>
      </pivotArea>
    </chartFormat>
    <chartFormat chart="2" format="7">
      <pivotArea type="data" outline="0" fieldPosition="0">
        <references count="2">
          <reference field="4294967294" count="1" selected="0">
            <x v="0"/>
          </reference>
          <reference field="6" count="1" selected="0">
            <x v="0"/>
          </reference>
        </references>
      </pivotArea>
    </chartFormat>
    <chartFormat chart="2" format="8">
      <pivotArea type="data" outline="0" fieldPosition="0">
        <references count="2">
          <reference field="4294967294" count="1" selected="0">
            <x v="0"/>
          </reference>
          <reference field="6" count="1" selected="0">
            <x v="15"/>
          </reference>
        </references>
      </pivotArea>
    </chartFormat>
    <chartFormat chart="2" format="9">
      <pivotArea type="data" outline="0" fieldPosition="0">
        <references count="2">
          <reference field="4294967294" count="1" selected="0">
            <x v="0"/>
          </reference>
          <reference field="6" count="1" selected="0">
            <x v="16"/>
          </reference>
        </references>
      </pivotArea>
    </chartFormat>
    <chartFormat chart="2" format="10">
      <pivotArea type="data" outline="0" fieldPosition="0">
        <references count="2">
          <reference field="4294967294" count="1" selected="0">
            <x v="0"/>
          </reference>
          <reference field="6" count="1" selected="0">
            <x v="1"/>
          </reference>
        </references>
      </pivotArea>
    </chartFormat>
    <chartFormat chart="2" format="11">
      <pivotArea type="data" outline="0" fieldPosition="0">
        <references count="2">
          <reference field="4294967294" count="1" selected="0">
            <x v="0"/>
          </reference>
          <reference field="6" count="1" selected="0">
            <x v="12"/>
          </reference>
        </references>
      </pivotArea>
    </chartFormat>
    <chartFormat chart="2" format="12">
      <pivotArea type="data" outline="0" fieldPosition="0">
        <references count="2">
          <reference field="4294967294" count="1" selected="0">
            <x v="0"/>
          </reference>
          <reference field="6" count="1" selected="0">
            <x v="13"/>
          </reference>
        </references>
      </pivotArea>
    </chartFormat>
    <chartFormat chart="2" format="13">
      <pivotArea type="data" outline="0" fieldPosition="0">
        <references count="1">
          <reference field="4294967294" count="1" selected="0">
            <x v="0"/>
          </reference>
        </references>
      </pivotArea>
    </chartFormat>
    <chartFormat chart="2" format="14">
      <pivotArea type="data" outline="0" fieldPosition="0">
        <references count="2">
          <reference field="4294967294" count="1" selected="0">
            <x v="0"/>
          </reference>
          <reference field="6"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9" xr16:uid="{8C5C0C0F-9D94-4F00-AF4B-0701A1EE5D2A}" autoFormatId="16" applyNumberFormats="0" applyBorderFormats="0" applyFontFormats="0" applyPatternFormats="0" applyAlignmentFormats="0" applyWidthHeightFormats="0">
  <queryTableRefresh nextId="17" unboundColumnsRight="1">
    <queryTableFields count="7">
      <queryTableField id="1" name="Source.Name" tableColumnId="1"/>
      <queryTableField id="3" name="name" tableColumnId="3"/>
      <queryTableField id="4" name="degree_centrality" tableColumnId="4"/>
      <queryTableField id="5" name="df_bet$betweenness_centrality" tableColumnId="5"/>
      <queryTableField id="6" name="df_close$closeness_centrality" tableColumnId="6"/>
      <queryTableField id="7" name="df_eigenv$eigenvector_centrality" tableColumnId="7"/>
      <queryTableField id="8" dataBound="0" tableColumnId="8"/>
    </queryTableFields>
    <queryTableDeletedFields count="5">
      <deletedField name="Column1"/>
      <deletedField name="Column1"/>
      <deletedField name="Column1"/>
      <deletedField name="Column1"/>
      <deletedField name="Column1"/>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6" xr16:uid="{00000000-0016-0000-0100-000000000000}" autoFormatId="16" applyNumberFormats="0" applyBorderFormats="0" applyFontFormats="0" applyPatternFormats="0" applyAlignmentFormats="0" applyWidthHeightFormats="0">
  <queryTableRefresh nextId="22" unboundColumnsRight="13">
    <queryTableFields count="20">
      <queryTableField id="1" name="Source.Name" tableColumnId="1"/>
      <queryTableField id="2" name="Name" tableColumnId="2"/>
      <queryTableField id="3" name="Geschlecht" tableColumnId="3"/>
      <queryTableField id="4" name="Stand:Beruf" tableColumnId="4"/>
      <queryTableField id="5" name="Alter" tableColumnId="5"/>
      <queryTableField id="6" name="Bezeichnung" tableColumnId="6"/>
      <queryTableField id="7" name="Rolle"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5" dataBound="0" tableColumnId="14"/>
      <queryTableField id="16" dataBound="0" tableColumnId="15"/>
      <queryTableField id="17" dataBound="0" tableColumnId="16"/>
      <queryTableField id="18" dataBound="0" tableColumnId="17"/>
      <queryTableField id="19" dataBound="0" tableColumnId="18"/>
      <queryTableField id="20" dataBound="0" tableColumnId="19"/>
      <queryTableField id="21" dataBound="0" tableColumnId="2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8" xr16:uid="{06F4B802-69CF-403C-A1EB-41796426EF97}" autoFormatId="16" applyNumberFormats="0" applyBorderFormats="0" applyFontFormats="0" applyPatternFormats="0" applyAlignmentFormats="0" applyWidthHeightFormats="0">
  <queryTableRefresh nextId="7">
    <queryTableFields count="6">
      <queryTableField id="1" name="Column1" tableColumnId="1"/>
      <queryTableField id="2" name="name" tableColumnId="2"/>
      <queryTableField id="3" name="degree_centrality" tableColumnId="3"/>
      <queryTableField id="4" name="df_bet$betweenness_centrality" tableColumnId="4"/>
      <queryTableField id="5" name="df_close$closeness_centrality" tableColumnId="5"/>
      <queryTableField id="6" name="df_eigenv$eigenvector_centrality"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Rolle" xr10:uid="{DAC01B18-52D0-44B7-B62A-2FC2D013FCF9}" sourceName="Rolle">
  <pivotTables>
    <pivotTable tabId="4" name="PivotTable4"/>
  </pivotTables>
  <data>
    <tabular pivotCacheId="467440488">
      <items count="18">
        <i x="0" s="1"/>
        <i x="1" s="1"/>
        <i x="5" s="1" nd="1"/>
        <i x="7" s="1" nd="1"/>
        <i x="11" s="1" nd="1"/>
        <i x="2" s="1" nd="1"/>
        <i x="16" s="1" nd="1"/>
        <i x="8" s="1" nd="1"/>
        <i x="10" s="1" nd="1"/>
        <i x="4" s="1" nd="1"/>
        <i x="14" s="1" nd="1"/>
        <i x="9" s="1" nd="1"/>
        <i x="6" s="1" nd="1"/>
        <i x="15" s="1" nd="1"/>
        <i x="17" s="1" nd="1"/>
        <i x="12" s="1" nd="1"/>
        <i x="13" s="1" nd="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Alter" xr10:uid="{7C74A2CC-53D2-4811-B8B1-6A5EC544D7FF}" sourceName="Alter">
  <pivotTables>
    <pivotTable tabId="4" name="PivotTable4"/>
  </pivotTables>
  <data>
    <tabular pivotCacheId="467440488">
      <items count="11">
        <i x="2" s="1"/>
        <i x="1" s="1"/>
        <i x="0" s="1"/>
        <i x="4" s="1"/>
        <i x="5" s="1"/>
        <i x="3" s="1"/>
        <i x="7" s="1" nd="1"/>
        <i x="10" s="1" nd="1"/>
        <i x="6" s="1" nd="1"/>
        <i x="9" s="1" nd="1"/>
        <i x="8"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Geschlecht" xr10:uid="{B2B6EEE2-CD19-4356-8063-EFA8FDFAC109}" sourceName="Geschlecht">
  <pivotTables>
    <pivotTable tabId="5" name="PivotTable7"/>
  </pivotTables>
  <data>
    <tabular pivotCacheId="2015273480">
      <items count="12">
        <i x="2" s="1"/>
        <i x="0" s="1"/>
        <i x="6" s="1"/>
        <i x="3" s="1"/>
        <i x="1" s="1"/>
        <i x="10" s="1" nd="1"/>
        <i x="9" s="1" nd="1"/>
        <i x="8" s="1" nd="1"/>
        <i x="4" s="1" nd="1"/>
        <i x="5" s="1" nd="1"/>
        <i x="11" s="1" nd="1"/>
        <i x="7"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Rolle1" xr10:uid="{3786333A-A5F3-4360-B1C0-9D93EB1A69D4}" sourceName="Rolle">
  <pivotTables>
    <pivotTable tabId="5" name="PivotTable7"/>
  </pivotTables>
  <data>
    <tabular pivotCacheId="2015273480">
      <items count="13">
        <i x="0" s="1"/>
        <i x="1" s="1"/>
        <i x="3" s="1" nd="1"/>
        <i x="5" s="1" nd="1"/>
        <i x="7" s="1" nd="1"/>
        <i x="6" s="1" nd="1"/>
        <i x="10" s="1" nd="1"/>
        <i x="4" s="1" nd="1"/>
        <i x="11" s="1" nd="1"/>
        <i x="12" s="1" nd="1"/>
        <i x="8" s="1" nd="1"/>
        <i x="9"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Stand" xr10:uid="{568F4E6B-A512-40A8-910D-D3BE30CDF28B}" sourceName="Stand">
  <pivotTables>
    <pivotTable tabId="4" name="PivotTable4"/>
  </pivotTables>
  <data>
    <tabular pivotCacheId="467440488">
      <items count="7">
        <i x="1" s="1"/>
        <i x="5" s="1"/>
        <i x="3" s="1"/>
        <i x="4" s="1"/>
        <i x="0" s="1"/>
        <i x="2" s="1"/>
        <i x="6"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Stand1" xr10:uid="{7FB71C8C-ED7B-49B1-A2C6-6D4869F360B5}" sourceName="Stand">
  <pivotTables>
    <pivotTable tabId="5" name="PivotTable7"/>
  </pivotTables>
  <data>
    <tabular pivotCacheId="2015273480">
      <items count="7">
        <i x="1" s="1"/>
        <i x="5" s="1"/>
        <i x="3" s="1"/>
        <i x="4" s="1"/>
        <i x="0" s="1"/>
        <i x="2" s="1"/>
        <i x="6"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Geschlecht2" xr10:uid="{B2F99A7F-22DE-488C-9911-7B66053969B2}" sourceName="Geschlecht">
  <pivotTables>
    <pivotTable tabId="6" name="PivotTable25"/>
  </pivotTables>
  <data>
    <tabular pivotCacheId="1076890806">
      <items count="12">
        <i x="2" s="1"/>
        <i x="0" s="1"/>
        <i x="6" s="1"/>
        <i x="4" s="1"/>
        <i x="5" s="1"/>
        <i x="3" s="1"/>
        <i x="1" s="1"/>
        <i x="10" s="1" nd="1"/>
        <i x="9" s="1" nd="1"/>
        <i x="8" s="1" nd="1"/>
        <i x="11" s="1" nd="1"/>
        <i x="7"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Alter2" xr10:uid="{C0B2BE7C-0D4A-47EB-AAB4-FDC7280C4CA5}" sourceName="Alter">
  <pivotTables>
    <pivotTable tabId="6" name="PivotTable25"/>
  </pivotTables>
  <data>
    <tabular pivotCacheId="1076890806">
      <items count="11">
        <i x="2" s="1"/>
        <i x="1" s="1"/>
        <i x="0" s="1"/>
        <i x="4" s="1"/>
        <i x="5" s="1"/>
        <i x="3" s="1"/>
        <i x="7" s="1" nd="1"/>
        <i x="10" s="1" nd="1"/>
        <i x="6" s="1" nd="1"/>
        <i x="9" s="1" nd="1"/>
        <i x="8"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Stand2" xr10:uid="{0E18DA8F-16F3-4C6F-8908-632FC6785371}" sourceName="Stand">
  <pivotTables>
    <pivotTable tabId="6" name="PivotTable25"/>
  </pivotTables>
  <data>
    <tabular pivotCacheId="1076890806">
      <items count="7">
        <i x="1" s="1"/>
        <i x="5" s="1"/>
        <i x="3" s="1"/>
        <i x="4" s="1"/>
        <i x="0" s="1"/>
        <i x="2" s="1"/>
        <i x="6"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Geschlecht1" xr10:uid="{A4F4F579-B40C-4E56-A97C-3BD085E7308D}" sourceName="Geschlecht">
  <pivotTables>
    <pivotTable tabId="14" name="PivotTable9"/>
  </pivotTables>
  <data>
    <tabular pivotCacheId="758374041">
      <items count="13">
        <i x="2" s="1"/>
        <i x="0" s="1"/>
        <i x="4" s="1"/>
        <i x="5" s="1"/>
        <i x="3" s="1"/>
        <i x="1" s="1"/>
        <i x="11" s="1" nd="1"/>
        <i x="10" s="1" nd="1"/>
        <i x="9" s="1" nd="1"/>
        <i x="6" s="1" nd="1"/>
        <i x="12" s="1" nd="1"/>
        <i x="8" s="1" nd="1"/>
        <i x="7"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Alter1" xr10:uid="{AB78EE93-450B-47EA-8704-F7CC74C43089}" sourceName="Alter">
  <pivotTables>
    <pivotTable tabId="14" name="PivotTable9"/>
  </pivotTables>
  <data>
    <tabular pivotCacheId="758374041">
      <items count="12">
        <i x="2" s="1"/>
        <i x="1" s="1"/>
        <i x="0" s="1"/>
        <i x="4" s="1"/>
        <i x="5" s="1"/>
        <i x="3" s="1"/>
        <i x="8" s="1" nd="1"/>
        <i x="11" s="1" nd="1"/>
        <i x="6" s="1" nd="1"/>
        <i x="10" s="1" nd="1"/>
        <i x="9" s="1" nd="1"/>
        <i x="7"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Rolle2" xr10:uid="{0B8C6FDD-D90C-4041-BCDB-24DD76414291}" sourceName="Rolle">
  <pivotTables>
    <pivotTable tabId="14" name="PivotTable9"/>
  </pivotTables>
  <data>
    <tabular pivotCacheId="758374041">
      <items count="13">
        <i x="0" s="1"/>
        <i x="1"/>
        <i x="5" nd="1"/>
        <i x="7" nd="1"/>
        <i x="6" nd="1"/>
        <i x="10" nd="1"/>
        <i x="4" nd="1"/>
        <i x="11" nd="1"/>
        <i x="12" nd="1"/>
        <i x="8" nd="1"/>
        <i x="9" nd="1"/>
        <i x="3" nd="1"/>
        <i x="2" nd="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schlecht" xr10:uid="{1625F4A8-0F5E-4605-A23F-B9C67964C0DB}" sourceName="Geschlecht">
  <pivotTables>
    <pivotTable tabId="20" name="PivotTable7"/>
  </pivotTables>
  <data>
    <tabular pivotCacheId="1812369884">
      <items count="12">
        <i x="2" s="1"/>
        <i x="0" s="1"/>
        <i x="6" s="1"/>
        <i x="4" s="1"/>
        <i x="5" s="1"/>
        <i x="3" s="1"/>
        <i x="1" s="1"/>
        <i x="10" s="1" nd="1"/>
        <i x="9" s="1" nd="1"/>
        <i x="8" s="1" nd="1"/>
        <i x="11" s="1" nd="1"/>
        <i x="7" s="1" nd="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lter" xr10:uid="{16445D8F-57E0-4381-BB68-767D29621F67}" sourceName="Alter">
  <pivotTables>
    <pivotTable tabId="20" name="PivotTable7"/>
  </pivotTables>
  <data>
    <tabular pivotCacheId="1812369884">
      <items count="11">
        <i x="2" s="1"/>
        <i x="1" s="1"/>
        <i x="0" s="1"/>
        <i x="4" s="1"/>
        <i x="5" s="1"/>
        <i x="3" s="1"/>
        <i x="7" s="1" nd="1"/>
        <i x="10" s="1" nd="1"/>
        <i x="6" s="1" nd="1"/>
        <i x="9" s="1" nd="1"/>
        <i x="8" s="1" nd="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lle" xr10:uid="{F19B9C5B-3F82-4936-B9B4-041BD43FBB03}" sourceName="Rolle">
  <pivotTables>
    <pivotTable tabId="20" name="PivotTable7"/>
  </pivotTables>
  <data>
    <tabular pivotCacheId="1812369884">
      <items count="12">
        <i x="0" s="1"/>
        <i x="1" s="1"/>
        <i x="4" s="1" nd="1"/>
        <i x="6" s="1" nd="1"/>
        <i x="5" s="1" nd="1"/>
        <i x="9" s="1" nd="1"/>
        <i x="3" s="1" nd="1"/>
        <i x="10" s="1" nd="1"/>
        <i x="11" s="1" nd="1"/>
        <i x="7" s="1" nd="1"/>
        <i x="8" s="1" nd="1"/>
        <i x="2" s="1" nd="1"/>
      </items>
    </tabular>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nd" xr10:uid="{8E3310FF-8497-4459-867F-D08C4F824B9E}" sourceName="Stand">
  <pivotTables>
    <pivotTable tabId="20" name="PivotTable7"/>
  </pivotTables>
  <data>
    <tabular pivotCacheId="1812369884">
      <items count="7">
        <i x="1" s="1"/>
        <i x="5" s="1"/>
        <i x="3" s="1"/>
        <i x="4" s="1"/>
        <i x="0" s="1"/>
        <i x="2" s="1"/>
        <i x="6" s="1" nd="1"/>
      </items>
    </tabular>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onstellation" xr10:uid="{D454AA8E-B0BF-415A-9646-52C5E517E035}" sourceName="Konstellation">
  <pivotTables>
    <pivotTable tabId="20" name="PivotTable7"/>
  </pivotTables>
  <data>
    <tabular pivotCacheId="1812369884">
      <items count="5">
        <i x="3" s="1"/>
        <i x="2" s="1"/>
        <i x="0" s="1"/>
        <i x="1" s="1"/>
        <i x="4" s="1" nd="1"/>
      </items>
    </tabular>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Figurenkonstellation" xr10:uid="{E65BBDBB-C62F-4182-9DDB-83C3F2D40800}" sourceName="Figurenkonstellation">
  <pivotTables>
    <pivotTable tabId="20" name="PivotTable7"/>
  </pivotTables>
  <data>
    <tabular pivotCacheId="1812369884">
      <items count="4">
        <i x="1" s="1"/>
        <i x="2" s="1"/>
        <i x="3" s="1"/>
        <i x="0" s="1"/>
      </items>
    </tabular>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Bezeichnung21" xr10:uid="{58022CB9-7774-4070-ACC3-1734C74B999D}" sourceName="Bezeichnung2">
  <pivotTables>
    <pivotTable tabId="4" name="PivotTable4"/>
  </pivotTables>
  <data>
    <tabular pivotCacheId="467440488">
      <items count="18">
        <i x="14" s="1"/>
        <i x="5" s="1"/>
        <i x="4" s="1"/>
        <i x="12" s="1"/>
        <i x="1" s="1"/>
        <i x="17" s="1"/>
        <i x="0" s="1"/>
        <i x="10" s="1"/>
        <i x="13" s="1"/>
        <i x="6" s="1"/>
        <i x="2" s="1"/>
        <i x="11" s="1"/>
        <i x="9" s="1"/>
        <i x="8" s="1"/>
        <i x="16" s="1"/>
        <i x="3" s="1"/>
        <i x="7" s="1"/>
        <i x="15" s="1" nd="1"/>
      </items>
    </tabular>
  </data>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Bezeichnung22" xr10:uid="{3747F21F-F7D5-4EC9-8B2C-C87732386CDE}" sourceName="Bezeichnung2">
  <pivotTables>
    <pivotTable tabId="5" name="PivotTable7"/>
  </pivotTables>
  <data>
    <tabular pivotCacheId="2015273480">
      <items count="18">
        <i x="14" s="1"/>
        <i x="5" s="1"/>
        <i x="4" s="1"/>
        <i x="12" s="1"/>
        <i x="1" s="1"/>
        <i x="17" s="1"/>
        <i x="0" s="1"/>
        <i x="10" s="1"/>
        <i x="13" s="1"/>
        <i x="6" s="1"/>
        <i x="2" s="1"/>
        <i x="11" s="1"/>
        <i x="9" s="1"/>
        <i x="8" s="1"/>
        <i x="16" s="1"/>
        <i x="3" s="1"/>
        <i x="7" s="1"/>
        <i x="15" s="1" nd="1"/>
      </items>
    </tabular>
  </data>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Bezeichnung23" xr10:uid="{4986825B-8BA2-40B1-BAFA-FF118DFF118F}" sourceName="Bezeichnung2">
  <pivotTables>
    <pivotTable tabId="6" name="PivotTable25"/>
  </pivotTables>
  <data>
    <tabular pivotCacheId="1076890806">
      <items count="18">
        <i x="14" s="1"/>
        <i x="5" s="1"/>
        <i x="4" s="1"/>
        <i x="12" s="1"/>
        <i x="1" s="1"/>
        <i x="17" s="1"/>
        <i x="0" s="1"/>
        <i x="10" s="1"/>
        <i x="13" s="1"/>
        <i x="6" s="1"/>
        <i x="2" s="1"/>
        <i x="11" s="1"/>
        <i x="9" s="1"/>
        <i x="8" s="1"/>
        <i x="15" s="1"/>
        <i x="16" s="1"/>
        <i x="3" s="1"/>
        <i x="7" s="1"/>
      </items>
    </tabular>
  </data>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Bezeichnung2" xr10:uid="{D348948E-44B8-4BE1-87BB-5FF4680CED76}" sourceName="Bezeichnung2">
  <pivotTables>
    <pivotTable tabId="14" name="PivotTable9"/>
  </pivotTables>
  <data>
    <tabular pivotCacheId="758374041">
      <items count="18">
        <i x="14" s="1"/>
        <i x="5" s="1"/>
        <i x="4" s="1"/>
        <i x="1" s="1"/>
        <i x="17" s="1"/>
        <i x="0" s="1"/>
        <i x="10" s="1"/>
        <i x="6" s="1"/>
        <i x="11" s="1"/>
        <i x="9" s="1"/>
        <i x="8" s="1"/>
        <i x="16" s="1"/>
        <i x="3" s="1"/>
        <i x="7" s="1"/>
        <i x="12" s="1" nd="1"/>
        <i x="13" s="1" nd="1"/>
        <i x="2" s="1" nd="1"/>
        <i x="15" s="1" nd="1"/>
      </items>
    </tabular>
  </data>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Figurenkonstellation1" xr10:uid="{B2A19E2F-5988-474E-B35F-0DDFF86D7C26}" sourceName="Figurenkonstellation">
  <pivotTables>
    <pivotTable tabId="14" name="PivotTable9"/>
  </pivotTables>
  <data>
    <tabular pivotCacheId="758374041">
      <items count="4">
        <i x="1" s="1"/>
        <i x="2" s="1"/>
        <i x="3" s="1"/>
        <i x="0" s="1"/>
      </items>
    </tabular>
  </data>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Figurenkonstellation2" xr10:uid="{FBF56147-9301-4EBE-BF0D-3E5F21394D23}" sourceName="Figurenkonstellation">
  <pivotTables>
    <pivotTable tabId="5" name="PivotTable7"/>
  </pivotTables>
  <data>
    <tabular pivotCacheId="2015273480">
      <items count="4">
        <i x="1" s="1"/>
        <i x="2" s="1"/>
        <i x="3" s="1"/>
        <i x="0" s="1"/>
      </items>
    </tabular>
  </data>
</slicerCacheDefinition>
</file>

<file path=xl/slicerCaches/slicerCache2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Figurenkonstellation3" xr10:uid="{447C1377-5290-4C29-BFC4-7876DAA80D66}" sourceName="Figurenkonstellation">
  <pivotTables>
    <pivotTable tabId="6" name="PivotTable25"/>
  </pivotTables>
  <data>
    <tabular pivotCacheId="1076890806">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lle" xr10:uid="{3D7B3F78-C479-43A8-8AD9-C736D0B5C770}" cache="Datenschnitt_Rolle" caption="Rolle" rowHeight="234950"/>
  <slicer name="Alter" xr10:uid="{1B870309-4E9F-4A12-A235-EF922F34F17A}" cache="Datenschnitt_Alter" caption="Alter" rowHeight="234950"/>
  <slicer name="Stand" xr10:uid="{C7681828-F6C7-4A01-BE12-E1E9898B57CD}" cache="Datenschnitt_Stand" caption="Stand" rowHeight="234950"/>
  <slicer name="Bezeichnung2" xr10:uid="{417637CD-C8DD-4A07-B946-325AC4ADBC07}" cache="Datenschnitt_Bezeichnung21" caption="Bezeichnung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schlecht" xr10:uid="{051CA6AA-1FB1-4F51-8394-16A897BE4BDE}" cache="Datenschnitt_Geschlecht" caption="Geschlecht" rowHeight="234950"/>
  <slicer name="Rolle 1" xr10:uid="{C9EA2EF7-1B45-4619-9F8E-43F4AE2FFB3B}" cache="Datenschnitt_Rolle1" caption="Rolle" rowHeight="234950"/>
  <slicer name="Stand 1" xr10:uid="{2581A1A8-A663-4A07-B3A6-7032E2C6A4E3}" cache="Datenschnitt_Stand1" caption="Stand" rowHeight="234950"/>
  <slicer name="Bezeichnung2 1" xr10:uid="{117B3EE9-F10E-4E9C-B949-C20CB2BE6A1C}" cache="Datenschnitt_Bezeichnung22" caption="Bezeichnung2" startItem="7" rowHeight="234950"/>
  <slicer name="Figurenkonstellation 2" xr10:uid="{7E9C5B70-C65B-4350-9F28-F47472FA24B6}" cache="Datenschnitt_Figurenkonstellation2" caption="Figurenkonstellation"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schlecht 1" xr10:uid="{DD58590F-5206-41A8-9B3C-53E3526C17F6}" cache="Datenschnitt_Geschlecht1" caption="Geschlecht" rowHeight="234950"/>
  <slicer name="Alter 1" xr10:uid="{A598CBF2-BF9F-484C-A1E6-48FB46067FFE}" cache="Datenschnitt_Alter1" caption="Alter" rowHeight="234950"/>
  <slicer name="Rolle 2" xr10:uid="{FBCA6C17-0AA2-4153-B31C-5B215FF39766}" cache="Datenschnitt_Rolle2" caption="Rolle" rowHeight="234950"/>
  <slicer name="Bezeichnung2 3" xr10:uid="{7D1E5003-A452-4F61-A6CB-67FE3A56339A}" cache="Datenschnitt_Bezeichnung2" caption="Bezeichnung2" startItem="4" rowHeight="234950"/>
  <slicer name="Figurenkonstellation 1" xr10:uid="{DC4AC5AD-4872-4FBA-96C7-3DE3821B8CF4}" cache="Datenschnitt_Figurenkonstellation1" caption="Figurenkonstellation"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schlecht 3" xr10:uid="{FA8E403B-5231-4309-8D0A-4016C9215D47}" cache="Slicer_Geschlecht" caption="Geschlecht" rowHeight="234950"/>
  <slicer name="Alter 3" xr10:uid="{AE97DC34-B3F4-49C6-BF45-A9A4675A7E81}" cache="Slicer_Alter" caption="Alter" rowHeight="234950"/>
  <slicer name="Rolle 3" xr10:uid="{B5E700ED-0DF8-4987-B1F1-6A2DE053357D}" cache="Slicer_Rolle" caption="Rolle" rowHeight="234950"/>
  <slicer name="Stand 3" xr10:uid="{2B2A4F17-6E7C-426D-A51F-A66FDDE2FE53}" cache="Slicer_Stand" caption="Stand" rowHeight="234950"/>
  <slicer name="Konstellation 4" xr10:uid="{75899C2F-9D1F-41D4-8EC3-BD6E7DC97A36}" cache="Slicer_Konstellation" caption="Konstellation" rowHeight="234950"/>
  <slicer name="Figurenkonstellation" xr10:uid="{32BDE680-ECFE-4982-AD78-03DB353FB7EF}" cache="Datenschnitt_Figurenkonstellation" caption="Figurenkonstellation"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schlecht 2" xr10:uid="{DE77FCF1-2314-45FE-9674-A8A00694AF7E}" cache="Datenschnitt_Geschlecht2" caption="Geschlecht" rowHeight="234950"/>
  <slicer name="Alter 2" xr10:uid="{9A5F49D9-5367-4804-901B-673FD5336AEF}" cache="Datenschnitt_Alter2" caption="Alter" rowHeight="234950"/>
  <slicer name="Stand 2" xr10:uid="{01CE8E56-21E5-4D6F-98F7-0FCDA109878D}" cache="Datenschnitt_Stand2" caption="Stand" rowHeight="234950"/>
  <slicer name="Bezeichnung2 2" xr10:uid="{51AFF0C3-0548-4CFC-8135-5AADCF6175E6}" cache="Datenschnitt_Bezeichnung23" caption="Bezeichnung2" startItem="5" rowHeight="234950"/>
  <slicer name="Figurenkonstellation 3" xr10:uid="{EFF4B5D0-3B80-4177-80E9-17D700BAC635}" cache="Datenschnitt_Figurenkonstellation3" caption="Figurenkonstellation"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CDCACEB-9C3E-4A14-93F4-90A33655299C}" name="Tabelle5" displayName="Tabelle5" ref="A1:K83" totalsRowShown="0" headerRowDxfId="52" dataDxfId="50" headerRowBorderDxfId="51" tableBorderDxfId="49">
  <autoFilter ref="A1:K83" xr:uid="{ACDCACEB-9C3E-4A14-93F4-90A33655299C}"/>
  <tableColumns count="11">
    <tableColumn id="1" xr3:uid="{39DC8D7D-BB8F-451D-BABE-F7CF0BEE53E9}" name="Name" dataDxfId="48"/>
    <tableColumn id="2" xr3:uid="{E546DC1E-7D6E-48B4-982B-9E000EE45813}" name="Degree Durchschnitt" dataDxfId="47">
      <calculatedColumnFormula>VLOOKUP(Tabelle5[[#This Row],[Name]],Durchschnitt!$A$1:$B$832,2,FALSE)</calculatedColumnFormula>
    </tableColumn>
    <tableColumn id="3" xr3:uid="{FF1BB590-536B-463E-854A-F20437B655A5}" name="Betweenness Durchschnitt" dataDxfId="46">
      <calculatedColumnFormula>VLOOKUP(Tabelle5[[#This Row],[Name]],Durchschnitt!$A$1:$C$832,3,FALSE)</calculatedColumnFormula>
    </tableColumn>
    <tableColumn id="4" xr3:uid="{5D31DA7F-ABC5-47B8-9171-854EE627323C}" name="Closeness Durchschnitt" dataDxfId="45">
      <calculatedColumnFormula>VLOOKUP(Tabelle5[[#This Row],[Name]],Durchschnitt!$A$1:$D$832,4,FALSE)</calculatedColumnFormula>
    </tableColumn>
    <tableColumn id="5" xr3:uid="{2C3F82C8-A301-4FFA-9464-BD89FA6F8B2D}" name="Eigenvector Durchschnitt" dataDxfId="44">
      <calculatedColumnFormula>VLOOKUP(Tabelle5[[#This Row],[Name]],Durchschnitt!$A$1:$E$832,5,FALSE)</calculatedColumnFormula>
    </tableColumn>
    <tableColumn id="6" xr3:uid="{2370D709-4370-45FD-B9D5-D5B3799CC5B3}" name="Label" dataDxfId="43"/>
    <tableColumn id="7" xr3:uid="{0E06DCC2-2D05-4612-A981-155A40A62AF3}" name="Betrüger" dataDxfId="42"/>
    <tableColumn id="8" xr3:uid="{2DE1A1A8-944C-4FD8-8D4E-C999A35BE8D8}" name="Betrogener" dataDxfId="41"/>
    <tableColumn id="9" xr3:uid="{2D7D539E-19B1-4FC6-BDC9-DF0686BCA9A7}" name="Liebender" dataDxfId="40"/>
    <tableColumn id="10" xr3:uid="{F7080A37-3CA4-4996-9B31-8B1CF29A2849}" name="Liebende" dataDxfId="39"/>
    <tableColumn id="11" xr3:uid="{1071CE75-1C08-435A-9291-FF3DB2A9454B}" name="Gegenspieler" dataDxfId="38"/>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D9F6009-23C1-4A01-810A-320D963C0112}" name="Metrics" displayName="Metrics" ref="A1:G569" tableType="queryTable" totalsRowCount="1">
  <autoFilter ref="A1:G568" xr:uid="{8D9F6009-23C1-4A01-810A-320D963C0112}"/>
  <sortState xmlns:xlrd2="http://schemas.microsoft.com/office/spreadsheetml/2017/richdata2" ref="A2:G568">
    <sortCondition ref="A1:A568"/>
  </sortState>
  <tableColumns count="7">
    <tableColumn id="1" xr3:uid="{032CF83B-A7AD-4F90-AC4A-DA5575A5F5AF}" uniqueName="1" name="Source.Name" queryTableFieldId="1" dataDxfId="63" totalsRowDxfId="62"/>
    <tableColumn id="3" xr3:uid="{C08A16B2-BCF7-4420-BDD7-6D96468BD10F}" uniqueName="3" name="name" totalsRowFunction="custom" queryTableFieldId="3">
      <totalsRowFormula>COUNTA(Metrics[name])</totalsRowFormula>
    </tableColumn>
    <tableColumn id="4" xr3:uid="{4CAACBB0-F1EF-42F7-A5F8-199879F671E8}" uniqueName="4" name="degree_centrality" queryTableFieldId="4" dataDxfId="61" totalsRowDxfId="60"/>
    <tableColumn id="5" xr3:uid="{B9704391-2369-4614-93FE-8AA0995AE111}" uniqueName="5" name="df_bet$betweenness_centrality" queryTableFieldId="5" dataDxfId="59" totalsRowDxfId="58"/>
    <tableColumn id="6" xr3:uid="{148C9E06-ED8E-427D-B486-CC8B54B0214D}" uniqueName="6" name="df_close$closeness_centrality" queryTableFieldId="6" dataDxfId="57" totalsRowDxfId="56"/>
    <tableColumn id="7" xr3:uid="{CD43CF1B-89E2-46CE-9A99-FB607913999D}" uniqueName="7" name="df_eigenv$eigenvector_centrality" queryTableFieldId="7" dataDxfId="55" totalsRowDxfId="54"/>
    <tableColumn id="8" xr3:uid="{C468B949-1A88-4734-932F-E384ADEC82C7}" uniqueName="8" name="Spalte1" queryTableFieldId="8" dataDxfId="5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077D9E4-6894-430B-B3C5-2EC18FD16B7A}" name="Tabelle6" displayName="Tabelle6" ref="A1:E832" totalsRowShown="0">
  <autoFilter ref="A1:E832" xr:uid="{9077D9E4-6894-430B-B3C5-2EC18FD16B7A}"/>
  <tableColumns count="5">
    <tableColumn id="1" xr3:uid="{2E3604DC-892C-412A-81D3-170A13067DDE}" name="Source.Name" dataDxfId="37"/>
    <tableColumn id="2" xr3:uid="{380E0265-EE6F-4B71-BD73-EEAEA6FBA1EB}" name="degree_centrality" dataDxfId="36"/>
    <tableColumn id="3" xr3:uid="{3270E8E7-B573-4839-9830-BF66D3C1FD1B}" name="df_bet$betweenness_centrality" dataDxfId="35"/>
    <tableColumn id="4" xr3:uid="{0310818A-D526-40BC-BA61-F5525A68529C}" name="df_close$closeness_centrality" dataDxfId="34"/>
    <tableColumn id="5" xr3:uid="{BE35E6A6-01D2-4597-B443-C08F8DF1521F}" name="df_eigenv$eigenvector_centrality" dataDxfId="33"/>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Nodes" displayName="Nodes" ref="A1:T569" tableType="queryTable" totalsRowCount="1">
  <autoFilter ref="A1:T568" xr:uid="{00000000-0009-0000-0100-000001000000}"/>
  <sortState xmlns:xlrd2="http://schemas.microsoft.com/office/spreadsheetml/2017/richdata2" ref="A2:T568">
    <sortCondition ref="A1:A568"/>
  </sortState>
  <tableColumns count="20">
    <tableColumn id="1" xr3:uid="{00000000-0010-0000-0000-000001000000}" uniqueName="1" name="Source.Name" queryTableFieldId="1" dataDxfId="32"/>
    <tableColumn id="2" xr3:uid="{00000000-0010-0000-0000-000002000000}" uniqueName="2" name="Name" totalsRowFunction="custom" queryTableFieldId="2" dataDxfId="31">
      <totalsRowFormula>COUNTA(Nodes[Name])</totalsRowFormula>
    </tableColumn>
    <tableColumn id="3" xr3:uid="{00000000-0010-0000-0000-000003000000}" uniqueName="3" name="Geschlecht" queryTableFieldId="3" dataDxfId="30"/>
    <tableColumn id="4" xr3:uid="{00000000-0010-0000-0000-000004000000}" uniqueName="4" name="Stand:Beruf" queryTableFieldId="4" dataDxfId="29"/>
    <tableColumn id="5" xr3:uid="{00000000-0010-0000-0000-000005000000}" uniqueName="5" name="Alter" queryTableFieldId="5" dataDxfId="28"/>
    <tableColumn id="6" xr3:uid="{00000000-0010-0000-0000-000006000000}" uniqueName="6" name="Bezeichnung" queryTableFieldId="6" dataDxfId="27"/>
    <tableColumn id="7" xr3:uid="{00000000-0010-0000-0000-000007000000}" uniqueName="7" name="Rolle" queryTableFieldId="7" dataDxfId="26"/>
    <tableColumn id="8" xr3:uid="{3530B920-F3CC-44A8-AACF-88B391AE4890}" uniqueName="8" name="Stand" queryTableFieldId="8" dataDxfId="25">
      <calculatedColumnFormula>IF(LEFT(D2,4)="adel","adel",IF(LEFT(D2,11)="buergerlich","buergerlich",IF(LEFT(D2,6)="klerus","klerus",IF(D2="NA","NA",IF(LEFT(D2,9)="unbekannt","unbekannt",IF(LEFT(D2,5)="bauer","bauer","not found"))))))</calculatedColumnFormula>
    </tableColumn>
    <tableColumn id="9" xr3:uid="{17CD263D-1590-4040-ACD2-C5EC270B105B}" uniqueName="9" name="Konstellation" totalsRowLabel="Average" queryTableFieldId="9" dataDxfId="24">
      <calculatedColumnFormula array="1">_xlfn.SWITCH(A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calculatedColumnFormula>
    </tableColumn>
    <tableColumn id="10" xr3:uid="{25E191D9-F023-4A91-BD01-EB4EC5D6566D}" uniqueName="10" name="degree_centrality" totalsRowFunction="average" queryTableFieldId="10" dataDxfId="23" totalsRowDxfId="22">
      <calculatedColumnFormula>IF(AND(B2=Werte!B2,LEFT(A2,5)=LEFT(Werte!A2,5)),Werte!C2,"not found")</calculatedColumnFormula>
    </tableColumn>
    <tableColumn id="11" xr3:uid="{6AFF4D36-D107-400C-B799-26DB84DAE239}" uniqueName="11" name="betweenness_centrality" totalsRowFunction="average" queryTableFieldId="11" dataDxfId="21" totalsRowDxfId="20">
      <calculatedColumnFormula>IF(AND(B2=Werte!B2,LEFT(A2,5)=LEFT(Werte!A2,5)),Werte!D2,"not found")</calculatedColumnFormula>
    </tableColumn>
    <tableColumn id="12" xr3:uid="{4CB83F89-91DE-4962-90C0-D615DBF67F8D}" uniqueName="12" name="closeness_centrality" totalsRowFunction="average" queryTableFieldId="12" dataDxfId="19" totalsRowDxfId="18">
      <calculatedColumnFormula>IF(AND(B2=Werte!B2,LEFT(A2,5)=LEFT(Werte!A2,5)),Werte!E2,"not found")</calculatedColumnFormula>
    </tableColumn>
    <tableColumn id="13" xr3:uid="{4BBB0B99-F6C0-4C45-B391-F171A929AAEB}" uniqueName="13" name="eigenvector_centrality" totalsRowFunction="average" queryTableFieldId="13" dataDxfId="17" totalsRowDxfId="16">
      <calculatedColumnFormula>IF(AND(B2=Werte!B2,LEFT(A2,5)=LEFT(Werte!A2,5)),Werte!F2,"not found")</calculatedColumnFormula>
    </tableColumn>
    <tableColumn id="14" xr3:uid="{05BC53A8-485C-49E6-B3F7-ED983CEE1965}" uniqueName="14" name="Bezeichnung2" queryTableFieldId="15" dataDxfId="15" totalsRowDxfId="14">
      <calculatedColumnFormula>IF(RIGHT(F2,10)="betrogener","betrogener",IF(RIGHT(F2,9)="betrueger","betrueger",F2))</calculatedColumnFormula>
    </tableColumn>
    <tableColumn id="15" xr3:uid="{E9640EC1-8294-4535-B3F4-274838AC634E}" uniqueName="15" name="Figurenkonstellation" queryTableFieldId="16" dataDxfId="13">
      <calculatedColumnFormula array="1">_xlfn.SWITCH(A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calculatedColumnFormula>
    </tableColumn>
    <tableColumn id="16" xr3:uid="{74574609-D724-4B6D-AA37-AC76AF65E685}" uniqueName="16" name="Betrüger" totalsRowFunction="sum" queryTableFieldId="17" dataDxfId="12" totalsRowDxfId="11">
      <calculatedColumnFormula>IF(Nodes[[#This Row],[Bezeichnung2]] = "betrueger",1,"")</calculatedColumnFormula>
    </tableColumn>
    <tableColumn id="17" xr3:uid="{E5545204-C59A-44E1-A32B-2FACD1587CE8}" uniqueName="17" name="Betrogener" totalsRowFunction="sum" queryTableFieldId="18" dataDxfId="10" totalsRowDxfId="9">
      <calculatedColumnFormula>IF(Nodes[[#This Row],[Bezeichnung2]] = "betrogener",2,"")</calculatedColumnFormula>
    </tableColumn>
    <tableColumn id="18" xr3:uid="{4AB62E24-ACFB-44D2-82A6-908D01150ACA}" uniqueName="18" name="Liebender" totalsRowFunction="sum" queryTableFieldId="19" dataDxfId="8" totalsRowDxfId="7">
      <calculatedColumnFormula>IF(Nodes[[#This Row],[Bezeichnung2]] = "liebender",3,"")</calculatedColumnFormula>
    </tableColumn>
    <tableColumn id="19" xr3:uid="{5F0E01B9-520B-435E-A4BA-475DC2F9BE22}" uniqueName="19" name="Liebende" totalsRowFunction="sum" queryTableFieldId="20" dataDxfId="6" totalsRowDxfId="5">
      <calculatedColumnFormula>IF(Nodes[[#This Row],[Bezeichnung2]] = "liebende",4,"")</calculatedColumnFormula>
    </tableColumn>
    <tableColumn id="20" xr3:uid="{A18DAE30-35BA-40EB-BAE1-F9263285FD4E}" uniqueName="20" name="Gegenspieler" totalsRowFunction="sum" queryTableFieldId="21" dataDxfId="4" totalsRowDxfId="3">
      <calculatedColumnFormula>IF(Nodes[[#This Row],[Bezeichnung2]] = "gegenspieler",5,"")</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4C3DD99-6EB3-4896-A3A2-E53B5622C0D4}" name="Adam_und_Eva_metrics" displayName="Adam_und_Eva_metrics" ref="A1:F4" tableType="queryTable" totalsRowShown="0">
  <autoFilter ref="A1:F4" xr:uid="{D4C3DD99-6EB3-4896-A3A2-E53B5622C0D4}"/>
  <tableColumns count="6">
    <tableColumn id="1" xr3:uid="{64A3C26B-D40F-409F-BB7F-6F8B7F980A5C}" uniqueName="1" name="Column1" queryTableFieldId="1" dataDxfId="2"/>
    <tableColumn id="2" xr3:uid="{98A6F299-FD7F-4FE5-960D-A655159E13CB}" uniqueName="2" name="name" queryTableFieldId="2" dataDxfId="1"/>
    <tableColumn id="3" xr3:uid="{F93E6152-6D77-4566-B94E-5B06579083A3}" uniqueName="3" name="degree_centrality" queryTableFieldId="3"/>
    <tableColumn id="4" xr3:uid="{F99B2EA6-7A13-4596-8C02-871FC60CAB01}" uniqueName="4" name="df_bet$betweenness_centrality" queryTableFieldId="4"/>
    <tableColumn id="5" xr3:uid="{14E8E60B-19B8-44D3-AA2C-A0AD6AFA7F6C}" uniqueName="5" name="df_close$closeness_centrality" queryTableFieldId="5"/>
    <tableColumn id="6" xr3:uid="{DF9EFD2F-8102-47BA-B510-3E9FDDF29998}" uniqueName="6" name="df_eigenv$eigenvector_centrality" queryTableFieldId="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386AF43-93E4-4EAA-B32E-5257CEF264CC}" name="Tabelle3" displayName="Tabelle3" ref="O21:P22" totalsRowShown="0">
  <autoFilter ref="O21:P22" xr:uid="{3386AF43-93E4-4EAA-B32E-5257CEF264CC}"/>
  <tableColumns count="2">
    <tableColumn id="1" xr3:uid="{BBE03672-9D37-4AB3-94A3-B9315DCE52C6}" name="Spalte1"/>
    <tableColumn id="2" xr3:uid="{1246DD23-D373-4AFE-AAE2-B6717D5B9816}" name="Spalte2" dataDxfId="0"/>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2.xml"/><Relationship Id="rId1" Type="http://schemas.openxmlformats.org/officeDocument/2006/relationships/pivotTable" Target="../pivotTables/pivotTable2.xml"/><Relationship Id="rId4" Type="http://schemas.microsoft.com/office/2007/relationships/slicer" Target="../slicers/slicer1.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2.bin"/><Relationship Id="rId1" Type="http://schemas.openxmlformats.org/officeDocument/2006/relationships/pivotTable" Target="../pivotTables/pivotTable5.xml"/><Relationship Id="rId4" Type="http://schemas.microsoft.com/office/2007/relationships/slicer" Target="../slicers/slicer4.xml"/></Relationships>
</file>

<file path=xl/worksheets/_rels/sheet12.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C4D59-84F2-4204-9094-BCFD4D5685B9}">
  <dimension ref="A1:K83"/>
  <sheetViews>
    <sheetView tabSelected="1" workbookViewId="0">
      <selection activeCell="B19" sqref="B19"/>
    </sheetView>
  </sheetViews>
  <sheetFormatPr baseColWidth="10" defaultRowHeight="14.4" x14ac:dyDescent="0.3"/>
  <cols>
    <col min="1" max="1" width="39.33203125" bestFit="1" customWidth="1"/>
    <col min="2" max="2" width="20.33203125" bestFit="1" customWidth="1"/>
    <col min="3" max="3" width="25.5546875" bestFit="1" customWidth="1"/>
    <col min="4" max="4" width="22.5546875" bestFit="1" customWidth="1"/>
    <col min="5" max="5" width="24.44140625" bestFit="1" customWidth="1"/>
    <col min="6" max="6" width="7.6640625" style="20" bestFit="1" customWidth="1"/>
  </cols>
  <sheetData>
    <row r="1" spans="1:11" x14ac:dyDescent="0.3">
      <c r="A1" s="16" t="s">
        <v>10</v>
      </c>
      <c r="B1" s="16" t="s">
        <v>825</v>
      </c>
      <c r="C1" s="17" t="s">
        <v>826</v>
      </c>
      <c r="D1" s="17" t="s">
        <v>827</v>
      </c>
      <c r="E1" s="17" t="s">
        <v>828</v>
      </c>
      <c r="F1" s="18" t="s">
        <v>829</v>
      </c>
      <c r="G1" s="17" t="s">
        <v>832</v>
      </c>
      <c r="H1" s="17" t="s">
        <v>833</v>
      </c>
      <c r="I1" s="17" t="s">
        <v>834</v>
      </c>
      <c r="J1" s="17" t="s">
        <v>835</v>
      </c>
      <c r="K1" s="17" t="s">
        <v>836</v>
      </c>
    </row>
    <row r="2" spans="1:11" x14ac:dyDescent="0.3">
      <c r="A2" s="12" t="s">
        <v>744</v>
      </c>
      <c r="B2" s="23">
        <f>VLOOKUP(Tabelle5[[#This Row],[Name]],Durchschnitt!$A$1:$B$832,2,FALSE)</f>
        <v>0</v>
      </c>
      <c r="C2" s="23">
        <f>VLOOKUP(Tabelle5[[#This Row],[Name]],Durchschnitt!$A$1:$C$832,3,FALSE)</f>
        <v>0</v>
      </c>
      <c r="D2" s="23">
        <f>VLOOKUP(Tabelle5[[#This Row],[Name]],Durchschnitt!$A$1:$D$832,4,FALSE)</f>
        <v>0</v>
      </c>
      <c r="E2" s="23">
        <f>VLOOKUP(Tabelle5[[#This Row],[Name]],Durchschnitt!$A$1:$E$832,5,FALSE)</f>
        <v>0</v>
      </c>
      <c r="F2" s="19">
        <v>4</v>
      </c>
      <c r="G2" s="13">
        <v>0</v>
      </c>
      <c r="H2" s="13">
        <v>0</v>
      </c>
      <c r="I2" s="13">
        <v>0</v>
      </c>
      <c r="J2" s="13">
        <v>0</v>
      </c>
      <c r="K2" s="13">
        <v>0</v>
      </c>
    </row>
    <row r="3" spans="1:11" x14ac:dyDescent="0.3">
      <c r="A3" s="14" t="s">
        <v>745</v>
      </c>
      <c r="B3" s="4">
        <f>VLOOKUP(Tabelle5[[#This Row],[Name]],Durchschnitt!$A$1:$B$832,2,FALSE)</f>
        <v>0.84444444444444411</v>
      </c>
      <c r="C3" s="4">
        <f>VLOOKUP(Tabelle5[[#This Row],[Name]],Durchschnitt!$A$1:$C$832,3,FALSE)</f>
        <v>0.14305555555555557</v>
      </c>
      <c r="D3" s="4">
        <f>VLOOKUP(Tabelle5[[#This Row],[Name]],Durchschnitt!$A$1:$D$832,4,FALSE)</f>
        <v>0.3748364702448187</v>
      </c>
      <c r="E3" s="4">
        <f>VLOOKUP(Tabelle5[[#This Row],[Name]],Durchschnitt!$A$1:$E$832,5,FALSE)</f>
        <v>0.35396395377804318</v>
      </c>
      <c r="F3" s="19">
        <v>1</v>
      </c>
      <c r="G3" s="13">
        <v>1</v>
      </c>
      <c r="H3" s="13">
        <v>4</v>
      </c>
      <c r="I3" s="13">
        <v>0</v>
      </c>
      <c r="J3" s="13">
        <v>0</v>
      </c>
      <c r="K3" s="13">
        <v>0</v>
      </c>
    </row>
    <row r="4" spans="1:11" x14ac:dyDescent="0.3">
      <c r="A4" s="12" t="s">
        <v>746</v>
      </c>
      <c r="B4" s="23">
        <f>VLOOKUP(Tabelle5[[#This Row],[Name]],Durchschnitt!$A$1:$B$832,2,FALSE)</f>
        <v>1.7333333333333332</v>
      </c>
      <c r="C4" s="23">
        <f>VLOOKUP(Tabelle5[[#This Row],[Name]],Durchschnitt!$A$1:$C$832,3,FALSE)</f>
        <v>0.15</v>
      </c>
      <c r="D4" s="23">
        <f>VLOOKUP(Tabelle5[[#This Row],[Name]],Durchschnitt!$A$1:$D$832,4,FALSE)</f>
        <v>0.30965330965330967</v>
      </c>
      <c r="E4" s="23">
        <f>VLOOKUP(Tabelle5[[#This Row],[Name]],Durchschnitt!$A$1:$E$832,5,FALSE)</f>
        <v>0.59848148230503906</v>
      </c>
      <c r="F4" s="19">
        <v>2</v>
      </c>
      <c r="G4" s="13">
        <v>0</v>
      </c>
      <c r="H4" s="13">
        <v>0</v>
      </c>
      <c r="I4" s="13">
        <v>3</v>
      </c>
      <c r="J4" s="13">
        <v>4</v>
      </c>
      <c r="K4" s="13">
        <v>5</v>
      </c>
    </row>
    <row r="5" spans="1:11" ht="13.8" customHeight="1" x14ac:dyDescent="0.3">
      <c r="A5" s="14" t="s">
        <v>747</v>
      </c>
      <c r="B5" s="4">
        <f>VLOOKUP(Tabelle5[[#This Row],[Name]],Durchschnitt!$A$1:$B$832,2,FALSE)</f>
        <v>1.3333333333333317</v>
      </c>
      <c r="C5" s="4">
        <f>VLOOKUP(Tabelle5[[#This Row],[Name]],Durchschnitt!$A$1:$C$832,3,FALSE)</f>
        <v>0.33333333333333348</v>
      </c>
      <c r="D5" s="4">
        <f>VLOOKUP(Tabelle5[[#This Row],[Name]],Durchschnitt!$A$1:$D$832,4,FALSE)</f>
        <v>0.625</v>
      </c>
      <c r="E5" s="4">
        <f>VLOOKUP(Tabelle5[[#This Row],[Name]],Durchschnitt!$A$1:$E$832,5,FALSE)</f>
        <v>0.69078106431842068</v>
      </c>
      <c r="F5" s="19">
        <v>1</v>
      </c>
      <c r="G5" s="13">
        <v>1</v>
      </c>
      <c r="H5" s="13">
        <v>2</v>
      </c>
      <c r="I5" s="13">
        <v>0</v>
      </c>
      <c r="J5" s="13">
        <v>0</v>
      </c>
      <c r="K5" s="13">
        <v>0</v>
      </c>
    </row>
    <row r="6" spans="1:11" x14ac:dyDescent="0.3">
      <c r="A6" s="12" t="s">
        <v>748</v>
      </c>
      <c r="B6" s="23">
        <f>VLOOKUP(Tabelle5[[#This Row],[Name]],Durchschnitt!$A$1:$B$832,2,FALSE)</f>
        <v>1.6666666666666652</v>
      </c>
      <c r="C6" s="23">
        <f>VLOOKUP(Tabelle5[[#This Row],[Name]],Durchschnitt!$A$1:$C$832,3,FALSE)</f>
        <v>0.16666666666666674</v>
      </c>
      <c r="D6" s="23">
        <f>VLOOKUP(Tabelle5[[#This Row],[Name]],Durchschnitt!$A$1:$D$832,4,FALSE)</f>
        <v>0.37912087912087949</v>
      </c>
      <c r="E6" s="23">
        <f>VLOOKUP(Tabelle5[[#This Row],[Name]],Durchschnitt!$A$1:$E$832,5,FALSE)</f>
        <v>0.65517893964296303</v>
      </c>
      <c r="F6" s="19">
        <v>1</v>
      </c>
      <c r="G6" s="13">
        <v>0</v>
      </c>
      <c r="H6" s="13">
        <v>0</v>
      </c>
      <c r="I6" s="13">
        <v>0</v>
      </c>
      <c r="J6" s="13">
        <v>0</v>
      </c>
      <c r="K6" s="13">
        <v>5</v>
      </c>
    </row>
    <row r="7" spans="1:11" x14ac:dyDescent="0.3">
      <c r="A7" s="14" t="s">
        <v>749</v>
      </c>
      <c r="B7" s="4">
        <f>VLOOKUP(Tabelle5[[#This Row],[Name]],Durchschnitt!$A$1:$B$832,2,FALSE)</f>
        <v>1.4285714285714282</v>
      </c>
      <c r="C7" s="4">
        <f>VLOOKUP(Tabelle5[[#This Row],[Name]],Durchschnitt!$A$1:$C$832,3,FALSE)</f>
        <v>0.10952380952380937</v>
      </c>
      <c r="D7" s="4">
        <f>VLOOKUP(Tabelle5[[#This Row],[Name]],Durchschnitt!$A$1:$D$832,4,FALSE)</f>
        <v>0.32010277795328657</v>
      </c>
      <c r="E7" s="4">
        <f>VLOOKUP(Tabelle5[[#This Row],[Name]],Durchschnitt!$A$1:$E$832,5,FALSE)</f>
        <v>0.51583239022516747</v>
      </c>
      <c r="F7" s="19">
        <v>1</v>
      </c>
      <c r="G7" s="13">
        <v>2</v>
      </c>
      <c r="H7" s="13">
        <v>2</v>
      </c>
      <c r="I7" s="13">
        <v>0</v>
      </c>
      <c r="J7" s="13">
        <v>0</v>
      </c>
      <c r="K7" s="13">
        <v>0</v>
      </c>
    </row>
    <row r="8" spans="1:11" x14ac:dyDescent="0.3">
      <c r="A8" s="12" t="s">
        <v>750</v>
      </c>
      <c r="B8" s="23">
        <f>VLOOKUP(Tabelle5[[#This Row],[Name]],Durchschnitt!$A$1:$B$832,2,FALSE)</f>
        <v>1.2380952380952372</v>
      </c>
      <c r="C8" s="23">
        <f>VLOOKUP(Tabelle5[[#This Row],[Name]],Durchschnitt!$A$1:$C$832,3,FALSE)</f>
        <v>0.12857142857142853</v>
      </c>
      <c r="D8" s="23">
        <f>VLOOKUP(Tabelle5[[#This Row],[Name]],Durchschnitt!$A$1:$D$832,4,FALSE)</f>
        <v>0.29555018121957372</v>
      </c>
      <c r="E8" s="23">
        <f>VLOOKUP(Tabelle5[[#This Row],[Name]],Durchschnitt!$A$1:$E$832,5,FALSE)</f>
        <v>0.43118170822799412</v>
      </c>
      <c r="F8" s="19">
        <v>1</v>
      </c>
      <c r="G8" s="13">
        <v>1</v>
      </c>
      <c r="H8" s="13">
        <v>2</v>
      </c>
      <c r="I8" s="13">
        <v>0</v>
      </c>
      <c r="J8" s="13">
        <v>0</v>
      </c>
      <c r="K8" s="13">
        <v>0</v>
      </c>
    </row>
    <row r="9" spans="1:11" x14ac:dyDescent="0.3">
      <c r="A9" s="14" t="s">
        <v>751</v>
      </c>
      <c r="B9" s="4">
        <f>VLOOKUP(Tabelle5[[#This Row],[Name]],Durchschnitt!$A$1:$B$832,2,FALSE)</f>
        <v>0</v>
      </c>
      <c r="C9" s="4">
        <f>VLOOKUP(Tabelle5[[#This Row],[Name]],Durchschnitt!$A$1:$C$832,3,FALSE)</f>
        <v>0</v>
      </c>
      <c r="D9" s="4">
        <f>VLOOKUP(Tabelle5[[#This Row],[Name]],Durchschnitt!$A$1:$D$832,4,FALSE)</f>
        <v>0</v>
      </c>
      <c r="E9" s="4">
        <f>VLOOKUP(Tabelle5[[#This Row],[Name]],Durchschnitt!$A$1:$E$832,5,FALSE)</f>
        <v>0</v>
      </c>
      <c r="F9" s="19">
        <v>1</v>
      </c>
      <c r="G9" s="13">
        <v>0</v>
      </c>
      <c r="H9" s="13">
        <v>0</v>
      </c>
      <c r="I9" s="13">
        <v>0</v>
      </c>
      <c r="J9" s="13">
        <v>0</v>
      </c>
      <c r="K9" s="13">
        <v>0</v>
      </c>
    </row>
    <row r="10" spans="1:11" x14ac:dyDescent="0.3">
      <c r="A10" s="12" t="s">
        <v>752</v>
      </c>
      <c r="B10" s="23">
        <f>VLOOKUP(Tabelle5[[#This Row],[Name]],Durchschnitt!$A$1:$B$832,2,FALSE)</f>
        <v>1.6</v>
      </c>
      <c r="C10" s="23">
        <f>VLOOKUP(Tabelle5[[#This Row],[Name]],Durchschnitt!$A$1:$C$832,3,FALSE)</f>
        <v>0.2</v>
      </c>
      <c r="D10" s="23">
        <f>VLOOKUP(Tabelle5[[#This Row],[Name]],Durchschnitt!$A$1:$D$832,4,FALSE)</f>
        <v>0.37644869750132914</v>
      </c>
      <c r="E10" s="23">
        <f>VLOOKUP(Tabelle5[[#This Row],[Name]],Durchschnitt!$A$1:$E$832,5,FALSE)</f>
        <v>0.63458377547286715</v>
      </c>
      <c r="F10" s="19">
        <v>1</v>
      </c>
      <c r="G10" s="13">
        <v>1</v>
      </c>
      <c r="H10" s="13">
        <v>4</v>
      </c>
      <c r="I10" s="13">
        <v>0</v>
      </c>
      <c r="J10" s="13">
        <v>0</v>
      </c>
      <c r="K10" s="13">
        <v>0</v>
      </c>
    </row>
    <row r="11" spans="1:11" x14ac:dyDescent="0.3">
      <c r="A11" s="14" t="s">
        <v>753</v>
      </c>
      <c r="B11" s="4">
        <f>VLOOKUP(Tabelle5[[#This Row],[Name]],Durchschnitt!$A$1:$B$832,2,FALSE)</f>
        <v>0.4329004329004324</v>
      </c>
      <c r="C11" s="4">
        <f>VLOOKUP(Tabelle5[[#This Row],[Name]],Durchschnitt!$A$1:$C$832,3,FALSE)</f>
        <v>6.1940836940836984E-2</v>
      </c>
      <c r="D11" s="4">
        <f>VLOOKUP(Tabelle5[[#This Row],[Name]],Durchschnitt!$A$1:$D$832,4,FALSE)</f>
        <v>0.37095357283142172</v>
      </c>
      <c r="E11" s="4">
        <f>VLOOKUP(Tabelle5[[#This Row],[Name]],Durchschnitt!$A$1:$E$832,5,FALSE)</f>
        <v>0.24379939004969789</v>
      </c>
      <c r="F11" s="19">
        <v>4</v>
      </c>
      <c r="G11" s="13">
        <v>0</v>
      </c>
      <c r="H11" s="13">
        <v>0</v>
      </c>
      <c r="I11" s="13">
        <v>0</v>
      </c>
      <c r="J11" s="13">
        <v>0</v>
      </c>
      <c r="K11" s="13">
        <v>0</v>
      </c>
    </row>
    <row r="12" spans="1:11" x14ac:dyDescent="0.3">
      <c r="A12" s="12" t="s">
        <v>754</v>
      </c>
      <c r="B12" s="23">
        <f>VLOOKUP(Tabelle5[[#This Row],[Name]],Durchschnitt!$A$1:$B$832,2,FALSE)</f>
        <v>1.7333333333333332</v>
      </c>
      <c r="C12" s="23">
        <f>VLOOKUP(Tabelle5[[#This Row],[Name]],Durchschnitt!$A$1:$C$832,3,FALSE)</f>
        <v>9.4444444444444262E-2</v>
      </c>
      <c r="D12" s="23">
        <f>VLOOKUP(Tabelle5[[#This Row],[Name]],Durchschnitt!$A$1:$D$832,4,FALSE)</f>
        <v>0.68948412698412687</v>
      </c>
      <c r="E12" s="23">
        <f>VLOOKUP(Tabelle5[[#This Row],[Name]],Durchschnitt!$A$1:$E$832,5,FALSE)</f>
        <v>0.40187257476351484</v>
      </c>
      <c r="F12" s="19">
        <v>1</v>
      </c>
      <c r="G12" s="13">
        <v>1</v>
      </c>
      <c r="H12" s="13">
        <v>2</v>
      </c>
      <c r="I12" s="13">
        <v>0</v>
      </c>
      <c r="J12" s="13">
        <v>0</v>
      </c>
      <c r="K12" s="13">
        <v>0</v>
      </c>
    </row>
    <row r="13" spans="1:11" x14ac:dyDescent="0.3">
      <c r="A13" s="14" t="s">
        <v>755</v>
      </c>
      <c r="B13" s="4">
        <f>VLOOKUP(Tabelle5[[#This Row],[Name]],Durchschnitt!$A$1:$B$832,2,FALSE)</f>
        <v>1.4</v>
      </c>
      <c r="C13" s="4">
        <f>VLOOKUP(Tabelle5[[#This Row],[Name]],Durchschnitt!$A$1:$C$832,3,FALSE)</f>
        <v>0.20000000000000004</v>
      </c>
      <c r="D13" s="4">
        <f>VLOOKUP(Tabelle5[[#This Row],[Name]],Durchschnitt!$A$1:$D$832,4,FALSE)</f>
        <v>0.52857142857142847</v>
      </c>
      <c r="E13" s="4">
        <f>VLOOKUP(Tabelle5[[#This Row],[Name]],Durchschnitt!$A$1:$E$832,5,FALSE)</f>
        <v>0.59523997170895715</v>
      </c>
      <c r="F13" s="19">
        <v>1</v>
      </c>
      <c r="G13" s="13">
        <v>1</v>
      </c>
      <c r="H13" s="13">
        <v>2</v>
      </c>
      <c r="I13" s="13">
        <v>0</v>
      </c>
      <c r="J13" s="13">
        <v>0</v>
      </c>
      <c r="K13" s="13">
        <v>0</v>
      </c>
    </row>
    <row r="14" spans="1:11" x14ac:dyDescent="0.3">
      <c r="A14" s="12" t="s">
        <v>756</v>
      </c>
      <c r="B14" s="23">
        <f>VLOOKUP(Tabelle5[[#This Row],[Name]],Durchschnitt!$A$1:$B$832,2,FALSE)</f>
        <v>0.85714285714285643</v>
      </c>
      <c r="C14" s="23">
        <f>VLOOKUP(Tabelle5[[#This Row],[Name]],Durchschnitt!$A$1:$C$832,3,FALSE)</f>
        <v>0.17857142857142858</v>
      </c>
      <c r="D14" s="23">
        <f>VLOOKUP(Tabelle5[[#This Row],[Name]],Durchschnitt!$A$1:$D$832,4,FALSE)</f>
        <v>0.2010979595090065</v>
      </c>
      <c r="E14" s="23">
        <f>VLOOKUP(Tabelle5[[#This Row],[Name]],Durchschnitt!$A$1:$E$832,5,FALSE)</f>
        <v>0.42462772426877815</v>
      </c>
      <c r="F14" s="19">
        <v>3</v>
      </c>
      <c r="G14" s="13">
        <v>0</v>
      </c>
      <c r="H14" s="13">
        <v>0</v>
      </c>
      <c r="I14" s="13">
        <v>0</v>
      </c>
      <c r="J14" s="13">
        <v>0</v>
      </c>
      <c r="K14" s="13">
        <v>5</v>
      </c>
    </row>
    <row r="15" spans="1:11" x14ac:dyDescent="0.3">
      <c r="A15" s="14" t="s">
        <v>757</v>
      </c>
      <c r="B15" s="4">
        <f>VLOOKUP(Tabelle5[[#This Row],[Name]],Durchschnitt!$A$1:$B$832,2,FALSE)</f>
        <v>0</v>
      </c>
      <c r="C15" s="4">
        <f>VLOOKUP(Tabelle5[[#This Row],[Name]],Durchschnitt!$A$1:$C$832,3,FALSE)</f>
        <v>0</v>
      </c>
      <c r="D15" s="4">
        <f>VLOOKUP(Tabelle5[[#This Row],[Name]],Durchschnitt!$A$1:$D$832,4,FALSE)</f>
        <v>0</v>
      </c>
      <c r="E15" s="4">
        <f>VLOOKUP(Tabelle5[[#This Row],[Name]],Durchschnitt!$A$1:$E$832,5,FALSE)</f>
        <v>0</v>
      </c>
      <c r="F15" s="19">
        <v>1</v>
      </c>
      <c r="G15" s="13">
        <v>0</v>
      </c>
      <c r="H15" s="13">
        <v>0</v>
      </c>
      <c r="I15" s="13">
        <v>0</v>
      </c>
      <c r="J15" s="13">
        <v>0</v>
      </c>
      <c r="K15" s="13">
        <v>0</v>
      </c>
    </row>
    <row r="16" spans="1:11" x14ac:dyDescent="0.3">
      <c r="A16" s="12" t="s">
        <v>758</v>
      </c>
      <c r="B16" s="23">
        <f>VLOOKUP(Tabelle5[[#This Row],[Name]],Durchschnitt!$A$1:$B$832,2,FALSE)</f>
        <v>0</v>
      </c>
      <c r="C16" s="23">
        <f>VLOOKUP(Tabelle5[[#This Row],[Name]],Durchschnitt!$A$1:$C$832,3,FALSE)</f>
        <v>0</v>
      </c>
      <c r="D16" s="23">
        <f>VLOOKUP(Tabelle5[[#This Row],[Name]],Durchschnitt!$A$1:$D$832,4,FALSE)</f>
        <v>0</v>
      </c>
      <c r="E16" s="23">
        <f>VLOOKUP(Tabelle5[[#This Row],[Name]],Durchschnitt!$A$1:$E$832,5,FALSE)</f>
        <v>0</v>
      </c>
      <c r="F16" s="19">
        <v>1</v>
      </c>
      <c r="G16" s="13">
        <v>1</v>
      </c>
      <c r="H16" s="13">
        <v>2</v>
      </c>
      <c r="I16" s="13">
        <v>0</v>
      </c>
      <c r="J16" s="13">
        <v>0</v>
      </c>
      <c r="K16" s="13">
        <v>0</v>
      </c>
    </row>
    <row r="17" spans="1:11" x14ac:dyDescent="0.3">
      <c r="A17" s="14" t="s">
        <v>759</v>
      </c>
      <c r="B17" s="4">
        <f>VLOOKUP(Tabelle5[[#This Row],[Name]],Durchschnitt!$A$1:$B$832,2,FALSE)</f>
        <v>2</v>
      </c>
      <c r="C17" s="4">
        <f>VLOOKUP(Tabelle5[[#This Row],[Name]],Durchschnitt!$A$1:$C$832,3,FALSE)</f>
        <v>0.25</v>
      </c>
      <c r="D17" s="4">
        <f>VLOOKUP(Tabelle5[[#This Row],[Name]],Durchschnitt!$A$1:$D$832,4,FALSE)</f>
        <v>0.7</v>
      </c>
      <c r="E17" s="4">
        <f>VLOOKUP(Tabelle5[[#This Row],[Name]],Durchschnitt!$A$1:$E$832,5,FALSE)</f>
        <v>0.76544703742440479</v>
      </c>
      <c r="F17" s="19">
        <v>1</v>
      </c>
      <c r="G17" s="13">
        <v>2</v>
      </c>
      <c r="H17" s="13">
        <v>2</v>
      </c>
      <c r="I17" s="13">
        <v>0</v>
      </c>
      <c r="J17" s="13">
        <v>0</v>
      </c>
      <c r="K17" s="13">
        <v>0</v>
      </c>
    </row>
    <row r="18" spans="1:11" x14ac:dyDescent="0.3">
      <c r="A18" s="12" t="s">
        <v>760</v>
      </c>
      <c r="B18" s="23">
        <f>VLOOKUP(Tabelle5[[#This Row],[Name]],Durchschnitt!$A$1:$B$832,2,FALSE)</f>
        <v>1.5999999999999999</v>
      </c>
      <c r="C18" s="23">
        <f>VLOOKUP(Tabelle5[[#This Row],[Name]],Durchschnitt!$A$1:$C$832,3,FALSE)</f>
        <v>0.18333333333333335</v>
      </c>
      <c r="D18" s="23">
        <f>VLOOKUP(Tabelle5[[#This Row],[Name]],Durchschnitt!$A$1:$D$832,4,FALSE)</f>
        <v>0.57807239057239068</v>
      </c>
      <c r="E18" s="23">
        <f>VLOOKUP(Tabelle5[[#This Row],[Name]],Durchschnitt!$A$1:$E$832,5,FALSE)</f>
        <v>0.65953409504400373</v>
      </c>
      <c r="F18" s="19">
        <v>1</v>
      </c>
      <c r="G18" s="13">
        <v>1</v>
      </c>
      <c r="H18" s="13">
        <v>2</v>
      </c>
      <c r="I18" s="13">
        <v>0</v>
      </c>
      <c r="J18" s="13">
        <v>0</v>
      </c>
      <c r="K18" s="13">
        <v>0</v>
      </c>
    </row>
    <row r="19" spans="1:11" x14ac:dyDescent="0.3">
      <c r="A19" s="14" t="s">
        <v>761</v>
      </c>
      <c r="B19" s="4">
        <f>VLOOKUP(Tabelle5[[#This Row],[Name]],Durchschnitt!$A$1:$B$832,2,FALSE)</f>
        <v>2</v>
      </c>
      <c r="C19" s="4">
        <f>VLOOKUP(Tabelle5[[#This Row],[Name]],Durchschnitt!$A$1:$C$832,3,FALSE)</f>
        <v>7.5000000000000011E-2</v>
      </c>
      <c r="D19" s="4">
        <f>VLOOKUP(Tabelle5[[#This Row],[Name]],Durchschnitt!$A$1:$D$832,4,FALSE)</f>
        <v>0.49857549857549904</v>
      </c>
      <c r="E19" s="4">
        <f>VLOOKUP(Tabelle5[[#This Row],[Name]],Durchschnitt!$A$1:$E$832,5,FALSE)</f>
        <v>0.67669231038980104</v>
      </c>
      <c r="F19" s="19">
        <v>1</v>
      </c>
      <c r="G19" s="13">
        <v>0</v>
      </c>
      <c r="H19" s="13">
        <v>0</v>
      </c>
      <c r="I19" s="13">
        <v>0</v>
      </c>
      <c r="J19" s="13">
        <v>0</v>
      </c>
      <c r="K19" s="13">
        <v>0</v>
      </c>
    </row>
    <row r="20" spans="1:11" x14ac:dyDescent="0.3">
      <c r="A20" s="12" t="s">
        <v>762</v>
      </c>
      <c r="B20" s="23">
        <f>VLOOKUP(Tabelle5[[#This Row],[Name]],Durchschnitt!$A$1:$B$832,2,FALSE)</f>
        <v>1</v>
      </c>
      <c r="C20" s="23">
        <f>VLOOKUP(Tabelle5[[#This Row],[Name]],Durchschnitt!$A$1:$C$832,3,FALSE)</f>
        <v>0.26666666666666661</v>
      </c>
      <c r="D20" s="23">
        <f>VLOOKUP(Tabelle5[[#This Row],[Name]],Durchschnitt!$A$1:$D$832,4,FALSE)</f>
        <v>0.48317460317460298</v>
      </c>
      <c r="E20" s="23">
        <f>VLOOKUP(Tabelle5[[#This Row],[Name]],Durchschnitt!$A$1:$E$832,5,FALSE)</f>
        <v>0.57516841367395399</v>
      </c>
      <c r="F20" s="19">
        <v>1</v>
      </c>
      <c r="G20" s="13">
        <v>1</v>
      </c>
      <c r="H20" s="13">
        <v>2</v>
      </c>
      <c r="I20" s="13">
        <v>0</v>
      </c>
      <c r="J20" s="13">
        <v>0</v>
      </c>
      <c r="K20" s="13">
        <v>5</v>
      </c>
    </row>
    <row r="21" spans="1:11" x14ac:dyDescent="0.3">
      <c r="A21" s="14" t="s">
        <v>763</v>
      </c>
      <c r="B21" s="4">
        <f>VLOOKUP(Tabelle5[[#This Row],[Name]],Durchschnitt!$A$1:$B$832,2,FALSE)</f>
        <v>1.6666666666666652</v>
      </c>
      <c r="C21" s="4">
        <f>VLOOKUP(Tabelle5[[#This Row],[Name]],Durchschnitt!$A$1:$C$832,3,FALSE)</f>
        <v>0.16666666666666649</v>
      </c>
      <c r="D21" s="4">
        <f>VLOOKUP(Tabelle5[[#This Row],[Name]],Durchschnitt!$A$1:$D$832,4,FALSE)</f>
        <v>0.67500000000000004</v>
      </c>
      <c r="E21" s="4">
        <f>VLOOKUP(Tabelle5[[#This Row],[Name]],Durchschnitt!$A$1:$E$832,5,FALSE)</f>
        <v>0.56051141149713057</v>
      </c>
      <c r="F21" s="19">
        <v>4</v>
      </c>
      <c r="G21" s="13">
        <v>1</v>
      </c>
      <c r="H21" s="13">
        <v>2</v>
      </c>
      <c r="I21" s="13">
        <v>0</v>
      </c>
      <c r="J21" s="13">
        <v>0</v>
      </c>
      <c r="K21" s="13">
        <v>0</v>
      </c>
    </row>
    <row r="22" spans="1:11" x14ac:dyDescent="0.3">
      <c r="A22" s="12" t="s">
        <v>764</v>
      </c>
      <c r="B22" s="23">
        <f>VLOOKUP(Tabelle5[[#This Row],[Name]],Durchschnitt!$A$1:$B$832,2,FALSE)</f>
        <v>0.40522875816993398</v>
      </c>
      <c r="C22" s="23">
        <f>VLOOKUP(Tabelle5[[#This Row],[Name]],Durchschnitt!$A$1:$C$832,3,FALSE)</f>
        <v>6.7299836601307256E-2</v>
      </c>
      <c r="D22" s="23">
        <f>VLOOKUP(Tabelle5[[#This Row],[Name]],Durchschnitt!$A$1:$D$832,4,FALSE)</f>
        <v>0.262642535858853</v>
      </c>
      <c r="E22" s="23">
        <f>VLOOKUP(Tabelle5[[#This Row],[Name]],Durchschnitt!$A$1:$E$832,5,FALSE)</f>
        <v>0.29519127701431019</v>
      </c>
      <c r="F22" s="19">
        <v>4</v>
      </c>
      <c r="G22" s="13">
        <v>0</v>
      </c>
      <c r="H22" s="13">
        <v>0</v>
      </c>
      <c r="I22" s="13">
        <v>0</v>
      </c>
      <c r="J22" s="13">
        <v>0</v>
      </c>
      <c r="K22" s="13">
        <v>0</v>
      </c>
    </row>
    <row r="23" spans="1:11" x14ac:dyDescent="0.3">
      <c r="A23" s="12" t="s">
        <v>765</v>
      </c>
      <c r="B23" s="23">
        <f>VLOOKUP(Tabelle5[[#This Row],[Name]],Durchschnitt!$A$1:$B$832,2,FALSE)</f>
        <v>0.54945054945054994</v>
      </c>
      <c r="C23" s="23">
        <f>VLOOKUP(Tabelle5[[#This Row],[Name]],Durchschnitt!$A$1:$C$832,3,FALSE)</f>
        <v>0.11317155067155059</v>
      </c>
      <c r="D23" s="23">
        <f>VLOOKUP(Tabelle5[[#This Row],[Name]],Durchschnitt!$A$1:$D$832,4,FALSE)</f>
        <v>0.364055955401973</v>
      </c>
      <c r="E23" s="23">
        <f>VLOOKUP(Tabelle5[[#This Row],[Name]],Durchschnitt!$A$1:$E$832,5,FALSE)</f>
        <v>0.25899398845474253</v>
      </c>
      <c r="F23" s="19">
        <v>1</v>
      </c>
      <c r="G23" s="13">
        <v>1</v>
      </c>
      <c r="H23" s="13">
        <v>2</v>
      </c>
      <c r="I23" s="13">
        <v>0</v>
      </c>
      <c r="J23" s="13">
        <v>0</v>
      </c>
      <c r="K23" s="13">
        <v>5</v>
      </c>
    </row>
    <row r="24" spans="1:11" x14ac:dyDescent="0.3">
      <c r="A24" s="14" t="s">
        <v>766</v>
      </c>
      <c r="B24" s="4">
        <f>VLOOKUP(Tabelle5[[#This Row],[Name]],Durchschnitt!$A$1:$B$832,2,FALSE)</f>
        <v>1.5999999999999999</v>
      </c>
      <c r="C24" s="4">
        <f>VLOOKUP(Tabelle5[[#This Row],[Name]],Durchschnitt!$A$1:$C$832,3,FALSE)</f>
        <v>0.14166666666666666</v>
      </c>
      <c r="D24" s="4">
        <f>VLOOKUP(Tabelle5[[#This Row],[Name]],Durchschnitt!$A$1:$D$832,4,FALSE)</f>
        <v>0.54503367003367043</v>
      </c>
      <c r="E24" s="4">
        <f>VLOOKUP(Tabelle5[[#This Row],[Name]],Durchschnitt!$A$1:$E$832,5,FALSE)</f>
        <v>0.63894242384063382</v>
      </c>
      <c r="F24" s="19">
        <v>1</v>
      </c>
      <c r="G24" s="13">
        <v>0</v>
      </c>
      <c r="H24" s="13">
        <v>0</v>
      </c>
      <c r="I24" s="13">
        <v>0</v>
      </c>
      <c r="J24" s="13">
        <v>0</v>
      </c>
      <c r="K24" s="13">
        <v>5</v>
      </c>
    </row>
    <row r="25" spans="1:11" x14ac:dyDescent="0.3">
      <c r="A25" s="12" t="s">
        <v>767</v>
      </c>
      <c r="B25" s="23">
        <f>VLOOKUP(Tabelle5[[#This Row],[Name]],Durchschnitt!$A$1:$B$832,2,FALSE)</f>
        <v>2</v>
      </c>
      <c r="C25" s="23">
        <f>VLOOKUP(Tabelle5[[#This Row],[Name]],Durchschnitt!$A$1:$C$832,3,FALSE)</f>
        <v>0.25</v>
      </c>
      <c r="D25" s="23">
        <f>VLOOKUP(Tabelle5[[#This Row],[Name]],Durchschnitt!$A$1:$D$832,4,FALSE)</f>
        <v>0.11233082706766909</v>
      </c>
      <c r="E25" s="23">
        <f>VLOOKUP(Tabelle5[[#This Row],[Name]],Durchschnitt!$A$1:$E$832,5,FALSE)</f>
        <v>0.82888379528911449</v>
      </c>
      <c r="F25" s="19">
        <v>1</v>
      </c>
      <c r="G25" s="13">
        <v>2</v>
      </c>
      <c r="H25" s="13">
        <v>2</v>
      </c>
      <c r="I25" s="13">
        <v>0</v>
      </c>
      <c r="J25" s="13">
        <v>0</v>
      </c>
      <c r="K25" s="13">
        <v>0</v>
      </c>
    </row>
    <row r="26" spans="1:11" x14ac:dyDescent="0.3">
      <c r="A26" s="14" t="s">
        <v>768</v>
      </c>
      <c r="B26" s="4">
        <f>VLOOKUP(Tabelle5[[#This Row],[Name]],Durchschnitt!$A$1:$B$832,2,FALSE)</f>
        <v>1.3571428571428559</v>
      </c>
      <c r="C26" s="4">
        <f>VLOOKUP(Tabelle5[[#This Row],[Name]],Durchschnitt!$A$1:$C$832,3,FALSE)</f>
        <v>0.11805555555555558</v>
      </c>
      <c r="D26" s="4">
        <f>VLOOKUP(Tabelle5[[#This Row],[Name]],Durchschnitt!$A$1:$D$832,4,FALSE)</f>
        <v>0.56180555555555545</v>
      </c>
      <c r="E26" s="4">
        <f>VLOOKUP(Tabelle5[[#This Row],[Name]],Durchschnitt!$A$1:$E$832,5,FALSE)</f>
        <v>0.50525264875847764</v>
      </c>
      <c r="F26" s="19">
        <v>1</v>
      </c>
      <c r="G26" s="13">
        <v>0</v>
      </c>
      <c r="H26" s="13">
        <v>4</v>
      </c>
      <c r="I26" s="13">
        <v>0</v>
      </c>
      <c r="J26" s="13">
        <v>0</v>
      </c>
      <c r="K26" s="13">
        <v>0</v>
      </c>
    </row>
    <row r="27" spans="1:11" x14ac:dyDescent="0.3">
      <c r="A27" s="12" t="s">
        <v>769</v>
      </c>
      <c r="B27" s="23">
        <f>VLOOKUP(Tabelle5[[#This Row],[Name]],Durchschnitt!$A$1:$B$832,2,FALSE)</f>
        <v>1.1111111111111105</v>
      </c>
      <c r="C27" s="23">
        <f>VLOOKUP(Tabelle5[[#This Row],[Name]],Durchschnitt!$A$1:$C$832,3,FALSE)</f>
        <v>0.10694444444444443</v>
      </c>
      <c r="D27" s="23">
        <f>VLOOKUP(Tabelle5[[#This Row],[Name]],Durchschnitt!$A$1:$D$832,4,FALSE)</f>
        <v>0.46359667808971217</v>
      </c>
      <c r="E27" s="23">
        <f>VLOOKUP(Tabelle5[[#This Row],[Name]],Durchschnitt!$A$1:$E$832,5,FALSE)</f>
        <v>0.40233906425954402</v>
      </c>
      <c r="F27" s="19">
        <v>1</v>
      </c>
      <c r="G27" s="13">
        <v>1</v>
      </c>
      <c r="H27" s="13">
        <v>2</v>
      </c>
      <c r="I27" s="13">
        <v>0</v>
      </c>
      <c r="J27" s="13">
        <v>0</v>
      </c>
      <c r="K27" s="13">
        <v>0</v>
      </c>
    </row>
    <row r="28" spans="1:11" x14ac:dyDescent="0.3">
      <c r="A28" s="14" t="s">
        <v>770</v>
      </c>
      <c r="B28" s="4">
        <f>VLOOKUP(Tabelle5[[#This Row],[Name]],Durchschnitt!$A$1:$B$832,2,FALSE)</f>
        <v>2</v>
      </c>
      <c r="C28" s="4">
        <f>VLOOKUP(Tabelle5[[#This Row],[Name]],Durchschnitt!$A$1:$C$832,3,FALSE)</f>
        <v>0.16666666666666674</v>
      </c>
      <c r="D28" s="4">
        <f>VLOOKUP(Tabelle5[[#This Row],[Name]],Durchschnitt!$A$1:$D$832,4,FALSE)</f>
        <v>0.77500000000000002</v>
      </c>
      <c r="E28" s="4">
        <f>VLOOKUP(Tabelle5[[#This Row],[Name]],Durchschnitt!$A$1:$E$832,5,FALSE)</f>
        <v>0.77576300668851272</v>
      </c>
      <c r="F28" s="19">
        <v>1</v>
      </c>
      <c r="G28" s="13">
        <v>2</v>
      </c>
      <c r="H28" s="13">
        <v>2</v>
      </c>
      <c r="I28" s="13">
        <v>0</v>
      </c>
      <c r="J28" s="13">
        <v>0</v>
      </c>
      <c r="K28" s="13">
        <v>0</v>
      </c>
    </row>
    <row r="29" spans="1:11" x14ac:dyDescent="0.3">
      <c r="A29" s="12" t="s">
        <v>771</v>
      </c>
      <c r="B29" s="23">
        <f>VLOOKUP(Tabelle5[[#This Row],[Name]],Durchschnitt!$A$1:$B$832,2,FALSE)</f>
        <v>0</v>
      </c>
      <c r="C29" s="23">
        <f>VLOOKUP(Tabelle5[[#This Row],[Name]],Durchschnitt!$A$1:$C$832,3,FALSE)</f>
        <v>0</v>
      </c>
      <c r="D29" s="23">
        <f>VLOOKUP(Tabelle5[[#This Row],[Name]],Durchschnitt!$A$1:$D$832,4,FALSE)</f>
        <v>0</v>
      </c>
      <c r="E29" s="23">
        <f>VLOOKUP(Tabelle5[[#This Row],[Name]],Durchschnitt!$A$1:$E$832,5,FALSE)</f>
        <v>0</v>
      </c>
      <c r="F29" s="19">
        <v>1</v>
      </c>
      <c r="G29" s="13">
        <v>2</v>
      </c>
      <c r="H29" s="13">
        <v>2</v>
      </c>
      <c r="I29" s="13">
        <v>0</v>
      </c>
      <c r="J29" s="13">
        <v>0</v>
      </c>
      <c r="K29" s="13">
        <v>0</v>
      </c>
    </row>
    <row r="30" spans="1:11" x14ac:dyDescent="0.3">
      <c r="A30" s="14" t="s">
        <v>772</v>
      </c>
      <c r="B30" s="4">
        <f>VLOOKUP(Tabelle5[[#This Row],[Name]],Durchschnitt!$A$1:$B$832,2,FALSE)</f>
        <v>1.6666666666666652</v>
      </c>
      <c r="C30" s="4">
        <f>VLOOKUP(Tabelle5[[#This Row],[Name]],Durchschnitt!$A$1:$C$832,3,FALSE)</f>
        <v>0.16666666666666649</v>
      </c>
      <c r="D30" s="4">
        <f>VLOOKUP(Tabelle5[[#This Row],[Name]],Durchschnitt!$A$1:$D$832,4,FALSE)</f>
        <v>0.17916666666666675</v>
      </c>
      <c r="E30" s="4">
        <f>VLOOKUP(Tabelle5[[#This Row],[Name]],Durchschnitt!$A$1:$E$832,5,FALSE)</f>
        <v>0.78964193548104722</v>
      </c>
      <c r="F30" s="19">
        <v>1</v>
      </c>
      <c r="G30" s="13">
        <v>1</v>
      </c>
      <c r="H30" s="13">
        <v>2</v>
      </c>
      <c r="I30" s="13">
        <v>0</v>
      </c>
      <c r="J30" s="13">
        <v>0</v>
      </c>
      <c r="K30" s="13">
        <v>0</v>
      </c>
    </row>
    <row r="31" spans="1:11" x14ac:dyDescent="0.3">
      <c r="A31" s="12" t="s">
        <v>773</v>
      </c>
      <c r="B31" s="23">
        <f>VLOOKUP(Tabelle5[[#This Row],[Name]],Durchschnitt!$A$1:$B$832,2,FALSE)</f>
        <v>1.3333333333333333</v>
      </c>
      <c r="C31" s="23">
        <f>VLOOKUP(Tabelle5[[#This Row],[Name]],Durchschnitt!$A$1:$C$832,3,FALSE)</f>
        <v>0.14166666666666666</v>
      </c>
      <c r="D31" s="23">
        <f>VLOOKUP(Tabelle5[[#This Row],[Name]],Durchschnitt!$A$1:$D$832,4,FALSE)</f>
        <v>0.24351752736012619</v>
      </c>
      <c r="E31" s="23">
        <f>VLOOKUP(Tabelle5[[#This Row],[Name]],Durchschnitt!$A$1:$E$832,5,FALSE)</f>
        <v>0.53647887838254216</v>
      </c>
      <c r="F31" s="19">
        <v>1</v>
      </c>
      <c r="G31" s="13">
        <v>1</v>
      </c>
      <c r="H31" s="13">
        <v>2</v>
      </c>
      <c r="I31" s="13">
        <v>0</v>
      </c>
      <c r="J31" s="13">
        <v>0</v>
      </c>
      <c r="K31" s="13">
        <v>0</v>
      </c>
    </row>
    <row r="32" spans="1:11" x14ac:dyDescent="0.3">
      <c r="A32" s="14" t="s">
        <v>774</v>
      </c>
      <c r="B32" s="4">
        <f>VLOOKUP(Tabelle5[[#This Row],[Name]],Durchschnitt!$A$1:$B$832,2,FALSE)</f>
        <v>0.66666666666666663</v>
      </c>
      <c r="C32" s="4">
        <f>VLOOKUP(Tabelle5[[#This Row],[Name]],Durchschnitt!$A$1:$C$832,3,FALSE)</f>
        <v>8.3333333333333329E-2</v>
      </c>
      <c r="D32" s="4">
        <f>VLOOKUP(Tabelle5[[#This Row],[Name]],Durchschnitt!$A$1:$D$832,4,FALSE)</f>
        <v>0.37820512820512847</v>
      </c>
      <c r="E32" s="4">
        <f>VLOOKUP(Tabelle5[[#This Row],[Name]],Durchschnitt!$A$1:$E$832,5,FALSE)</f>
        <v>0.55715384712952876</v>
      </c>
      <c r="F32" s="19">
        <v>1</v>
      </c>
      <c r="G32" s="13">
        <v>1</v>
      </c>
      <c r="H32" s="13">
        <v>0</v>
      </c>
      <c r="I32" s="13">
        <v>0</v>
      </c>
      <c r="J32" s="13">
        <v>0</v>
      </c>
      <c r="K32" s="13">
        <v>0</v>
      </c>
    </row>
    <row r="33" spans="1:11" x14ac:dyDescent="0.3">
      <c r="A33" s="12" t="s">
        <v>775</v>
      </c>
      <c r="B33" s="23">
        <f>VLOOKUP(Tabelle5[[#This Row],[Name]],Durchschnitt!$A$1:$B$832,2,FALSE)</f>
        <v>1.3333333333333317</v>
      </c>
      <c r="C33" s="23">
        <f>VLOOKUP(Tabelle5[[#This Row],[Name]],Durchschnitt!$A$1:$C$832,3,FALSE)</f>
        <v>0.16666666666666674</v>
      </c>
      <c r="D33" s="23">
        <f>VLOOKUP(Tabelle5[[#This Row],[Name]],Durchschnitt!$A$1:$D$832,4,FALSE)</f>
        <v>0.1179979395604395</v>
      </c>
      <c r="E33" s="23">
        <f>VLOOKUP(Tabelle5[[#This Row],[Name]],Durchschnitt!$A$1:$E$832,5,FALSE)</f>
        <v>0.745086550741342</v>
      </c>
      <c r="F33" s="19">
        <v>1</v>
      </c>
      <c r="G33" s="13">
        <v>2</v>
      </c>
      <c r="H33" s="13">
        <v>2</v>
      </c>
      <c r="I33" s="13">
        <v>0</v>
      </c>
      <c r="J33" s="13">
        <v>0</v>
      </c>
      <c r="K33" s="13">
        <v>0</v>
      </c>
    </row>
    <row r="34" spans="1:11" x14ac:dyDescent="0.3">
      <c r="A34" s="14" t="s">
        <v>776</v>
      </c>
      <c r="B34" s="4">
        <f>VLOOKUP(Tabelle5[[#This Row],[Name]],Durchschnitt!$A$1:$B$832,2,FALSE)</f>
        <v>1.4285714285714284</v>
      </c>
      <c r="C34" s="4">
        <f>VLOOKUP(Tabelle5[[#This Row],[Name]],Durchschnitt!$A$1:$C$832,3,FALSE)</f>
        <v>0.14761904761904768</v>
      </c>
      <c r="D34" s="4">
        <f>VLOOKUP(Tabelle5[[#This Row],[Name]],Durchschnitt!$A$1:$D$832,4,FALSE)</f>
        <v>0.3957659987071751</v>
      </c>
      <c r="E34" s="4">
        <f>VLOOKUP(Tabelle5[[#This Row],[Name]],Durchschnitt!$A$1:$E$832,5,FALSE)</f>
        <v>0.56135774695301943</v>
      </c>
      <c r="F34" s="19">
        <v>1</v>
      </c>
      <c r="G34" s="13">
        <v>2</v>
      </c>
      <c r="H34" s="13">
        <v>2</v>
      </c>
      <c r="I34" s="13">
        <v>0</v>
      </c>
      <c r="J34" s="13">
        <v>0</v>
      </c>
      <c r="K34" s="13">
        <v>0</v>
      </c>
    </row>
    <row r="35" spans="1:11" x14ac:dyDescent="0.3">
      <c r="A35" s="12" t="s">
        <v>777</v>
      </c>
      <c r="B35" s="23">
        <f>VLOOKUP(Tabelle5[[#This Row],[Name]],Durchschnitt!$A$1:$B$832,2,FALSE)</f>
        <v>0.72380952380952457</v>
      </c>
      <c r="C35" s="23">
        <f>VLOOKUP(Tabelle5[[#This Row],[Name]],Durchschnitt!$A$1:$C$832,3,FALSE)</f>
        <v>0.10036630036630033</v>
      </c>
      <c r="D35" s="23">
        <f>VLOOKUP(Tabelle5[[#This Row],[Name]],Durchschnitt!$A$1:$D$832,4,FALSE)</f>
        <v>0.32005841742835184</v>
      </c>
      <c r="E35" s="23">
        <f>VLOOKUP(Tabelle5[[#This Row],[Name]],Durchschnitt!$A$1:$E$832,5,FALSE)</f>
        <v>0.34772644361240718</v>
      </c>
      <c r="F35" s="19">
        <v>1</v>
      </c>
      <c r="G35" s="13">
        <v>5</v>
      </c>
      <c r="H35" s="13">
        <v>2</v>
      </c>
      <c r="I35" s="13">
        <v>0</v>
      </c>
      <c r="J35" s="13">
        <v>0</v>
      </c>
      <c r="K35" s="13">
        <v>0</v>
      </c>
    </row>
    <row r="36" spans="1:11" x14ac:dyDescent="0.3">
      <c r="A36" s="14" t="s">
        <v>778</v>
      </c>
      <c r="B36" s="4">
        <f>VLOOKUP(Tabelle5[[#This Row],[Name]],Durchschnitt!$A$1:$B$832,2,FALSE)</f>
        <v>0.88888888888888895</v>
      </c>
      <c r="C36" s="4">
        <f>VLOOKUP(Tabelle5[[#This Row],[Name]],Durchschnitt!$A$1:$C$832,3,FALSE)</f>
        <v>0.16296296296296292</v>
      </c>
      <c r="D36" s="4">
        <f>VLOOKUP(Tabelle5[[#This Row],[Name]],Durchschnitt!$A$1:$D$832,4,FALSE)</f>
        <v>0.35947882999353581</v>
      </c>
      <c r="E36" s="4">
        <f>VLOOKUP(Tabelle5[[#This Row],[Name]],Durchschnitt!$A$1:$E$832,5,FALSE)</f>
        <v>0.29540551240560048</v>
      </c>
      <c r="F36" s="19">
        <v>2</v>
      </c>
      <c r="G36" s="13">
        <v>0</v>
      </c>
      <c r="H36" s="13">
        <v>0</v>
      </c>
      <c r="I36" s="13">
        <v>3</v>
      </c>
      <c r="J36" s="13">
        <v>4</v>
      </c>
      <c r="K36" s="13">
        <v>5</v>
      </c>
    </row>
    <row r="37" spans="1:11" x14ac:dyDescent="0.3">
      <c r="A37" s="12" t="s">
        <v>779</v>
      </c>
      <c r="B37" s="23">
        <f>VLOOKUP(Tabelle5[[#This Row],[Name]],Durchschnitt!$A$1:$B$832,2,FALSE)</f>
        <v>1.0555555555555556</v>
      </c>
      <c r="C37" s="23">
        <f>VLOOKUP(Tabelle5[[#This Row],[Name]],Durchschnitt!$A$1:$C$832,3,FALSE)</f>
        <v>0.14682539682539686</v>
      </c>
      <c r="D37" s="23">
        <f>VLOOKUP(Tabelle5[[#This Row],[Name]],Durchschnitt!$A$1:$D$832,4,FALSE)</f>
        <v>0.38698270407562818</v>
      </c>
      <c r="E37" s="23">
        <f>VLOOKUP(Tabelle5[[#This Row],[Name]],Durchschnitt!$A$1:$E$832,5,FALSE)</f>
        <v>0.4139673790257194</v>
      </c>
      <c r="F37" s="19">
        <v>1</v>
      </c>
      <c r="G37" s="13">
        <v>1</v>
      </c>
      <c r="H37" s="13">
        <v>2</v>
      </c>
      <c r="I37" s="13">
        <v>0</v>
      </c>
      <c r="J37" s="13">
        <v>0</v>
      </c>
      <c r="K37" s="13">
        <v>0</v>
      </c>
    </row>
    <row r="38" spans="1:11" x14ac:dyDescent="0.3">
      <c r="A38" s="14" t="s">
        <v>780</v>
      </c>
      <c r="B38" s="4">
        <f>VLOOKUP(Tabelle5[[#This Row],[Name]],Durchschnitt!$A$1:$B$832,2,FALSE)</f>
        <v>2</v>
      </c>
      <c r="C38" s="4">
        <f>VLOOKUP(Tabelle5[[#This Row],[Name]],Durchschnitt!$A$1:$C$832,3,FALSE)</f>
        <v>0.16666666666666674</v>
      </c>
      <c r="D38" s="4">
        <f>VLOOKUP(Tabelle5[[#This Row],[Name]],Durchschnitt!$A$1:$D$832,4,FALSE)</f>
        <v>0.58125000000000004</v>
      </c>
      <c r="E38" s="4">
        <f>VLOOKUP(Tabelle5[[#This Row],[Name]],Durchschnitt!$A$1:$E$832,5,FALSE)</f>
        <v>0.63030151606587548</v>
      </c>
      <c r="F38" s="19">
        <v>1</v>
      </c>
      <c r="G38" s="13">
        <v>1</v>
      </c>
      <c r="H38" s="13">
        <v>2</v>
      </c>
      <c r="I38" s="13">
        <v>0</v>
      </c>
      <c r="J38" s="13">
        <v>0</v>
      </c>
      <c r="K38" s="13">
        <v>0</v>
      </c>
    </row>
    <row r="39" spans="1:11" x14ac:dyDescent="0.3">
      <c r="A39" s="12" t="s">
        <v>781</v>
      </c>
      <c r="B39" s="23">
        <f>VLOOKUP(Tabelle5[[#This Row],[Name]],Durchschnitt!$A$1:$B$832,2,FALSE)</f>
        <v>0</v>
      </c>
      <c r="C39" s="23">
        <f>VLOOKUP(Tabelle5[[#This Row],[Name]],Durchschnitt!$A$1:$C$832,3,FALSE)</f>
        <v>0</v>
      </c>
      <c r="D39" s="23">
        <f>VLOOKUP(Tabelle5[[#This Row],[Name]],Durchschnitt!$A$1:$D$832,4,FALSE)</f>
        <v>0</v>
      </c>
      <c r="E39" s="23">
        <f>VLOOKUP(Tabelle5[[#This Row],[Name]],Durchschnitt!$A$1:$E$832,5,FALSE)</f>
        <v>0</v>
      </c>
      <c r="F39" s="19">
        <v>1</v>
      </c>
      <c r="G39" s="13">
        <v>0</v>
      </c>
      <c r="H39" s="13">
        <v>0</v>
      </c>
      <c r="I39" s="13">
        <v>0</v>
      </c>
      <c r="J39" s="13">
        <v>0</v>
      </c>
      <c r="K39" s="13">
        <v>5</v>
      </c>
    </row>
    <row r="40" spans="1:11" x14ac:dyDescent="0.3">
      <c r="A40" s="14" t="s">
        <v>782</v>
      </c>
      <c r="B40" s="4">
        <f>VLOOKUP(Tabelle5[[#This Row],[Name]],Durchschnitt!$A$1:$B$832,2,FALSE)</f>
        <v>1.4</v>
      </c>
      <c r="C40" s="4">
        <f>VLOOKUP(Tabelle5[[#This Row],[Name]],Durchschnitt!$A$1:$C$832,3,FALSE)</f>
        <v>0.23333333333333323</v>
      </c>
      <c r="D40" s="4">
        <f>VLOOKUP(Tabelle5[[#This Row],[Name]],Durchschnitt!$A$1:$D$832,4,FALSE)</f>
        <v>0.21390476190476199</v>
      </c>
      <c r="E40" s="4">
        <f>VLOOKUP(Tabelle5[[#This Row],[Name]],Durchschnitt!$A$1:$E$832,5,FALSE)</f>
        <v>0.60493317589369622</v>
      </c>
      <c r="F40" s="19">
        <v>1</v>
      </c>
      <c r="G40" s="13">
        <v>2</v>
      </c>
      <c r="H40" s="13">
        <v>2</v>
      </c>
      <c r="I40" s="13">
        <v>0</v>
      </c>
      <c r="J40" s="13">
        <v>0</v>
      </c>
      <c r="K40" s="13">
        <v>0</v>
      </c>
    </row>
    <row r="41" spans="1:11" x14ac:dyDescent="0.3">
      <c r="A41" s="12" t="s">
        <v>783</v>
      </c>
      <c r="B41" s="23">
        <f>VLOOKUP(Tabelle5[[#This Row],[Name]],Durchschnitt!$A$1:$B$832,2,FALSE)</f>
        <v>0</v>
      </c>
      <c r="C41" s="23">
        <f>VLOOKUP(Tabelle5[[#This Row],[Name]],Durchschnitt!$A$1:$C$832,3,FALSE)</f>
        <v>0</v>
      </c>
      <c r="D41" s="23">
        <f>VLOOKUP(Tabelle5[[#This Row],[Name]],Durchschnitt!$A$1:$D$832,4,FALSE)</f>
        <v>0</v>
      </c>
      <c r="E41" s="23">
        <f>VLOOKUP(Tabelle5[[#This Row],[Name]],Durchschnitt!$A$1:$E$832,5,FALSE)</f>
        <v>0</v>
      </c>
      <c r="F41" s="19">
        <v>1</v>
      </c>
      <c r="G41" s="13">
        <v>0</v>
      </c>
      <c r="H41" s="13">
        <v>0</v>
      </c>
      <c r="I41" s="13">
        <v>0</v>
      </c>
      <c r="J41" s="13">
        <v>0</v>
      </c>
      <c r="K41" s="13">
        <v>0</v>
      </c>
    </row>
    <row r="42" spans="1:11" x14ac:dyDescent="0.3">
      <c r="A42" s="14" t="s">
        <v>784</v>
      </c>
      <c r="B42" s="4">
        <f>VLOOKUP(Tabelle5[[#This Row],[Name]],Durchschnitt!$A$1:$B$832,2,FALSE)</f>
        <v>0</v>
      </c>
      <c r="C42" s="4">
        <f>VLOOKUP(Tabelle5[[#This Row],[Name]],Durchschnitt!$A$1:$C$832,3,FALSE)</f>
        <v>0</v>
      </c>
      <c r="D42" s="4">
        <f>VLOOKUP(Tabelle5[[#This Row],[Name]],Durchschnitt!$A$1:$D$832,4,FALSE)</f>
        <v>0</v>
      </c>
      <c r="E42" s="4">
        <f>VLOOKUP(Tabelle5[[#This Row],[Name]],Durchschnitt!$A$1:$E$832,5,FALSE)</f>
        <v>0</v>
      </c>
      <c r="F42" s="19">
        <v>4</v>
      </c>
      <c r="G42" s="13">
        <v>0</v>
      </c>
      <c r="H42" s="13">
        <v>0</v>
      </c>
      <c r="I42" s="13">
        <v>0</v>
      </c>
      <c r="J42" s="13">
        <v>0</v>
      </c>
      <c r="K42" s="13">
        <v>10</v>
      </c>
    </row>
    <row r="43" spans="1:11" x14ac:dyDescent="0.3">
      <c r="A43" s="12" t="s">
        <v>785</v>
      </c>
      <c r="B43" s="23">
        <f>VLOOKUP(Tabelle5[[#This Row],[Name]],Durchschnitt!$A$1:$B$832,2,FALSE)</f>
        <v>0</v>
      </c>
      <c r="C43" s="23">
        <f>VLOOKUP(Tabelle5[[#This Row],[Name]],Durchschnitt!$A$1:$C$832,3,FALSE)</f>
        <v>0</v>
      </c>
      <c r="D43" s="23">
        <f>VLOOKUP(Tabelle5[[#This Row],[Name]],Durchschnitt!$A$1:$D$832,4,FALSE)</f>
        <v>0</v>
      </c>
      <c r="E43" s="23">
        <f>VLOOKUP(Tabelle5[[#This Row],[Name]],Durchschnitt!$A$1:$E$832,5,FALSE)</f>
        <v>0</v>
      </c>
      <c r="F43" s="19">
        <v>4</v>
      </c>
      <c r="G43" s="13">
        <v>0</v>
      </c>
      <c r="H43" s="13">
        <v>0</v>
      </c>
      <c r="I43" s="13">
        <v>0</v>
      </c>
      <c r="J43" s="13">
        <v>0</v>
      </c>
      <c r="K43" s="13">
        <v>0</v>
      </c>
    </row>
    <row r="44" spans="1:11" x14ac:dyDescent="0.3">
      <c r="A44" s="14" t="s">
        <v>786</v>
      </c>
      <c r="B44" s="4">
        <f>VLOOKUP(Tabelle5[[#This Row],[Name]],Durchschnitt!$A$1:$B$832,2,FALSE)</f>
        <v>1.0666666666666667</v>
      </c>
      <c r="C44" s="4">
        <f>VLOOKUP(Tabelle5[[#This Row],[Name]],Durchschnitt!$A$1:$C$832,3,FALSE)</f>
        <v>0.23333333333333336</v>
      </c>
      <c r="D44" s="4">
        <f>VLOOKUP(Tabelle5[[#This Row],[Name]],Durchschnitt!$A$1:$D$832,4,FALSE)</f>
        <v>0.33002720910329614</v>
      </c>
      <c r="E44" s="4">
        <f>VLOOKUP(Tabelle5[[#This Row],[Name]],Durchschnitt!$A$1:$E$832,5,FALSE)</f>
        <v>0.5370746793086062</v>
      </c>
      <c r="F44" s="19">
        <v>1</v>
      </c>
      <c r="G44" s="13">
        <v>1</v>
      </c>
      <c r="H44" s="13">
        <v>0</v>
      </c>
      <c r="I44" s="13">
        <v>0</v>
      </c>
      <c r="J44" s="13">
        <v>0</v>
      </c>
      <c r="K44" s="13">
        <v>0</v>
      </c>
    </row>
    <row r="45" spans="1:11" x14ac:dyDescent="0.3">
      <c r="A45" s="12" t="s">
        <v>787</v>
      </c>
      <c r="B45" s="23">
        <f>VLOOKUP(Tabelle5[[#This Row],[Name]],Durchschnitt!$A$1:$B$832,2,FALSE)</f>
        <v>0.61538461538461564</v>
      </c>
      <c r="C45" s="23">
        <f>VLOOKUP(Tabelle5[[#This Row],[Name]],Durchschnitt!$A$1:$C$832,3,FALSE)</f>
        <v>5.3556166056166123E-2</v>
      </c>
      <c r="D45" s="23">
        <f>VLOOKUP(Tabelle5[[#This Row],[Name]],Durchschnitt!$A$1:$D$832,4,FALSE)</f>
        <v>0.2319102847237165</v>
      </c>
      <c r="E45" s="23">
        <f>VLOOKUP(Tabelle5[[#This Row],[Name]],Durchschnitt!$A$1:$E$832,5,FALSE)</f>
        <v>0.29387883527891684</v>
      </c>
      <c r="F45" s="19">
        <v>1</v>
      </c>
      <c r="G45" s="13">
        <v>1</v>
      </c>
      <c r="H45" s="13">
        <v>2</v>
      </c>
      <c r="I45" s="13">
        <v>0</v>
      </c>
      <c r="J45" s="13">
        <v>0</v>
      </c>
      <c r="K45" s="13">
        <v>5</v>
      </c>
    </row>
    <row r="46" spans="1:11" x14ac:dyDescent="0.3">
      <c r="A46" s="14" t="s">
        <v>788</v>
      </c>
      <c r="B46" s="4">
        <f>VLOOKUP(Tabelle5[[#This Row],[Name]],Durchschnitt!$A$1:$B$832,2,FALSE)</f>
        <v>1.6</v>
      </c>
      <c r="C46" s="4">
        <f>VLOOKUP(Tabelle5[[#This Row],[Name]],Durchschnitt!$A$1:$C$832,3,FALSE)</f>
        <v>0.11666666666666661</v>
      </c>
      <c r="D46" s="4">
        <f>VLOOKUP(Tabelle5[[#This Row],[Name]],Durchschnitt!$A$1:$D$832,4,FALSE)</f>
        <v>0.48317460317460303</v>
      </c>
      <c r="E46" s="4">
        <f>VLOOKUP(Tabelle5[[#This Row],[Name]],Durchschnitt!$A$1:$E$832,5,FALSE)</f>
        <v>0.6661342220932841</v>
      </c>
      <c r="F46" s="19">
        <v>4</v>
      </c>
      <c r="G46" s="13">
        <v>0</v>
      </c>
      <c r="H46" s="13">
        <v>0</v>
      </c>
      <c r="I46" s="13">
        <v>0</v>
      </c>
      <c r="J46" s="13">
        <v>0</v>
      </c>
      <c r="K46" s="13">
        <v>5</v>
      </c>
    </row>
    <row r="47" spans="1:11" x14ac:dyDescent="0.3">
      <c r="A47" s="12" t="s">
        <v>789</v>
      </c>
      <c r="B47" s="23">
        <f>VLOOKUP(Tabelle5[[#This Row],[Name]],Durchschnitt!$A$1:$B$832,2,FALSE)</f>
        <v>0.88888888888888906</v>
      </c>
      <c r="C47" s="23">
        <f>VLOOKUP(Tabelle5[[#This Row],[Name]],Durchschnitt!$A$1:$C$832,3,FALSE)</f>
        <v>8.0324074074074145E-2</v>
      </c>
      <c r="D47" s="23">
        <f>VLOOKUP(Tabelle5[[#This Row],[Name]],Durchschnitt!$A$1:$D$832,4,FALSE)</f>
        <v>0.32094696882328055</v>
      </c>
      <c r="E47" s="23">
        <f>VLOOKUP(Tabelle5[[#This Row],[Name]],Durchschnitt!$A$1:$E$832,5,FALSE)</f>
        <v>0.37390570195131084</v>
      </c>
      <c r="F47" s="19">
        <v>1</v>
      </c>
      <c r="G47" s="13">
        <v>1</v>
      </c>
      <c r="H47" s="13">
        <v>4</v>
      </c>
      <c r="I47" s="13">
        <v>0</v>
      </c>
      <c r="J47" s="13">
        <v>0</v>
      </c>
      <c r="K47" s="13">
        <v>0</v>
      </c>
    </row>
    <row r="48" spans="1:11" x14ac:dyDescent="0.3">
      <c r="A48" s="14" t="s">
        <v>790</v>
      </c>
      <c r="B48" s="4">
        <f>VLOOKUP(Tabelle5[[#This Row],[Name]],Durchschnitt!$A$1:$B$832,2,FALSE)</f>
        <v>0</v>
      </c>
      <c r="C48" s="4">
        <f>VLOOKUP(Tabelle5[[#This Row],[Name]],Durchschnitt!$A$1:$C$832,3,FALSE)</f>
        <v>0</v>
      </c>
      <c r="D48" s="4">
        <f>VLOOKUP(Tabelle5[[#This Row],[Name]],Durchschnitt!$A$1:$D$832,4,FALSE)</f>
        <v>0</v>
      </c>
      <c r="E48" s="4">
        <f>VLOOKUP(Tabelle5[[#This Row],[Name]],Durchschnitt!$A$1:$E$832,5,FALSE)</f>
        <v>0</v>
      </c>
      <c r="F48" s="19">
        <v>1</v>
      </c>
      <c r="G48" s="13">
        <v>0</v>
      </c>
      <c r="H48" s="13">
        <v>4</v>
      </c>
      <c r="I48" s="13">
        <v>0</v>
      </c>
      <c r="J48" s="13">
        <v>0</v>
      </c>
      <c r="K48" s="13">
        <v>0</v>
      </c>
    </row>
    <row r="49" spans="1:11" x14ac:dyDescent="0.3">
      <c r="A49" s="12" t="s">
        <v>791</v>
      </c>
      <c r="B49" s="23">
        <f>VLOOKUP(Tabelle5[[#This Row],[Name]],Durchschnitt!$A$1:$B$832,2,FALSE)</f>
        <v>1.7142857142857142</v>
      </c>
      <c r="C49" s="23">
        <f>VLOOKUP(Tabelle5[[#This Row],[Name]],Durchschnitt!$A$1:$C$832,3,FALSE)</f>
        <v>0.15714285714285708</v>
      </c>
      <c r="D49" s="23">
        <f>VLOOKUP(Tabelle5[[#This Row],[Name]],Durchschnitt!$A$1:$D$832,4,FALSE)</f>
        <v>0.21214349078420242</v>
      </c>
      <c r="E49" s="23">
        <f>VLOOKUP(Tabelle5[[#This Row],[Name]],Durchschnitt!$A$1:$E$832,5,FALSE)</f>
        <v>0.70450608901267853</v>
      </c>
      <c r="F49" s="19">
        <v>1</v>
      </c>
      <c r="G49" s="13">
        <v>2</v>
      </c>
      <c r="H49" s="13">
        <v>8</v>
      </c>
      <c r="I49" s="13">
        <v>0</v>
      </c>
      <c r="J49" s="13">
        <v>0</v>
      </c>
      <c r="K49" s="13">
        <v>0</v>
      </c>
    </row>
    <row r="50" spans="1:11" x14ac:dyDescent="0.3">
      <c r="A50" s="14" t="s">
        <v>792</v>
      </c>
      <c r="B50" s="4">
        <f>VLOOKUP(Tabelle5[[#This Row],[Name]],Durchschnitt!$A$1:$B$832,2,FALSE)</f>
        <v>0</v>
      </c>
      <c r="C50" s="4">
        <f>VLOOKUP(Tabelle5[[#This Row],[Name]],Durchschnitt!$A$1:$C$832,3,FALSE)</f>
        <v>0</v>
      </c>
      <c r="D50" s="4">
        <f>VLOOKUP(Tabelle5[[#This Row],[Name]],Durchschnitt!$A$1:$D$832,4,FALSE)</f>
        <v>0</v>
      </c>
      <c r="E50" s="4">
        <f>VLOOKUP(Tabelle5[[#This Row],[Name]],Durchschnitt!$A$1:$E$832,5,FALSE)</f>
        <v>0</v>
      </c>
      <c r="F50" s="19">
        <v>1</v>
      </c>
      <c r="G50" s="13">
        <v>0</v>
      </c>
      <c r="H50" s="13">
        <v>0</v>
      </c>
      <c r="I50" s="13">
        <v>0</v>
      </c>
      <c r="J50" s="13">
        <v>0</v>
      </c>
      <c r="K50" s="13">
        <v>0</v>
      </c>
    </row>
    <row r="51" spans="1:11" x14ac:dyDescent="0.3">
      <c r="A51" s="12" t="s">
        <v>793</v>
      </c>
      <c r="B51" s="23">
        <f>VLOOKUP(Tabelle5[[#This Row],[Name]],Durchschnitt!$A$1:$B$832,2,FALSE)</f>
        <v>1.1428571428571417</v>
      </c>
      <c r="C51" s="23">
        <f>VLOOKUP(Tabelle5[[#This Row],[Name]],Durchschnitt!$A$1:$C$832,3,FALSE)</f>
        <v>0.12698412698412698</v>
      </c>
      <c r="D51" s="23">
        <f>VLOOKUP(Tabelle5[[#This Row],[Name]],Durchschnitt!$A$1:$D$832,4,FALSE)</f>
        <v>0.47902133609854186</v>
      </c>
      <c r="E51" s="23">
        <f>VLOOKUP(Tabelle5[[#This Row],[Name]],Durchschnitt!$A$1:$E$832,5,FALSE)</f>
        <v>0.44922123896655414</v>
      </c>
      <c r="F51" s="19">
        <v>1</v>
      </c>
      <c r="G51" s="13">
        <v>0</v>
      </c>
      <c r="H51" s="13">
        <v>0</v>
      </c>
      <c r="I51" s="13">
        <v>0</v>
      </c>
      <c r="J51" s="13">
        <v>0</v>
      </c>
      <c r="K51" s="13">
        <v>0</v>
      </c>
    </row>
    <row r="52" spans="1:11" x14ac:dyDescent="0.3">
      <c r="A52" s="14" t="s">
        <v>794</v>
      </c>
      <c r="B52" s="4">
        <f>VLOOKUP(Tabelle5[[#This Row],[Name]],Durchschnitt!$A$1:$B$832,2,FALSE)</f>
        <v>0.5757575757575758</v>
      </c>
      <c r="C52" s="4">
        <f>VLOOKUP(Tabelle5[[#This Row],[Name]],Durchschnitt!$A$1:$C$832,3,FALSE)</f>
        <v>9.1666666666666605E-2</v>
      </c>
      <c r="D52" s="4">
        <f>VLOOKUP(Tabelle5[[#This Row],[Name]],Durchschnitt!$A$1:$D$832,4,FALSE)</f>
        <v>0.31607740980541543</v>
      </c>
      <c r="E52" s="4">
        <f>VLOOKUP(Tabelle5[[#This Row],[Name]],Durchschnitt!$A$1:$E$832,5,FALSE)</f>
        <v>0.2797513980863115</v>
      </c>
      <c r="F52" s="19">
        <v>1</v>
      </c>
      <c r="G52" s="13">
        <v>2</v>
      </c>
      <c r="H52" s="13">
        <v>0</v>
      </c>
      <c r="I52" s="13">
        <v>0</v>
      </c>
      <c r="J52" s="13">
        <v>0</v>
      </c>
      <c r="K52" s="13">
        <v>0</v>
      </c>
    </row>
    <row r="53" spans="1:11" x14ac:dyDescent="0.3">
      <c r="A53" s="12" t="s">
        <v>795</v>
      </c>
      <c r="B53" s="23">
        <f>VLOOKUP(Tabelle5[[#This Row],[Name]],Durchschnitt!$A$1:$B$832,2,FALSE)</f>
        <v>1.2</v>
      </c>
      <c r="C53" s="23">
        <f>VLOOKUP(Tabelle5[[#This Row],[Name]],Durchschnitt!$A$1:$C$832,3,FALSE)</f>
        <v>0.19999999999999998</v>
      </c>
      <c r="D53" s="23">
        <f>VLOOKUP(Tabelle5[[#This Row],[Name]],Durchschnitt!$A$1:$D$832,4,FALSE)</f>
        <v>0.28924185997816371</v>
      </c>
      <c r="E53" s="23">
        <f>VLOOKUP(Tabelle5[[#This Row],[Name]],Durchschnitt!$A$1:$E$832,5,FALSE)</f>
        <v>0.53901198541320305</v>
      </c>
      <c r="F53" s="19">
        <v>1</v>
      </c>
      <c r="G53" s="13">
        <v>1</v>
      </c>
      <c r="H53" s="13">
        <v>2</v>
      </c>
      <c r="I53" s="13">
        <v>0</v>
      </c>
      <c r="J53" s="13">
        <v>0</v>
      </c>
      <c r="K53" s="13">
        <v>0</v>
      </c>
    </row>
    <row r="54" spans="1:11" x14ac:dyDescent="0.3">
      <c r="A54" s="14" t="s">
        <v>796</v>
      </c>
      <c r="B54" s="4">
        <f>VLOOKUP(Tabelle5[[#This Row],[Name]],Durchschnitt!$A$1:$B$832,2,FALSE)</f>
        <v>0.46666666666666629</v>
      </c>
      <c r="C54" s="4">
        <f>VLOOKUP(Tabelle5[[#This Row],[Name]],Durchschnitt!$A$1:$C$832,3,FALSE)</f>
        <v>5.3568869335173616E-2</v>
      </c>
      <c r="D54" s="4">
        <f>VLOOKUP(Tabelle5[[#This Row],[Name]],Durchschnitt!$A$1:$D$832,4,FALSE)</f>
        <v>0.39359088989974211</v>
      </c>
      <c r="E54" s="4">
        <f>VLOOKUP(Tabelle5[[#This Row],[Name]],Durchschnitt!$A$1:$E$832,5,FALSE)</f>
        <v>0.14233003723522025</v>
      </c>
      <c r="F54" s="19">
        <v>1</v>
      </c>
      <c r="G54" s="13">
        <v>2</v>
      </c>
      <c r="H54" s="13">
        <v>2</v>
      </c>
      <c r="I54" s="13">
        <v>0</v>
      </c>
      <c r="J54" s="13">
        <v>0</v>
      </c>
      <c r="K54" s="13">
        <v>0</v>
      </c>
    </row>
    <row r="55" spans="1:11" x14ac:dyDescent="0.3">
      <c r="A55" s="12" t="s">
        <v>797</v>
      </c>
      <c r="B55" s="23">
        <f>VLOOKUP(Tabelle5[[#This Row],[Name]],Durchschnitt!$A$1:$B$832,2,FALSE)</f>
        <v>0</v>
      </c>
      <c r="C55" s="23">
        <f>VLOOKUP(Tabelle5[[#This Row],[Name]],Durchschnitt!$A$1:$C$832,3,FALSE)</f>
        <v>0</v>
      </c>
      <c r="D55" s="23">
        <f>VLOOKUP(Tabelle5[[#This Row],[Name]],Durchschnitt!$A$1:$D$832,4,FALSE)</f>
        <v>0</v>
      </c>
      <c r="E55" s="23">
        <f>VLOOKUP(Tabelle5[[#This Row],[Name]],Durchschnitt!$A$1:$E$832,5,FALSE)</f>
        <v>0</v>
      </c>
      <c r="F55" s="19">
        <v>4</v>
      </c>
      <c r="G55" s="13">
        <v>0</v>
      </c>
      <c r="H55" s="13">
        <v>0</v>
      </c>
      <c r="I55" s="13">
        <v>0</v>
      </c>
      <c r="J55" s="13">
        <v>0</v>
      </c>
      <c r="K55" s="13">
        <v>5</v>
      </c>
    </row>
    <row r="56" spans="1:11" ht="28.8" x14ac:dyDescent="0.3">
      <c r="A56" s="15" t="s">
        <v>798</v>
      </c>
      <c r="B56" s="4">
        <f>VLOOKUP(Tabelle5[[#This Row],[Name]],Durchschnitt!$A$1:$B$832,2,FALSE)</f>
        <v>0.84615384615384615</v>
      </c>
      <c r="C56" s="4">
        <f>VLOOKUP(Tabelle5[[#This Row],[Name]],Durchschnitt!$A$1:$C$832,3,FALSE)</f>
        <v>9.5027195027195158E-2</v>
      </c>
      <c r="D56" s="4">
        <f>VLOOKUP(Tabelle5[[#This Row],[Name]],Durchschnitt!$A$1:$D$832,4,FALSE)</f>
        <v>0.27185901861897521</v>
      </c>
      <c r="E56" s="4">
        <f>VLOOKUP(Tabelle5[[#This Row],[Name]],Durchschnitt!$A$1:$E$832,5,FALSE)</f>
        <v>0.39671306132763012</v>
      </c>
      <c r="F56" s="19">
        <v>1</v>
      </c>
      <c r="G56" s="13">
        <v>1</v>
      </c>
      <c r="H56" s="13">
        <v>6</v>
      </c>
      <c r="I56" s="13">
        <v>0</v>
      </c>
      <c r="J56" s="13">
        <v>0</v>
      </c>
      <c r="K56" s="13">
        <v>0</v>
      </c>
    </row>
    <row r="57" spans="1:11" x14ac:dyDescent="0.3">
      <c r="A57" s="12" t="s">
        <v>799</v>
      </c>
      <c r="B57" s="23">
        <f>VLOOKUP(Tabelle5[[#This Row],[Name]],Durchschnitt!$A$1:$B$832,2,FALSE)</f>
        <v>1.1428571428571421</v>
      </c>
      <c r="C57" s="23">
        <f>VLOOKUP(Tabelle5[[#This Row],[Name]],Durchschnitt!$A$1:$C$832,3,FALSE)</f>
        <v>0.10615079365079363</v>
      </c>
      <c r="D57" s="23">
        <f>VLOOKUP(Tabelle5[[#This Row],[Name]],Durchschnitt!$A$1:$D$832,4,FALSE)</f>
        <v>0.43077245313994583</v>
      </c>
      <c r="E57" s="23">
        <f>VLOOKUP(Tabelle5[[#This Row],[Name]],Durchschnitt!$A$1:$E$832,5,FALSE)</f>
        <v>0.48179820967560183</v>
      </c>
      <c r="F57" s="19">
        <v>1</v>
      </c>
      <c r="G57" s="13">
        <v>2</v>
      </c>
      <c r="H57" s="13">
        <v>2</v>
      </c>
      <c r="I57" s="13">
        <v>0</v>
      </c>
      <c r="J57" s="13">
        <v>0</v>
      </c>
      <c r="K57" s="13">
        <v>0</v>
      </c>
    </row>
    <row r="58" spans="1:11" x14ac:dyDescent="0.3">
      <c r="A58" s="14" t="s">
        <v>800</v>
      </c>
      <c r="B58" s="4">
        <f>VLOOKUP(Tabelle5[[#This Row],[Name]],Durchschnitt!$A$1:$B$832,2,FALSE)</f>
        <v>1.4666666666666668</v>
      </c>
      <c r="C58" s="4">
        <f>VLOOKUP(Tabelle5[[#This Row],[Name]],Durchschnitt!$A$1:$C$832,3,FALSE)</f>
        <v>0.16666666666666666</v>
      </c>
      <c r="D58" s="4">
        <f>VLOOKUP(Tabelle5[[#This Row],[Name]],Durchschnitt!$A$1:$D$832,4,FALSE)</f>
        <v>0.45574795574795601</v>
      </c>
      <c r="E58" s="4">
        <f>VLOOKUP(Tabelle5[[#This Row],[Name]],Durchschnitt!$A$1:$E$832,5,FALSE)</f>
        <v>0.55423148319221427</v>
      </c>
      <c r="F58" s="19">
        <v>2</v>
      </c>
      <c r="G58" s="13">
        <v>0</v>
      </c>
      <c r="H58" s="13">
        <v>0</v>
      </c>
      <c r="I58" s="13">
        <v>3</v>
      </c>
      <c r="J58" s="13">
        <v>4</v>
      </c>
      <c r="K58" s="13">
        <v>0</v>
      </c>
    </row>
    <row r="59" spans="1:11" x14ac:dyDescent="0.3">
      <c r="A59" s="12" t="s">
        <v>801</v>
      </c>
      <c r="B59" s="23">
        <f>VLOOKUP(Tabelle5[[#This Row],[Name]],Durchschnitt!$A$1:$B$832,2,FALSE)</f>
        <v>1.1428571428571421</v>
      </c>
      <c r="C59" s="23">
        <f>VLOOKUP(Tabelle5[[#This Row],[Name]],Durchschnitt!$A$1:$C$832,3,FALSE)</f>
        <v>0.14285714285714285</v>
      </c>
      <c r="D59" s="23">
        <f>VLOOKUP(Tabelle5[[#This Row],[Name]],Durchschnitt!$A$1:$D$832,4,FALSE)</f>
        <v>0.61332714904143459</v>
      </c>
      <c r="E59" s="23">
        <f>VLOOKUP(Tabelle5[[#This Row],[Name]],Durchschnitt!$A$1:$E$832,5,FALSE)</f>
        <v>0.40357849174114868</v>
      </c>
      <c r="F59" s="19">
        <v>1</v>
      </c>
      <c r="G59" s="13">
        <v>1</v>
      </c>
      <c r="H59" s="13">
        <v>2</v>
      </c>
      <c r="I59" s="13">
        <v>0</v>
      </c>
      <c r="J59" s="13">
        <v>0</v>
      </c>
      <c r="K59" s="13">
        <v>0</v>
      </c>
    </row>
    <row r="60" spans="1:11" x14ac:dyDescent="0.3">
      <c r="A60" s="12" t="s">
        <v>802</v>
      </c>
      <c r="B60" s="4">
        <f>VLOOKUP(Tabelle5[[#This Row],[Name]],Durchschnitt!$A$1:$B$832,2,FALSE)</f>
        <v>2</v>
      </c>
      <c r="C60" s="4">
        <f>VLOOKUP(Tabelle5[[#This Row],[Name]],Durchschnitt!$A$1:$C$832,3,FALSE)</f>
        <v>0.25</v>
      </c>
      <c r="D60" s="4">
        <f>VLOOKUP(Tabelle5[[#This Row],[Name]],Durchschnitt!$A$1:$D$832,4,FALSE)</f>
        <v>0.53125</v>
      </c>
      <c r="E60" s="4">
        <f>VLOOKUP(Tabelle5[[#This Row],[Name]],Durchschnitt!$A$1:$E$832,5,FALSE)</f>
        <v>0.73615192810110475</v>
      </c>
      <c r="F60" s="19">
        <v>1</v>
      </c>
      <c r="G60" s="13">
        <v>1</v>
      </c>
      <c r="H60" s="13">
        <v>2</v>
      </c>
      <c r="I60" s="13">
        <v>0</v>
      </c>
      <c r="J60" s="13">
        <v>0</v>
      </c>
      <c r="K60" s="13">
        <v>0</v>
      </c>
    </row>
    <row r="61" spans="1:11" x14ac:dyDescent="0.3">
      <c r="A61" s="12" t="s">
        <v>803</v>
      </c>
      <c r="B61" s="23">
        <f>VLOOKUP(Tabelle5[[#This Row],[Name]],Durchschnitt!$A$1:$B$832,2,FALSE)</f>
        <v>1.5999999999999999</v>
      </c>
      <c r="C61" s="23">
        <f>VLOOKUP(Tabelle5[[#This Row],[Name]],Durchschnitt!$A$1:$C$832,3,FALSE)</f>
        <v>0.10833333333333334</v>
      </c>
      <c r="D61" s="23">
        <f>VLOOKUP(Tabelle5[[#This Row],[Name]],Durchschnitt!$A$1:$D$832,4,FALSE)</f>
        <v>0.29290188297541248</v>
      </c>
      <c r="E61" s="23">
        <f>VLOOKUP(Tabelle5[[#This Row],[Name]],Durchschnitt!$A$1:$E$832,5,FALSE)</f>
        <v>0.5784251892022757</v>
      </c>
      <c r="F61" s="19">
        <v>1</v>
      </c>
      <c r="G61" s="13">
        <v>1</v>
      </c>
      <c r="H61" s="13">
        <v>2</v>
      </c>
      <c r="I61" s="13">
        <v>0</v>
      </c>
      <c r="J61" s="13">
        <v>0</v>
      </c>
      <c r="K61" s="13">
        <v>0</v>
      </c>
    </row>
    <row r="62" spans="1:11" x14ac:dyDescent="0.3">
      <c r="A62" s="12" t="s">
        <v>804</v>
      </c>
      <c r="B62" s="4">
        <f>VLOOKUP(Tabelle5[[#This Row],[Name]],Durchschnitt!$A$1:$B$832,2,FALSE)</f>
        <v>0.75555555555555509</v>
      </c>
      <c r="C62" s="4">
        <f>VLOOKUP(Tabelle5[[#This Row],[Name]],Durchschnitt!$A$1:$C$832,3,FALSE)</f>
        <v>0.1583333333333333</v>
      </c>
      <c r="D62" s="4">
        <f>VLOOKUP(Tabelle5[[#This Row],[Name]],Durchschnitt!$A$1:$D$832,4,FALSE)</f>
        <v>0.34631901402404097</v>
      </c>
      <c r="E62" s="4">
        <f>VLOOKUP(Tabelle5[[#This Row],[Name]],Durchschnitt!$A$1:$E$832,5,FALSE)</f>
        <v>0.3464520803230331</v>
      </c>
      <c r="F62" s="19">
        <v>1</v>
      </c>
      <c r="G62" s="13">
        <v>2</v>
      </c>
      <c r="H62" s="13">
        <v>4</v>
      </c>
      <c r="I62" s="13">
        <v>0</v>
      </c>
      <c r="J62" s="13">
        <v>0</v>
      </c>
      <c r="K62" s="13">
        <v>0</v>
      </c>
    </row>
    <row r="63" spans="1:11" x14ac:dyDescent="0.3">
      <c r="A63" s="12" t="s">
        <v>805</v>
      </c>
      <c r="B63" s="23">
        <f>VLOOKUP(Tabelle5[[#This Row],[Name]],Durchschnitt!$A$1:$B$832,2,FALSE)</f>
        <v>0.95238095238095188</v>
      </c>
      <c r="C63" s="23">
        <f>VLOOKUP(Tabelle5[[#This Row],[Name]],Durchschnitt!$A$1:$C$832,3,FALSE)</f>
        <v>0.18095238095238095</v>
      </c>
      <c r="D63" s="23">
        <f>VLOOKUP(Tabelle5[[#This Row],[Name]],Durchschnitt!$A$1:$D$832,4,FALSE)</f>
        <v>0.48179514720868127</v>
      </c>
      <c r="E63" s="23">
        <f>VLOOKUP(Tabelle5[[#This Row],[Name]],Durchschnitt!$A$1:$E$832,5,FALSE)</f>
        <v>0.43432855949365601</v>
      </c>
      <c r="F63" s="19">
        <v>1</v>
      </c>
      <c r="G63" s="13">
        <v>1</v>
      </c>
      <c r="H63" s="13">
        <v>2</v>
      </c>
      <c r="I63" s="13">
        <v>0</v>
      </c>
      <c r="J63" s="13">
        <v>0</v>
      </c>
      <c r="K63" s="13">
        <v>0</v>
      </c>
    </row>
    <row r="64" spans="1:11" x14ac:dyDescent="0.3">
      <c r="A64" s="12" t="s">
        <v>806</v>
      </c>
      <c r="B64" s="4">
        <f>VLOOKUP(Tabelle5[[#This Row],[Name]],Durchschnitt!$A$1:$B$832,2,FALSE)</f>
        <v>1.6</v>
      </c>
      <c r="C64" s="4">
        <f>VLOOKUP(Tabelle5[[#This Row],[Name]],Durchschnitt!$A$1:$C$832,3,FALSE)</f>
        <v>0.13333333333333319</v>
      </c>
      <c r="D64" s="4">
        <f>VLOOKUP(Tabelle5[[#This Row],[Name]],Durchschnitt!$A$1:$D$832,4,FALSE)</f>
        <v>0.55367965367965388</v>
      </c>
      <c r="E64" s="4">
        <f>VLOOKUP(Tabelle5[[#This Row],[Name]],Durchschnitt!$A$1:$E$832,5,FALSE)</f>
        <v>0.67645579209002071</v>
      </c>
      <c r="F64" s="19">
        <v>1</v>
      </c>
      <c r="G64" s="13">
        <v>1</v>
      </c>
      <c r="H64" s="13">
        <v>4</v>
      </c>
      <c r="I64" s="13">
        <v>0</v>
      </c>
      <c r="J64" s="13">
        <v>0</v>
      </c>
      <c r="K64" s="13">
        <v>5</v>
      </c>
    </row>
    <row r="65" spans="1:11" x14ac:dyDescent="0.3">
      <c r="A65" s="12" t="s">
        <v>807</v>
      </c>
      <c r="B65" s="23">
        <f>VLOOKUP(Tabelle5[[#This Row],[Name]],Durchschnitt!$A$1:$B$832,2,FALSE)</f>
        <v>1.3333333333333333</v>
      </c>
      <c r="C65" s="23">
        <f>VLOOKUP(Tabelle5[[#This Row],[Name]],Durchschnitt!$A$1:$C$832,3,FALSE)</f>
        <v>0.15</v>
      </c>
      <c r="D65" s="23">
        <f>VLOOKUP(Tabelle5[[#This Row],[Name]],Durchschnitt!$A$1:$D$832,4,FALSE)</f>
        <v>0.27759297203295918</v>
      </c>
      <c r="E65" s="23">
        <f>VLOOKUP(Tabelle5[[#This Row],[Name]],Durchschnitt!$A$1:$E$832,5,FALSE)</f>
        <v>0.55455295964918105</v>
      </c>
      <c r="F65" s="19">
        <v>1</v>
      </c>
      <c r="G65" s="13">
        <v>2</v>
      </c>
      <c r="H65" s="13">
        <v>2</v>
      </c>
      <c r="I65" s="13">
        <v>0</v>
      </c>
      <c r="J65" s="13">
        <v>0</v>
      </c>
      <c r="K65" s="13">
        <v>0</v>
      </c>
    </row>
    <row r="66" spans="1:11" x14ac:dyDescent="0.3">
      <c r="A66" s="12" t="s">
        <v>808</v>
      </c>
      <c r="B66" s="4">
        <f>VLOOKUP(Tabelle5[[#This Row],[Name]],Durchschnitt!$A$1:$B$832,2,FALSE)</f>
        <v>1.6666666666666652</v>
      </c>
      <c r="C66" s="4">
        <f>VLOOKUP(Tabelle5[[#This Row],[Name]],Durchschnitt!$A$1:$C$832,3,FALSE)</f>
        <v>0.16666666666666649</v>
      </c>
      <c r="D66" s="4">
        <f>VLOOKUP(Tabelle5[[#This Row],[Name]],Durchschnitt!$A$1:$D$832,4,FALSE)</f>
        <v>0.25180995475113122</v>
      </c>
      <c r="E66" s="4">
        <f>VLOOKUP(Tabelle5[[#This Row],[Name]],Durchschnitt!$A$1:$E$832,5,FALSE)</f>
        <v>0.6582068493604647</v>
      </c>
      <c r="F66" s="19">
        <v>1</v>
      </c>
      <c r="G66" s="13">
        <v>2</v>
      </c>
      <c r="H66" s="13">
        <v>2</v>
      </c>
      <c r="I66" s="13">
        <v>0</v>
      </c>
      <c r="J66" s="13">
        <v>0</v>
      </c>
      <c r="K66" s="13">
        <v>0</v>
      </c>
    </row>
    <row r="67" spans="1:11" x14ac:dyDescent="0.3">
      <c r="A67" s="12" t="s">
        <v>809</v>
      </c>
      <c r="B67" s="23">
        <f>VLOOKUP(Tabelle5[[#This Row],[Name]],Durchschnitt!$A$1:$B$832,2,FALSE)</f>
        <v>1.0476190476190481</v>
      </c>
      <c r="C67" s="23">
        <f>VLOOKUP(Tabelle5[[#This Row],[Name]],Durchschnitt!$A$1:$C$832,3,FALSE)</f>
        <v>0.16190476190476183</v>
      </c>
      <c r="D67" s="23">
        <f>VLOOKUP(Tabelle5[[#This Row],[Name]],Durchschnitt!$A$1:$D$832,4,FALSE)</f>
        <v>0.234931479838312</v>
      </c>
      <c r="E67" s="23">
        <f>VLOOKUP(Tabelle5[[#This Row],[Name]],Durchschnitt!$A$1:$E$832,5,FALSE)</f>
        <v>0.42746735138384473</v>
      </c>
      <c r="F67" s="19">
        <v>2</v>
      </c>
      <c r="G67" s="13">
        <v>0</v>
      </c>
      <c r="H67" s="13">
        <v>0</v>
      </c>
      <c r="I67" s="13">
        <v>3</v>
      </c>
      <c r="J67" s="13">
        <v>0</v>
      </c>
      <c r="K67" s="13">
        <v>0</v>
      </c>
    </row>
    <row r="68" spans="1:11" x14ac:dyDescent="0.3">
      <c r="A68" s="12" t="s">
        <v>810</v>
      </c>
      <c r="B68" s="4">
        <f>VLOOKUP(Tabelle5[[#This Row],[Name]],Durchschnitt!$A$1:$B$832,2,FALSE)</f>
        <v>1.3333333333333333</v>
      </c>
      <c r="C68" s="4">
        <f>VLOOKUP(Tabelle5[[#This Row],[Name]],Durchschnitt!$A$1:$C$832,3,FALSE)</f>
        <v>0.21666666666666667</v>
      </c>
      <c r="D68" s="4">
        <f>VLOOKUP(Tabelle5[[#This Row],[Name]],Durchschnitt!$A$1:$D$832,4,FALSE)</f>
        <v>0.27883555183591052</v>
      </c>
      <c r="E68" s="4">
        <f>VLOOKUP(Tabelle5[[#This Row],[Name]],Durchschnitt!$A$1:$E$832,5,FALSE)</f>
        <v>0.63092962098974048</v>
      </c>
      <c r="F68" s="19">
        <v>1</v>
      </c>
      <c r="G68" s="13">
        <v>0</v>
      </c>
      <c r="H68" s="13">
        <v>0</v>
      </c>
      <c r="I68" s="13">
        <v>0</v>
      </c>
      <c r="J68" s="13">
        <v>0</v>
      </c>
      <c r="K68" s="13">
        <v>0</v>
      </c>
    </row>
    <row r="69" spans="1:11" x14ac:dyDescent="0.3">
      <c r="A69" s="12" t="s">
        <v>811</v>
      </c>
      <c r="B69" s="23">
        <f>VLOOKUP(Tabelle5[[#This Row],[Name]],Durchschnitt!$A$1:$B$832,2,FALSE)</f>
        <v>0.83333333333333337</v>
      </c>
      <c r="C69" s="23">
        <f>VLOOKUP(Tabelle5[[#This Row],[Name]],Durchschnitt!$A$1:$C$832,3,FALSE)</f>
        <v>0.17460317460317468</v>
      </c>
      <c r="D69" s="23">
        <f>VLOOKUP(Tabelle5[[#This Row],[Name]],Durchschnitt!$A$1:$D$832,4,FALSE)</f>
        <v>0.34467604463790574</v>
      </c>
      <c r="E69" s="23">
        <f>VLOOKUP(Tabelle5[[#This Row],[Name]],Durchschnitt!$A$1:$E$832,5,FALSE)</f>
        <v>0.31723472434353123</v>
      </c>
      <c r="F69" s="19">
        <v>3</v>
      </c>
      <c r="G69" s="13">
        <v>0</v>
      </c>
      <c r="H69" s="13">
        <v>2</v>
      </c>
      <c r="I69" s="13">
        <v>0</v>
      </c>
      <c r="J69" s="13">
        <v>0</v>
      </c>
      <c r="K69" s="13">
        <v>10</v>
      </c>
    </row>
    <row r="70" spans="1:11" x14ac:dyDescent="0.3">
      <c r="A70" s="12" t="s">
        <v>812</v>
      </c>
      <c r="B70" s="4">
        <f>VLOOKUP(Tabelle5[[#This Row],[Name]],Durchschnitt!$A$1:$B$832,2,FALSE)</f>
        <v>0.85714285714285665</v>
      </c>
      <c r="C70" s="4">
        <f>VLOOKUP(Tabelle5[[#This Row],[Name]],Durchschnitt!$A$1:$C$832,3,FALSE)</f>
        <v>0.20238095238095224</v>
      </c>
      <c r="D70" s="4">
        <f>VLOOKUP(Tabelle5[[#This Row],[Name]],Durchschnitt!$A$1:$D$832,4,FALSE)</f>
        <v>0.27333333333333326</v>
      </c>
      <c r="E70" s="4">
        <f>VLOOKUP(Tabelle5[[#This Row],[Name]],Durchschnitt!$A$1:$E$832,5,FALSE)</f>
        <v>0.37289156746819729</v>
      </c>
      <c r="F70" s="19">
        <v>2</v>
      </c>
      <c r="G70" s="13">
        <v>0</v>
      </c>
      <c r="H70" s="13">
        <v>0</v>
      </c>
      <c r="I70" s="13">
        <v>3</v>
      </c>
      <c r="J70" s="13">
        <v>4</v>
      </c>
      <c r="K70" s="13">
        <v>0</v>
      </c>
    </row>
    <row r="71" spans="1:11" x14ac:dyDescent="0.3">
      <c r="A71" s="12" t="s">
        <v>813</v>
      </c>
      <c r="B71" s="23">
        <f>VLOOKUP(Tabelle5[[#This Row],[Name]],Durchschnitt!$A$1:$B$832,2,FALSE)</f>
        <v>0.93333333333333324</v>
      </c>
      <c r="C71" s="23">
        <f>VLOOKUP(Tabelle5[[#This Row],[Name]],Durchschnitt!$A$1:$C$832,3,FALSE)</f>
        <v>0.21666666666666667</v>
      </c>
      <c r="D71" s="23">
        <f>VLOOKUP(Tabelle5[[#This Row],[Name]],Durchschnitt!$A$1:$D$832,4,FALSE)</f>
        <v>0.48281348281348296</v>
      </c>
      <c r="E71" s="23">
        <f>VLOOKUP(Tabelle5[[#This Row],[Name]],Durchschnitt!$A$1:$E$832,5,FALSE)</f>
        <v>0.44048927684736577</v>
      </c>
      <c r="F71" s="19">
        <v>2</v>
      </c>
      <c r="G71" s="13">
        <v>0</v>
      </c>
      <c r="H71" s="13">
        <v>2</v>
      </c>
      <c r="I71" s="13">
        <v>3</v>
      </c>
      <c r="J71" s="13">
        <v>0</v>
      </c>
      <c r="K71" s="13">
        <v>0</v>
      </c>
    </row>
    <row r="72" spans="1:11" x14ac:dyDescent="0.3">
      <c r="A72" s="12" t="s">
        <v>814</v>
      </c>
      <c r="B72" s="4">
        <f>VLOOKUP(Tabelle5[[#This Row],[Name]],Durchschnitt!$A$1:$B$832,2,FALSE)</f>
        <v>1.571428571428571</v>
      </c>
      <c r="C72" s="4">
        <f>VLOOKUP(Tabelle5[[#This Row],[Name]],Durchschnitt!$A$1:$C$832,3,FALSE)</f>
        <v>0.19246031746031744</v>
      </c>
      <c r="D72" s="4">
        <f>VLOOKUP(Tabelle5[[#This Row],[Name]],Durchschnitt!$A$1:$D$832,4,FALSE)</f>
        <v>0.23223824786324773</v>
      </c>
      <c r="E72" s="4">
        <f>VLOOKUP(Tabelle5[[#This Row],[Name]],Durchschnitt!$A$1:$E$832,5,FALSE)</f>
        <v>0.52733271186621111</v>
      </c>
      <c r="F72" s="19">
        <v>1</v>
      </c>
      <c r="G72" s="13">
        <v>4</v>
      </c>
      <c r="H72" s="13">
        <v>2</v>
      </c>
      <c r="I72" s="13">
        <v>0</v>
      </c>
      <c r="J72" s="13">
        <v>0</v>
      </c>
      <c r="K72" s="13">
        <v>0</v>
      </c>
    </row>
    <row r="73" spans="1:11" x14ac:dyDescent="0.3">
      <c r="A73" s="12" t="s">
        <v>815</v>
      </c>
      <c r="B73" s="23">
        <f>VLOOKUP(Tabelle5[[#This Row],[Name]],Durchschnitt!$A$1:$B$832,2,FALSE)</f>
        <v>1.7333333333333334</v>
      </c>
      <c r="C73" s="23">
        <f>VLOOKUP(Tabelle5[[#This Row],[Name]],Durchschnitt!$A$1:$C$832,3,FALSE)</f>
        <v>7.4999999999999997E-2</v>
      </c>
      <c r="D73" s="23">
        <f>VLOOKUP(Tabelle5[[#This Row],[Name]],Durchschnitt!$A$1:$D$832,4,FALSE)</f>
        <v>0.41644385026737996</v>
      </c>
      <c r="E73" s="23">
        <f>VLOOKUP(Tabelle5[[#This Row],[Name]],Durchschnitt!$A$1:$E$832,5,FALSE)</f>
        <v>0.65630845632510415</v>
      </c>
      <c r="F73" s="19">
        <v>1</v>
      </c>
      <c r="G73" s="13">
        <v>1</v>
      </c>
      <c r="H73" s="13">
        <v>2</v>
      </c>
      <c r="I73" s="13">
        <v>0</v>
      </c>
      <c r="J73" s="13">
        <v>0</v>
      </c>
      <c r="K73" s="13">
        <v>5</v>
      </c>
    </row>
    <row r="74" spans="1:11" x14ac:dyDescent="0.3">
      <c r="A74" s="12" t="s">
        <v>816</v>
      </c>
      <c r="B74" s="4">
        <f>VLOOKUP(Tabelle5[[#This Row],[Name]],Durchschnitt!$A$1:$B$832,2,FALSE)</f>
        <v>1.6</v>
      </c>
      <c r="C74" s="4">
        <f>VLOOKUP(Tabelle5[[#This Row],[Name]],Durchschnitt!$A$1:$C$832,3,FALSE)</f>
        <v>0.20000000000000018</v>
      </c>
      <c r="D74" s="4">
        <f>VLOOKUP(Tabelle5[[#This Row],[Name]],Durchschnitt!$A$1:$D$832,4,FALSE)</f>
        <v>0.3999999999999998</v>
      </c>
      <c r="E74" s="4">
        <f>VLOOKUP(Tabelle5[[#This Row],[Name]],Durchschnitt!$A$1:$E$832,5,FALSE)</f>
        <v>0.60500527552488559</v>
      </c>
      <c r="F74" s="19">
        <v>1</v>
      </c>
      <c r="G74" s="13">
        <v>2</v>
      </c>
      <c r="H74" s="13">
        <v>2</v>
      </c>
      <c r="I74" s="13">
        <v>0</v>
      </c>
      <c r="J74" s="13">
        <v>0</v>
      </c>
      <c r="K74" s="13">
        <v>0</v>
      </c>
    </row>
    <row r="75" spans="1:11" x14ac:dyDescent="0.3">
      <c r="A75" s="12" t="s">
        <v>817</v>
      </c>
      <c r="B75" s="23">
        <f>VLOOKUP(Tabelle5[[#This Row],[Name]],Durchschnitt!$A$1:$B$832,2,FALSE)</f>
        <v>0.66666666666666663</v>
      </c>
      <c r="C75" s="23">
        <f>VLOOKUP(Tabelle5[[#This Row],[Name]],Durchschnitt!$A$1:$C$832,3,FALSE)</f>
        <v>0.10819735819735819</v>
      </c>
      <c r="D75" s="23">
        <f>VLOOKUP(Tabelle5[[#This Row],[Name]],Durchschnitt!$A$1:$D$832,4,FALSE)</f>
        <v>0.358852442256686</v>
      </c>
      <c r="E75" s="23">
        <f>VLOOKUP(Tabelle5[[#This Row],[Name]],Durchschnitt!$A$1:$E$832,5,FALSE)</f>
        <v>0.30075783346052398</v>
      </c>
      <c r="F75" s="19">
        <v>3</v>
      </c>
      <c r="G75" s="13">
        <v>0</v>
      </c>
      <c r="H75" s="13">
        <v>0</v>
      </c>
      <c r="I75" s="13">
        <v>0</v>
      </c>
      <c r="J75" s="13">
        <v>0</v>
      </c>
      <c r="K75" s="13">
        <v>0</v>
      </c>
    </row>
    <row r="76" spans="1:11" x14ac:dyDescent="0.3">
      <c r="A76" s="12" t="s">
        <v>818</v>
      </c>
      <c r="B76" s="4">
        <f>VLOOKUP(Tabelle5[[#This Row],[Name]],Durchschnitt!$A$1:$B$832,2,FALSE)</f>
        <v>0</v>
      </c>
      <c r="C76" s="4">
        <f>VLOOKUP(Tabelle5[[#This Row],[Name]],Durchschnitt!$A$1:$C$832,3,FALSE)</f>
        <v>0</v>
      </c>
      <c r="D76" s="4">
        <f>VLOOKUP(Tabelle5[[#This Row],[Name]],Durchschnitt!$A$1:$D$832,4,FALSE)</f>
        <v>0</v>
      </c>
      <c r="E76" s="4">
        <f>VLOOKUP(Tabelle5[[#This Row],[Name]],Durchschnitt!$A$1:$E$832,5,FALSE)</f>
        <v>0</v>
      </c>
      <c r="F76" s="19">
        <v>1</v>
      </c>
      <c r="G76" s="13">
        <v>0</v>
      </c>
      <c r="H76" s="13">
        <v>0</v>
      </c>
      <c r="I76" s="13">
        <v>0</v>
      </c>
      <c r="J76" s="13">
        <v>0</v>
      </c>
      <c r="K76" s="13">
        <v>0</v>
      </c>
    </row>
    <row r="77" spans="1:11" x14ac:dyDescent="0.3">
      <c r="A77" s="12" t="s">
        <v>819</v>
      </c>
      <c r="B77" s="23">
        <f>VLOOKUP(Tabelle5[[#This Row],[Name]],Durchschnitt!$A$1:$B$832,2,FALSE)</f>
        <v>1</v>
      </c>
      <c r="C77" s="23">
        <f>VLOOKUP(Tabelle5[[#This Row],[Name]],Durchschnitt!$A$1:$C$832,3,FALSE)</f>
        <v>0.28333333333333338</v>
      </c>
      <c r="D77" s="23">
        <f>VLOOKUP(Tabelle5[[#This Row],[Name]],Durchschnitt!$A$1:$D$832,4,FALSE)</f>
        <v>0.14909496300800659</v>
      </c>
      <c r="E77" s="23">
        <f>VLOOKUP(Tabelle5[[#This Row],[Name]],Durchschnitt!$A$1:$E$832,5,FALSE)</f>
        <v>0.5379341407574274</v>
      </c>
      <c r="F77" s="19">
        <v>4</v>
      </c>
      <c r="G77" s="13">
        <v>0</v>
      </c>
      <c r="H77" s="13">
        <v>0</v>
      </c>
      <c r="I77" s="13">
        <v>0</v>
      </c>
      <c r="J77" s="13">
        <v>0</v>
      </c>
      <c r="K77" s="13">
        <v>0</v>
      </c>
    </row>
    <row r="78" spans="1:11" x14ac:dyDescent="0.3">
      <c r="A78" s="12" t="s">
        <v>820</v>
      </c>
      <c r="B78" s="4">
        <f>VLOOKUP(Tabelle5[[#This Row],[Name]],Durchschnitt!$A$1:$B$832,2,FALSE)</f>
        <v>1.3333333333333333</v>
      </c>
      <c r="C78" s="4">
        <f>VLOOKUP(Tabelle5[[#This Row],[Name]],Durchschnitt!$A$1:$C$832,3,FALSE)</f>
        <v>0.16666666666666666</v>
      </c>
      <c r="D78" s="4">
        <f>VLOOKUP(Tabelle5[[#This Row],[Name]],Durchschnitt!$A$1:$D$832,4,FALSE)</f>
        <v>0.44592517618833433</v>
      </c>
      <c r="E78" s="4">
        <f>VLOOKUP(Tabelle5[[#This Row],[Name]],Durchschnitt!$A$1:$E$832,5,FALSE)</f>
        <v>0.56315669928584211</v>
      </c>
      <c r="F78" s="19">
        <v>1</v>
      </c>
      <c r="G78" s="13">
        <v>0</v>
      </c>
      <c r="H78" s="13">
        <v>0</v>
      </c>
      <c r="I78" s="13">
        <v>0</v>
      </c>
      <c r="J78" s="13">
        <v>0</v>
      </c>
      <c r="K78" s="13">
        <v>5</v>
      </c>
    </row>
    <row r="79" spans="1:11" x14ac:dyDescent="0.3">
      <c r="A79" s="12" t="s">
        <v>821</v>
      </c>
      <c r="B79" s="23">
        <f>VLOOKUP(Tabelle5[[#This Row],[Name]],Durchschnitt!$A$1:$B$832,2,FALSE)</f>
        <v>1.6666666666666652</v>
      </c>
      <c r="C79" s="23">
        <f>VLOOKUP(Tabelle5[[#This Row],[Name]],Durchschnitt!$A$1:$C$832,3,FALSE)</f>
        <v>0.16666666666666699</v>
      </c>
      <c r="D79" s="23">
        <f>VLOOKUP(Tabelle5[[#This Row],[Name]],Durchschnitt!$A$1:$D$832,4,FALSE)</f>
        <v>0.75</v>
      </c>
      <c r="E79" s="23">
        <f>VLOOKUP(Tabelle5[[#This Row],[Name]],Durchschnitt!$A$1:$E$832,5,FALSE)</f>
        <v>0.57002747232012951</v>
      </c>
      <c r="F79" s="19">
        <v>1</v>
      </c>
      <c r="G79" s="13">
        <v>0</v>
      </c>
      <c r="H79" s="13">
        <v>0</v>
      </c>
      <c r="I79" s="13">
        <v>0</v>
      </c>
      <c r="J79" s="13">
        <v>0</v>
      </c>
      <c r="K79" s="13">
        <v>5</v>
      </c>
    </row>
    <row r="80" spans="1:11" x14ac:dyDescent="0.3">
      <c r="A80" s="14" t="s">
        <v>822</v>
      </c>
      <c r="B80" s="4">
        <f>VLOOKUP(Tabelle5[[#This Row],[Name]],Durchschnitt!$A$1:$B$832,2,FALSE)</f>
        <v>1.4</v>
      </c>
      <c r="C80" s="4">
        <f>VLOOKUP(Tabelle5[[#This Row],[Name]],Durchschnitt!$A$1:$C$832,3,FALSE)</f>
        <v>0.13333333333333339</v>
      </c>
      <c r="D80" s="4">
        <f>VLOOKUP(Tabelle5[[#This Row],[Name]],Durchschnitt!$A$1:$D$832,4,FALSE)</f>
        <v>0.27067824648469802</v>
      </c>
      <c r="E80" s="4">
        <f>VLOOKUP(Tabelle5[[#This Row],[Name]],Durchschnitt!$A$1:$E$832,5,FALSE)</f>
        <v>0.62222222222222223</v>
      </c>
      <c r="F80" s="19">
        <v>1</v>
      </c>
      <c r="G80" s="13">
        <v>2</v>
      </c>
      <c r="H80" s="13">
        <v>2</v>
      </c>
      <c r="I80" s="13">
        <v>0</v>
      </c>
      <c r="J80" s="13">
        <v>0</v>
      </c>
      <c r="K80" s="13">
        <v>0</v>
      </c>
    </row>
    <row r="81" spans="1:11" x14ac:dyDescent="0.3">
      <c r="A81" s="12" t="s">
        <v>823</v>
      </c>
      <c r="B81" s="23">
        <f>VLOOKUP(Tabelle5[[#This Row],[Name]],Durchschnitt!$A$1:$B$832,2,FALSE)</f>
        <v>0.60952380952380969</v>
      </c>
      <c r="C81" s="23">
        <f>VLOOKUP(Tabelle5[[#This Row],[Name]],Durchschnitt!$A$1:$C$832,3,FALSE)</f>
        <v>0.11904761904761901</v>
      </c>
      <c r="D81" s="23">
        <f>VLOOKUP(Tabelle5[[#This Row],[Name]],Durchschnitt!$A$1:$D$832,4,FALSE)</f>
        <v>0.36079227241608419</v>
      </c>
      <c r="E81" s="23">
        <f>VLOOKUP(Tabelle5[[#This Row],[Name]],Durchschnitt!$A$1:$E$832,5,FALSE)</f>
        <v>0.28863957895031611</v>
      </c>
      <c r="F81" s="19">
        <v>1</v>
      </c>
      <c r="G81" s="13">
        <v>1</v>
      </c>
      <c r="H81" s="13">
        <v>2</v>
      </c>
      <c r="I81" s="13">
        <v>0</v>
      </c>
      <c r="J81" s="13">
        <v>0</v>
      </c>
      <c r="K81" s="13">
        <v>0</v>
      </c>
    </row>
    <row r="82" spans="1:11" x14ac:dyDescent="0.3">
      <c r="A82" s="22" t="s">
        <v>852</v>
      </c>
      <c r="B82" s="23">
        <f>VLOOKUP(Tabelle5[[#This Row],[Name]],Durchschnitt!$A$1:$B$832,2,FALSE)</f>
        <v>1.2000000000000011</v>
      </c>
      <c r="C82" s="23">
        <f>VLOOKUP(Tabelle5[[#This Row],[Name]],Durchschnitt!$A$1:$C$832,3,FALSE)</f>
        <v>0.14657407407407394</v>
      </c>
      <c r="D82" s="23">
        <f>VLOOKUP(Tabelle5[[#This Row],[Name]],Durchschnitt!$A$1:$D$832,4,FALSE)</f>
        <v>0.38233907126561129</v>
      </c>
      <c r="E82" s="23">
        <f>VLOOKUP(Tabelle5[[#This Row],[Name]],Durchschnitt!$A$1:$E$832,5,FALSE)</f>
        <v>0.53181551961032025</v>
      </c>
      <c r="F82" s="19">
        <v>1</v>
      </c>
      <c r="G82" s="13">
        <v>3</v>
      </c>
      <c r="H82" s="13">
        <v>6</v>
      </c>
      <c r="I82" s="13">
        <v>0</v>
      </c>
      <c r="J82" s="13">
        <v>0</v>
      </c>
      <c r="K82" s="13">
        <v>0</v>
      </c>
    </row>
    <row r="83" spans="1:11" x14ac:dyDescent="0.3">
      <c r="A83" s="22" t="s">
        <v>853</v>
      </c>
      <c r="B83" s="13">
        <f>VLOOKUP(Tabelle5[[#This Row],[Name]],Durchschnitt!$A$1:$B$832,2,FALSE)</f>
        <v>0.77777777777777779</v>
      </c>
      <c r="C83" s="13">
        <f>VLOOKUP(Tabelle5[[#This Row],[Name]],Durchschnitt!$A$1:$C$832,3,FALSE)</f>
        <v>7.9365079365079305E-2</v>
      </c>
      <c r="D83" s="13">
        <f>VLOOKUP(Tabelle5[[#This Row],[Name]],Durchschnitt!$A$1:$D$832,4,FALSE)</f>
        <v>0.33326109887513389</v>
      </c>
      <c r="E83" s="13">
        <f>VLOOKUP(Tabelle5[[#This Row],[Name]],Durchschnitt!$A$1:$E$832,5,FALSE)</f>
        <v>0.31307703384659641</v>
      </c>
      <c r="F83" s="19">
        <v>4</v>
      </c>
      <c r="G83" s="13">
        <v>0</v>
      </c>
      <c r="H83" s="13">
        <v>0</v>
      </c>
      <c r="I83" s="13">
        <v>3</v>
      </c>
      <c r="J83" s="13">
        <v>4</v>
      </c>
      <c r="K83" s="13">
        <v>0</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94024-4390-44D9-86A6-DAE9CB6B0625}">
  <dimension ref="A3:B8"/>
  <sheetViews>
    <sheetView workbookViewId="0">
      <selection activeCell="H7" sqref="H7"/>
    </sheetView>
  </sheetViews>
  <sheetFormatPr baseColWidth="10" defaultRowHeight="14.4" x14ac:dyDescent="0.3"/>
  <cols>
    <col min="1" max="1" width="21" bestFit="1" customWidth="1"/>
    <col min="2" max="3" width="15.21875" bestFit="1" customWidth="1"/>
  </cols>
  <sheetData>
    <row r="3" spans="1:2" x14ac:dyDescent="0.3">
      <c r="A3" s="1" t="s">
        <v>739</v>
      </c>
      <c r="B3" t="s">
        <v>830</v>
      </c>
    </row>
    <row r="4" spans="1:2" x14ac:dyDescent="0.3">
      <c r="A4" s="21">
        <v>1</v>
      </c>
      <c r="B4">
        <v>64</v>
      </c>
    </row>
    <row r="5" spans="1:2" x14ac:dyDescent="0.3">
      <c r="A5" s="21">
        <v>2</v>
      </c>
      <c r="B5">
        <v>6</v>
      </c>
    </row>
    <row r="6" spans="1:2" x14ac:dyDescent="0.3">
      <c r="A6" s="21">
        <v>3</v>
      </c>
      <c r="B6">
        <v>3</v>
      </c>
    </row>
    <row r="7" spans="1:2" x14ac:dyDescent="0.3">
      <c r="A7" s="21">
        <v>4</v>
      </c>
      <c r="B7">
        <v>9</v>
      </c>
    </row>
    <row r="8" spans="1:2" x14ac:dyDescent="0.3">
      <c r="A8" s="21" t="s">
        <v>740</v>
      </c>
      <c r="B8">
        <v>82</v>
      </c>
    </row>
  </sheetData>
  <pageMargins left="0.7" right="0.7" top="0.78740157499999996" bottom="0.78740157499999996"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EE33A-D309-47E0-8519-6271ED3A396C}">
  <dimension ref="A1:G569"/>
  <sheetViews>
    <sheetView zoomScale="80" zoomScaleNormal="80" workbookViewId="0">
      <selection activeCell="G10" sqref="G10"/>
    </sheetView>
  </sheetViews>
  <sheetFormatPr baseColWidth="10" defaultColWidth="8.88671875" defaultRowHeight="14.4" x14ac:dyDescent="0.3"/>
  <cols>
    <col min="1" max="1" width="66.109375" bestFit="1" customWidth="1"/>
    <col min="2" max="2" width="31.5546875" style="4" bestFit="1" customWidth="1"/>
    <col min="3" max="3" width="19.109375" style="4" bestFit="1" customWidth="1"/>
    <col min="4" max="4" width="31.6640625" style="4" bestFit="1" customWidth="1"/>
    <col min="5" max="5" width="29.88671875" style="4" bestFit="1" customWidth="1"/>
    <col min="6" max="6" width="33.21875" style="4" customWidth="1"/>
    <col min="7" max="7" width="10.109375" bestFit="1" customWidth="1"/>
  </cols>
  <sheetData>
    <row r="1" spans="1:7" x14ac:dyDescent="0.3">
      <c r="A1" t="s">
        <v>9</v>
      </c>
      <c r="B1" t="s">
        <v>614</v>
      </c>
      <c r="C1" s="4" t="s">
        <v>615</v>
      </c>
      <c r="D1" t="s">
        <v>616</v>
      </c>
      <c r="E1" t="s">
        <v>617</v>
      </c>
      <c r="F1" s="4" t="s">
        <v>618</v>
      </c>
      <c r="G1" t="s">
        <v>610</v>
      </c>
    </row>
    <row r="2" spans="1:7" x14ac:dyDescent="0.3">
      <c r="A2" t="s">
        <v>619</v>
      </c>
      <c r="B2" t="s">
        <v>17</v>
      </c>
      <c r="G2" s="4">
        <f>AVERAGE(C2:C9)</f>
        <v>0.88888888888888895</v>
      </c>
    </row>
    <row r="3" spans="1:7" x14ac:dyDescent="0.3">
      <c r="A3" t="s">
        <v>619</v>
      </c>
      <c r="B3" t="s">
        <v>23</v>
      </c>
      <c r="G3" s="4"/>
    </row>
    <row r="4" spans="1:7" x14ac:dyDescent="0.3">
      <c r="A4" t="s">
        <v>619</v>
      </c>
      <c r="B4" t="s">
        <v>27</v>
      </c>
      <c r="G4" s="4"/>
    </row>
    <row r="5" spans="1:7" x14ac:dyDescent="0.3">
      <c r="A5" t="s">
        <v>620</v>
      </c>
      <c r="B5" t="s">
        <v>560</v>
      </c>
      <c r="C5" s="4">
        <v>0.44444444444444398</v>
      </c>
      <c r="D5" s="4">
        <v>0.22222222222222199</v>
      </c>
      <c r="E5" s="4">
        <v>0.40909090909090901</v>
      </c>
      <c r="F5" s="4">
        <v>3.83871767284353E-2</v>
      </c>
      <c r="G5" s="4"/>
    </row>
    <row r="6" spans="1:7" x14ac:dyDescent="0.3">
      <c r="A6" t="s">
        <v>620</v>
      </c>
      <c r="B6" t="s">
        <v>601</v>
      </c>
      <c r="C6" s="4">
        <v>0.22222222222222199</v>
      </c>
      <c r="D6" s="4">
        <v>0</v>
      </c>
      <c r="E6" s="4">
        <v>0.3</v>
      </c>
      <c r="F6" s="4">
        <v>1.47141028894164E-3</v>
      </c>
      <c r="G6" s="4"/>
    </row>
    <row r="7" spans="1:7" x14ac:dyDescent="0.3">
      <c r="A7" t="s">
        <v>620</v>
      </c>
      <c r="B7" t="s">
        <v>561</v>
      </c>
      <c r="C7" s="4">
        <v>1.7777777777777799</v>
      </c>
      <c r="D7" s="4">
        <v>0.72222222222222199</v>
      </c>
      <c r="E7" s="4">
        <v>0.5625</v>
      </c>
      <c r="F7" s="4">
        <v>1</v>
      </c>
      <c r="G7" s="4"/>
    </row>
    <row r="8" spans="1:7" x14ac:dyDescent="0.3">
      <c r="A8" t="s">
        <v>620</v>
      </c>
      <c r="B8" t="s">
        <v>602</v>
      </c>
      <c r="C8" s="4">
        <v>0.88888888888888895</v>
      </c>
      <c r="D8" s="4">
        <v>0</v>
      </c>
      <c r="E8" s="4">
        <v>0.34615384615384598</v>
      </c>
      <c r="F8" s="4">
        <v>0.183761782169198</v>
      </c>
      <c r="G8" s="4"/>
    </row>
    <row r="9" spans="1:7" x14ac:dyDescent="0.3">
      <c r="A9" t="s">
        <v>620</v>
      </c>
      <c r="B9" t="s">
        <v>563</v>
      </c>
      <c r="C9" s="4">
        <v>1.1111111111111101</v>
      </c>
      <c r="D9" s="4">
        <v>0</v>
      </c>
      <c r="E9" s="4">
        <v>0.28125</v>
      </c>
      <c r="F9" s="4">
        <v>0.72175853524477496</v>
      </c>
      <c r="G9" s="4"/>
    </row>
    <row r="10" spans="1:7" x14ac:dyDescent="0.3">
      <c r="A10" t="s">
        <v>620</v>
      </c>
      <c r="B10" t="s">
        <v>85</v>
      </c>
      <c r="C10" s="4">
        <v>1.1111111111111101</v>
      </c>
      <c r="D10" s="4">
        <v>0</v>
      </c>
      <c r="E10" s="4">
        <v>0.31034482758620702</v>
      </c>
      <c r="F10" s="4">
        <v>0.81643093382051901</v>
      </c>
      <c r="G10" s="4">
        <f>AVERAGE(C10:C21)</f>
        <v>1.3666666666666665</v>
      </c>
    </row>
    <row r="11" spans="1:7" x14ac:dyDescent="0.3">
      <c r="A11" t="s">
        <v>620</v>
      </c>
      <c r="B11" t="s">
        <v>603</v>
      </c>
      <c r="C11" s="4">
        <v>0.44444444444444398</v>
      </c>
      <c r="D11" s="4">
        <v>0.16666666666666699</v>
      </c>
      <c r="E11" s="4">
        <v>0.40909090909090901</v>
      </c>
      <c r="F11" s="4">
        <v>6.9625208024108598E-2</v>
      </c>
      <c r="G11" s="4"/>
    </row>
    <row r="12" spans="1:7" x14ac:dyDescent="0.3">
      <c r="A12" t="s">
        <v>620</v>
      </c>
      <c r="B12" t="s">
        <v>604</v>
      </c>
      <c r="C12" s="4">
        <v>0.44444444444444398</v>
      </c>
      <c r="D12" s="4">
        <v>0</v>
      </c>
      <c r="E12" s="4">
        <v>0.28125</v>
      </c>
      <c r="F12" s="4">
        <v>0.20183927923720699</v>
      </c>
      <c r="G12" s="4"/>
    </row>
    <row r="13" spans="1:7" x14ac:dyDescent="0.3">
      <c r="A13" t="s">
        <v>620</v>
      </c>
      <c r="B13" t="s">
        <v>605</v>
      </c>
      <c r="C13" s="4">
        <v>0.88888888888888895</v>
      </c>
      <c r="D13" s="4">
        <v>0.29166666666666702</v>
      </c>
      <c r="E13" s="4">
        <v>0.47368421052631599</v>
      </c>
      <c r="F13" s="4">
        <v>0.12246457943637699</v>
      </c>
      <c r="G13" s="4"/>
    </row>
    <row r="14" spans="1:7" x14ac:dyDescent="0.3">
      <c r="A14" t="s">
        <v>620</v>
      </c>
      <c r="B14" t="s">
        <v>606</v>
      </c>
      <c r="C14" s="4">
        <v>1.1111111111111101</v>
      </c>
      <c r="D14" s="4">
        <v>2.7777777777777801E-2</v>
      </c>
      <c r="E14" s="4">
        <v>0.375</v>
      </c>
      <c r="F14" s="4">
        <v>0.383900632830871</v>
      </c>
      <c r="G14" s="4"/>
    </row>
    <row r="15" spans="1:7" x14ac:dyDescent="0.3">
      <c r="A15" t="s">
        <v>621</v>
      </c>
      <c r="B15" t="s">
        <v>30</v>
      </c>
      <c r="C15" s="4">
        <v>1.6</v>
      </c>
      <c r="D15" s="4">
        <v>0</v>
      </c>
      <c r="E15" s="4">
        <v>0.27777777777777801</v>
      </c>
      <c r="F15" s="4">
        <v>0.45186423914524898</v>
      </c>
      <c r="G15" s="4"/>
    </row>
    <row r="16" spans="1:7" x14ac:dyDescent="0.3">
      <c r="A16" t="s">
        <v>621</v>
      </c>
      <c r="B16" t="s">
        <v>34</v>
      </c>
      <c r="C16" s="4">
        <v>2</v>
      </c>
      <c r="D16" s="4">
        <v>0.4</v>
      </c>
      <c r="E16" s="4">
        <v>0.35714285714285698</v>
      </c>
      <c r="F16" s="4">
        <v>0.40780303044572702</v>
      </c>
      <c r="G16" s="4"/>
    </row>
    <row r="17" spans="1:7" x14ac:dyDescent="0.3">
      <c r="A17" t="s">
        <v>621</v>
      </c>
      <c r="B17" t="s">
        <v>37</v>
      </c>
      <c r="C17" s="4">
        <v>2</v>
      </c>
      <c r="D17" s="4">
        <v>0.1</v>
      </c>
      <c r="E17" s="4">
        <v>0.33333333333333298</v>
      </c>
      <c r="F17" s="4">
        <v>0.68260571356004196</v>
      </c>
      <c r="G17" s="4"/>
    </row>
    <row r="18" spans="1:7" x14ac:dyDescent="0.3">
      <c r="A18" t="s">
        <v>621</v>
      </c>
      <c r="B18" t="s">
        <v>40</v>
      </c>
      <c r="C18" s="4">
        <v>1.6</v>
      </c>
      <c r="D18" s="4">
        <v>0</v>
      </c>
      <c r="E18" s="4">
        <v>0.22727272727272699</v>
      </c>
      <c r="F18" s="4">
        <v>0.92457227880880199</v>
      </c>
      <c r="G18" s="4"/>
    </row>
    <row r="19" spans="1:7" x14ac:dyDescent="0.3">
      <c r="A19" t="s">
        <v>621</v>
      </c>
      <c r="B19" t="s">
        <v>42</v>
      </c>
      <c r="C19" s="4">
        <v>2</v>
      </c>
      <c r="D19" s="4">
        <v>0</v>
      </c>
      <c r="E19" s="4">
        <v>0.27777777777777801</v>
      </c>
      <c r="F19" s="4">
        <v>1</v>
      </c>
      <c r="G19" s="4"/>
    </row>
    <row r="20" spans="1:7" x14ac:dyDescent="0.3">
      <c r="A20" t="s">
        <v>621</v>
      </c>
      <c r="B20" t="s">
        <v>45</v>
      </c>
      <c r="C20" s="4">
        <v>1.2</v>
      </c>
      <c r="D20" s="4">
        <v>0.4</v>
      </c>
      <c r="E20" s="4">
        <v>0.38461538461538503</v>
      </c>
      <c r="F20" s="4">
        <v>0.12404363187041401</v>
      </c>
      <c r="G20" s="4"/>
    </row>
    <row r="21" spans="1:7" x14ac:dyDescent="0.3">
      <c r="A21" t="s">
        <v>622</v>
      </c>
      <c r="B21" t="s">
        <v>49</v>
      </c>
      <c r="C21" s="4">
        <v>2</v>
      </c>
      <c r="D21" s="4">
        <v>0.66666666666666696</v>
      </c>
      <c r="E21" s="4">
        <v>0.75</v>
      </c>
      <c r="F21" s="4">
        <v>1</v>
      </c>
      <c r="G21" s="4"/>
    </row>
    <row r="22" spans="1:7" x14ac:dyDescent="0.3">
      <c r="A22" t="s">
        <v>622</v>
      </c>
      <c r="B22" t="s">
        <v>51</v>
      </c>
      <c r="C22" s="4">
        <v>1.3333333333333299</v>
      </c>
      <c r="D22" s="4">
        <v>0.66666666666666696</v>
      </c>
      <c r="E22" s="4">
        <v>0.75</v>
      </c>
      <c r="F22" s="4">
        <v>0.53216822606869996</v>
      </c>
      <c r="G22" s="4">
        <f>AVERAGE(C22:C28)</f>
        <v>1.4285714285714268</v>
      </c>
    </row>
    <row r="23" spans="1:7" x14ac:dyDescent="0.3">
      <c r="A23" t="s">
        <v>622</v>
      </c>
      <c r="B23" t="s">
        <v>52</v>
      </c>
      <c r="C23" s="4">
        <v>1.3333333333333299</v>
      </c>
      <c r="D23" s="4">
        <v>0</v>
      </c>
      <c r="E23" s="4">
        <v>0.5</v>
      </c>
      <c r="F23" s="4">
        <v>0.95935180783908602</v>
      </c>
      <c r="G23" s="4"/>
    </row>
    <row r="24" spans="1:7" x14ac:dyDescent="0.3">
      <c r="A24" t="s">
        <v>622</v>
      </c>
      <c r="B24" t="s">
        <v>54</v>
      </c>
      <c r="C24" s="4">
        <v>0.66666666666666696</v>
      </c>
      <c r="D24" s="4">
        <v>0</v>
      </c>
      <c r="E24" s="4">
        <v>0.5</v>
      </c>
      <c r="F24" s="4">
        <v>0.27160422336589701</v>
      </c>
      <c r="G24" s="4"/>
    </row>
    <row r="25" spans="1:7" x14ac:dyDescent="0.3">
      <c r="A25" t="s">
        <v>623</v>
      </c>
      <c r="B25" t="s">
        <v>84</v>
      </c>
      <c r="C25" s="4">
        <v>2</v>
      </c>
      <c r="D25" s="4">
        <v>0.16666666666666699</v>
      </c>
      <c r="E25" s="4">
        <v>0.42857142857142899</v>
      </c>
      <c r="F25" s="4">
        <v>1</v>
      </c>
      <c r="G25" s="4"/>
    </row>
    <row r="26" spans="1:7" x14ac:dyDescent="0.3">
      <c r="A26" t="s">
        <v>623</v>
      </c>
      <c r="B26" t="s">
        <v>85</v>
      </c>
      <c r="C26" s="4">
        <v>2</v>
      </c>
      <c r="D26" s="4">
        <v>0.16666666666666699</v>
      </c>
      <c r="E26" s="4">
        <v>0.42857142857142899</v>
      </c>
      <c r="F26" s="4">
        <v>1</v>
      </c>
      <c r="G26" s="4"/>
    </row>
    <row r="27" spans="1:7" x14ac:dyDescent="0.3">
      <c r="A27" t="s">
        <v>623</v>
      </c>
      <c r="B27" t="s">
        <v>56</v>
      </c>
      <c r="C27" s="4">
        <v>1.3333333333333299</v>
      </c>
      <c r="D27" s="4">
        <v>0.33333333333333298</v>
      </c>
      <c r="E27" s="4">
        <v>0.42857142857142899</v>
      </c>
      <c r="F27" s="4">
        <v>0.12414315171437</v>
      </c>
      <c r="G27" s="4"/>
    </row>
    <row r="28" spans="1:7" x14ac:dyDescent="0.3">
      <c r="A28" t="s">
        <v>623</v>
      </c>
      <c r="B28" t="s">
        <v>88</v>
      </c>
      <c r="C28" s="4">
        <v>1.3333333333333299</v>
      </c>
      <c r="D28" s="4">
        <v>0</v>
      </c>
      <c r="E28" s="4">
        <v>0.230769230769231</v>
      </c>
      <c r="F28" s="4">
        <v>0.496572606857482</v>
      </c>
      <c r="G28" s="4"/>
    </row>
    <row r="29" spans="1:7" x14ac:dyDescent="0.3">
      <c r="A29" t="s">
        <v>624</v>
      </c>
      <c r="B29" t="s">
        <v>91</v>
      </c>
      <c r="C29" s="4">
        <v>2</v>
      </c>
      <c r="D29" s="4">
        <v>0.133333333333333</v>
      </c>
      <c r="E29" s="4">
        <v>0.35294117647058798</v>
      </c>
      <c r="F29" s="4">
        <v>1</v>
      </c>
      <c r="G29" s="4"/>
    </row>
    <row r="30" spans="1:7" x14ac:dyDescent="0.3">
      <c r="A30" t="s">
        <v>624</v>
      </c>
      <c r="B30" t="s">
        <v>94</v>
      </c>
      <c r="C30" s="4">
        <v>1.6666666666666701</v>
      </c>
      <c r="D30" s="4">
        <v>0.133333333333333</v>
      </c>
      <c r="E30" s="4">
        <v>0.3</v>
      </c>
      <c r="F30" s="4">
        <v>0.76059425267780501</v>
      </c>
      <c r="G30" s="4"/>
    </row>
    <row r="31" spans="1:7" x14ac:dyDescent="0.3">
      <c r="A31" t="s">
        <v>624</v>
      </c>
      <c r="B31" t="s">
        <v>97</v>
      </c>
      <c r="C31" s="4">
        <v>1</v>
      </c>
      <c r="D31" s="4">
        <v>0.2</v>
      </c>
      <c r="E31" s="4">
        <v>0.31578947368421101</v>
      </c>
      <c r="F31" s="4">
        <v>0.22858569381341701</v>
      </c>
      <c r="G31" s="4"/>
    </row>
    <row r="32" spans="1:7" x14ac:dyDescent="0.3">
      <c r="A32" t="s">
        <v>624</v>
      </c>
      <c r="B32" t="s">
        <v>98</v>
      </c>
      <c r="C32" s="4">
        <v>2</v>
      </c>
      <c r="D32" s="4">
        <v>0.133333333333333</v>
      </c>
      <c r="E32" s="4">
        <v>0.35294117647058798</v>
      </c>
      <c r="F32" s="4">
        <v>0.89915266055836895</v>
      </c>
      <c r="G32" s="4"/>
    </row>
    <row r="33" spans="1:7" x14ac:dyDescent="0.3">
      <c r="A33" t="s">
        <v>624</v>
      </c>
      <c r="B33" t="s">
        <v>100</v>
      </c>
      <c r="C33" s="4">
        <v>1.3333333333333299</v>
      </c>
      <c r="D33" s="4">
        <v>0</v>
      </c>
      <c r="E33" s="4">
        <v>0.28571428571428598</v>
      </c>
      <c r="F33" s="4">
        <v>0.36009806601030497</v>
      </c>
      <c r="G33" s="4"/>
    </row>
    <row r="34" spans="1:7" x14ac:dyDescent="0.3">
      <c r="A34" t="s">
        <v>624</v>
      </c>
      <c r="B34" t="s">
        <v>102</v>
      </c>
      <c r="C34" s="4">
        <v>1.3333333333333299</v>
      </c>
      <c r="D34" s="4">
        <v>0.1</v>
      </c>
      <c r="E34" s="4">
        <v>0.33333333333333298</v>
      </c>
      <c r="F34" s="4">
        <v>0.29517468699158</v>
      </c>
      <c r="G34" s="4"/>
    </row>
    <row r="35" spans="1:7" x14ac:dyDescent="0.3">
      <c r="A35" t="s">
        <v>624</v>
      </c>
      <c r="B35" t="s">
        <v>103</v>
      </c>
      <c r="C35" s="4">
        <v>0.66666666666666696</v>
      </c>
      <c r="D35" s="4">
        <v>6.6666666666666693E-2</v>
      </c>
      <c r="E35" s="4">
        <v>0.3</v>
      </c>
      <c r="F35" s="4">
        <v>6.7221371524696302E-2</v>
      </c>
      <c r="G35" s="4"/>
    </row>
    <row r="36" spans="1:7" x14ac:dyDescent="0.3">
      <c r="A36" t="s">
        <v>625</v>
      </c>
      <c r="B36" t="s">
        <v>56</v>
      </c>
      <c r="C36" s="4">
        <v>2</v>
      </c>
      <c r="D36" s="4">
        <v>0.33333333333333298</v>
      </c>
      <c r="E36" s="4">
        <v>0.33333333333333298</v>
      </c>
      <c r="F36" s="4">
        <v>1</v>
      </c>
      <c r="G36" s="4"/>
    </row>
    <row r="37" spans="1:7" x14ac:dyDescent="0.3">
      <c r="A37" t="s">
        <v>625</v>
      </c>
      <c r="B37" t="s">
        <v>106</v>
      </c>
      <c r="C37" s="4">
        <v>0.33333333333333298</v>
      </c>
      <c r="D37" s="4">
        <v>0</v>
      </c>
      <c r="E37" s="4">
        <v>0.26086956521739102</v>
      </c>
      <c r="F37" s="4">
        <v>3.2961247936630897E-2</v>
      </c>
      <c r="G37" s="4"/>
    </row>
    <row r="38" spans="1:7" x14ac:dyDescent="0.3">
      <c r="A38" t="s">
        <v>625</v>
      </c>
      <c r="B38" t="s">
        <v>107</v>
      </c>
      <c r="C38" s="4">
        <v>1.6666666666666701</v>
      </c>
      <c r="D38" s="4">
        <v>0.2</v>
      </c>
      <c r="E38" s="4">
        <v>0.33333333333333298</v>
      </c>
      <c r="F38" s="4">
        <v>0.95840764446238103</v>
      </c>
      <c r="G38" s="4"/>
    </row>
    <row r="39" spans="1:7" x14ac:dyDescent="0.3">
      <c r="A39" t="s">
        <v>625</v>
      </c>
      <c r="B39" t="s">
        <v>109</v>
      </c>
      <c r="C39" s="4">
        <v>0.66666666666666696</v>
      </c>
      <c r="D39" s="4">
        <v>0</v>
      </c>
      <c r="E39" s="4">
        <v>0.12765957446808501</v>
      </c>
      <c r="F39" s="4">
        <v>0.45186091951082602</v>
      </c>
      <c r="G39" s="4"/>
    </row>
    <row r="40" spans="1:7" x14ac:dyDescent="0.3">
      <c r="A40" t="s">
        <v>625</v>
      </c>
      <c r="B40" t="s">
        <v>110</v>
      </c>
      <c r="C40" s="4">
        <v>1.3333333333333299</v>
      </c>
      <c r="D40" s="4">
        <v>0</v>
      </c>
      <c r="E40" s="4">
        <v>0.28571428571428598</v>
      </c>
      <c r="F40" s="4">
        <v>0.33873234180956802</v>
      </c>
      <c r="G40" s="4"/>
    </row>
    <row r="41" spans="1:7" x14ac:dyDescent="0.3">
      <c r="A41" t="s">
        <v>625</v>
      </c>
      <c r="B41" t="s">
        <v>111</v>
      </c>
      <c r="C41" s="4">
        <v>1.3333333333333299</v>
      </c>
      <c r="D41" s="4">
        <v>6.6666666666666693E-2</v>
      </c>
      <c r="E41" s="4">
        <v>0.35294117647058798</v>
      </c>
      <c r="F41" s="4">
        <v>0.123559287013149</v>
      </c>
      <c r="G41" s="4"/>
    </row>
    <row r="42" spans="1:7" x14ac:dyDescent="0.3">
      <c r="A42" t="s">
        <v>625</v>
      </c>
      <c r="B42" t="s">
        <v>113</v>
      </c>
      <c r="C42" s="4">
        <v>1.3333333333333299</v>
      </c>
      <c r="D42" s="4">
        <v>0.3</v>
      </c>
      <c r="E42" s="4">
        <v>0.375</v>
      </c>
      <c r="F42" s="4">
        <v>0.112750516863404</v>
      </c>
      <c r="G42" s="4"/>
    </row>
    <row r="43" spans="1:7" x14ac:dyDescent="0.3">
      <c r="A43" t="s">
        <v>626</v>
      </c>
      <c r="B43" t="s">
        <v>85</v>
      </c>
      <c r="G43" s="4"/>
    </row>
    <row r="44" spans="1:7" x14ac:dyDescent="0.3">
      <c r="A44" t="s">
        <v>626</v>
      </c>
      <c r="B44" t="s">
        <v>115</v>
      </c>
      <c r="G44" s="4"/>
    </row>
    <row r="45" spans="1:7" x14ac:dyDescent="0.3">
      <c r="A45" t="s">
        <v>627</v>
      </c>
      <c r="B45" t="s">
        <v>56</v>
      </c>
      <c r="C45" s="4">
        <v>1.5</v>
      </c>
      <c r="D45" s="4">
        <v>0</v>
      </c>
      <c r="E45" s="4">
        <v>0.21052631578947401</v>
      </c>
      <c r="F45" s="4">
        <v>0.99781134463478205</v>
      </c>
      <c r="G45" s="4"/>
    </row>
    <row r="46" spans="1:7" x14ac:dyDescent="0.3">
      <c r="A46" t="s">
        <v>627</v>
      </c>
      <c r="B46" t="s">
        <v>117</v>
      </c>
      <c r="C46" s="4">
        <v>1.5</v>
      </c>
      <c r="D46" s="4">
        <v>0</v>
      </c>
      <c r="E46" s="4">
        <v>0.36363636363636398</v>
      </c>
      <c r="F46" s="4">
        <v>1</v>
      </c>
      <c r="G46" s="4"/>
    </row>
    <row r="47" spans="1:7" x14ac:dyDescent="0.3">
      <c r="A47" t="s">
        <v>627</v>
      </c>
      <c r="B47" t="s">
        <v>115</v>
      </c>
      <c r="C47" s="4">
        <v>2</v>
      </c>
      <c r="D47" s="4">
        <v>0</v>
      </c>
      <c r="E47" s="4">
        <v>0.36363636363636398</v>
      </c>
      <c r="F47" s="4">
        <v>0.68963517112689299</v>
      </c>
      <c r="G47" s="4"/>
    </row>
    <row r="48" spans="1:7" x14ac:dyDescent="0.3">
      <c r="A48" t="s">
        <v>627</v>
      </c>
      <c r="B48" t="s">
        <v>118</v>
      </c>
      <c r="C48" s="4">
        <v>2</v>
      </c>
      <c r="D48" s="4">
        <v>0.66666666666666696</v>
      </c>
      <c r="E48" s="4">
        <v>0.5</v>
      </c>
      <c r="F48" s="4">
        <v>0.43259919579718198</v>
      </c>
      <c r="G48" s="4"/>
    </row>
    <row r="49" spans="1:7" x14ac:dyDescent="0.3">
      <c r="A49" t="s">
        <v>627</v>
      </c>
      <c r="B49" t="s">
        <v>120</v>
      </c>
      <c r="C49" s="4">
        <v>1</v>
      </c>
      <c r="D49" s="4">
        <v>0.33333333333333298</v>
      </c>
      <c r="E49" s="4">
        <v>0.44444444444444398</v>
      </c>
      <c r="F49" s="4">
        <v>5.2873165805478697E-2</v>
      </c>
      <c r="G49" s="4"/>
    </row>
    <row r="50" spans="1:7" x14ac:dyDescent="0.3">
      <c r="A50" t="s">
        <v>628</v>
      </c>
      <c r="B50" t="s">
        <v>56</v>
      </c>
      <c r="C50" s="4">
        <v>0.19047619047618999</v>
      </c>
      <c r="D50" s="4">
        <v>0</v>
      </c>
      <c r="E50" s="4">
        <v>0.15217391304347799</v>
      </c>
      <c r="F50" s="4">
        <v>0.36862561854102799</v>
      </c>
      <c r="G50" s="4"/>
    </row>
    <row r="51" spans="1:7" x14ac:dyDescent="0.3">
      <c r="A51" t="s">
        <v>628</v>
      </c>
      <c r="B51" t="s">
        <v>58</v>
      </c>
      <c r="C51" s="4">
        <v>0.19047619047618999</v>
      </c>
      <c r="D51" s="4">
        <v>0</v>
      </c>
      <c r="E51" s="4">
        <v>0.269230769230769</v>
      </c>
      <c r="F51" s="4">
        <v>0.24088269569041801</v>
      </c>
      <c r="G51" s="4"/>
    </row>
    <row r="52" spans="1:7" x14ac:dyDescent="0.3">
      <c r="A52" t="s">
        <v>628</v>
      </c>
      <c r="B52" t="s">
        <v>59</v>
      </c>
      <c r="C52" s="4">
        <v>1.71428571428571</v>
      </c>
      <c r="D52" s="4">
        <v>0.57142857142857195</v>
      </c>
      <c r="E52" s="4">
        <v>0.53846153846153799</v>
      </c>
      <c r="F52" s="4">
        <v>1</v>
      </c>
      <c r="G52" s="4"/>
    </row>
    <row r="53" spans="1:7" x14ac:dyDescent="0.3">
      <c r="A53" t="s">
        <v>628</v>
      </c>
      <c r="B53" t="s">
        <v>60</v>
      </c>
      <c r="C53" s="4">
        <v>1.1428571428571399</v>
      </c>
      <c r="D53" s="4">
        <v>0.24960317460317499</v>
      </c>
      <c r="E53" s="4">
        <v>0.4375</v>
      </c>
      <c r="F53" s="4">
        <v>0.81779060142865101</v>
      </c>
      <c r="G53" s="4"/>
    </row>
    <row r="54" spans="1:7" x14ac:dyDescent="0.3">
      <c r="A54" t="s">
        <v>628</v>
      </c>
      <c r="B54" t="s">
        <v>62</v>
      </c>
      <c r="C54" s="4">
        <v>0.38095238095238099</v>
      </c>
      <c r="D54" s="4">
        <v>2.5000000000000001E-2</v>
      </c>
      <c r="E54" s="4">
        <v>0.41176470588235298</v>
      </c>
      <c r="F54" s="4">
        <v>0.17153346696921101</v>
      </c>
      <c r="G54" s="4"/>
    </row>
    <row r="55" spans="1:7" x14ac:dyDescent="0.3">
      <c r="A55" t="s">
        <v>628</v>
      </c>
      <c r="B55" t="s">
        <v>63</v>
      </c>
      <c r="C55" s="4">
        <v>9.5238095238095205E-2</v>
      </c>
      <c r="D55" s="4">
        <v>0</v>
      </c>
      <c r="E55" s="4">
        <v>0.308823529411765</v>
      </c>
      <c r="F55" s="4">
        <v>4.6771871787378599E-2</v>
      </c>
      <c r="G55" s="4"/>
    </row>
    <row r="56" spans="1:7" x14ac:dyDescent="0.3">
      <c r="A56" t="s">
        <v>628</v>
      </c>
      <c r="B56" t="s">
        <v>64</v>
      </c>
      <c r="C56" s="4">
        <v>0.28571428571428598</v>
      </c>
      <c r="D56" s="4">
        <v>2.6190476190476202E-2</v>
      </c>
      <c r="E56" s="4">
        <v>0.42</v>
      </c>
      <c r="F56" s="4">
        <v>0.11027159999845899</v>
      </c>
      <c r="G56" s="4"/>
    </row>
    <row r="57" spans="1:7" x14ac:dyDescent="0.3">
      <c r="A57" t="s">
        <v>628</v>
      </c>
      <c r="B57" t="s">
        <v>65</v>
      </c>
      <c r="C57" s="4">
        <v>0.28571428571428598</v>
      </c>
      <c r="D57" s="4">
        <v>2.6190476190476202E-2</v>
      </c>
      <c r="E57" s="4">
        <v>0.42</v>
      </c>
      <c r="F57" s="4">
        <v>0.11027159999845899</v>
      </c>
      <c r="G57" s="4"/>
    </row>
    <row r="58" spans="1:7" x14ac:dyDescent="0.3">
      <c r="A58" t="s">
        <v>628</v>
      </c>
      <c r="B58" t="s">
        <v>66</v>
      </c>
      <c r="C58" s="4">
        <v>0.19047619047618999</v>
      </c>
      <c r="D58" s="4">
        <v>3.0158730158730201E-2</v>
      </c>
      <c r="E58" s="4">
        <v>0.36842105263157898</v>
      </c>
      <c r="F58" s="4">
        <v>6.4154744215901102E-2</v>
      </c>
      <c r="G58" s="4"/>
    </row>
    <row r="59" spans="1:7" x14ac:dyDescent="0.3">
      <c r="A59" t="s">
        <v>628</v>
      </c>
      <c r="B59" t="s">
        <v>67</v>
      </c>
      <c r="C59" s="4">
        <v>0.28571428571428598</v>
      </c>
      <c r="D59" s="4">
        <v>2.3809523809523799E-3</v>
      </c>
      <c r="E59" s="4">
        <v>0.28000000000000003</v>
      </c>
      <c r="F59" s="4">
        <v>0.12172433669804</v>
      </c>
      <c r="G59" s="4"/>
    </row>
    <row r="60" spans="1:7" x14ac:dyDescent="0.3">
      <c r="A60" t="s">
        <v>628</v>
      </c>
      <c r="B60" t="s">
        <v>68</v>
      </c>
      <c r="C60" s="4">
        <v>0.19047619047618999</v>
      </c>
      <c r="D60" s="4">
        <v>3.0158730158730201E-2</v>
      </c>
      <c r="E60" s="4">
        <v>0.36842105263157898</v>
      </c>
      <c r="F60" s="4">
        <v>6.4154744215901102E-2</v>
      </c>
      <c r="G60" s="4"/>
    </row>
    <row r="61" spans="1:7" x14ac:dyDescent="0.3">
      <c r="A61" t="s">
        <v>628</v>
      </c>
      <c r="B61" t="s">
        <v>69</v>
      </c>
      <c r="C61" s="4">
        <v>0.57142857142857095</v>
      </c>
      <c r="D61" s="4">
        <v>6.7857142857142894E-2</v>
      </c>
      <c r="E61" s="4">
        <v>0.42</v>
      </c>
      <c r="F61" s="4">
        <v>0.42105361410368097</v>
      </c>
      <c r="G61" s="4"/>
    </row>
    <row r="62" spans="1:7" x14ac:dyDescent="0.3">
      <c r="A62" t="s">
        <v>628</v>
      </c>
      <c r="B62" t="s">
        <v>72</v>
      </c>
      <c r="C62" s="4">
        <v>0.57142857142857095</v>
      </c>
      <c r="D62" s="4">
        <v>0.14285714285714299</v>
      </c>
      <c r="E62" s="4">
        <v>0.47727272727272702</v>
      </c>
      <c r="F62" s="4">
        <v>0.20194819966113201</v>
      </c>
      <c r="G62" s="4"/>
    </row>
    <row r="63" spans="1:7" x14ac:dyDescent="0.3">
      <c r="A63" t="s">
        <v>628</v>
      </c>
      <c r="B63" t="s">
        <v>73</v>
      </c>
      <c r="C63" s="4">
        <v>0.66666666666666696</v>
      </c>
      <c r="D63" s="4">
        <v>2.3015873015873E-2</v>
      </c>
      <c r="E63" s="4">
        <v>0.33333333333333298</v>
      </c>
      <c r="F63" s="4">
        <v>0.47947159594871502</v>
      </c>
      <c r="G63" s="4"/>
    </row>
    <row r="64" spans="1:7" x14ac:dyDescent="0.3">
      <c r="A64" t="s">
        <v>628</v>
      </c>
      <c r="B64" t="s">
        <v>74</v>
      </c>
      <c r="C64" s="4">
        <v>9.5238095238095205E-2</v>
      </c>
      <c r="D64" s="4">
        <v>0</v>
      </c>
      <c r="E64" s="4">
        <v>0.308823529411765</v>
      </c>
      <c r="F64" s="4">
        <v>4.6771871787378599E-2</v>
      </c>
      <c r="G64" s="4"/>
    </row>
    <row r="65" spans="1:7" x14ac:dyDescent="0.3">
      <c r="A65" t="s">
        <v>628</v>
      </c>
      <c r="B65" t="s">
        <v>75</v>
      </c>
      <c r="C65" s="4">
        <v>0.28571428571428598</v>
      </c>
      <c r="D65" s="4">
        <v>3.57142857142857E-3</v>
      </c>
      <c r="E65" s="4">
        <v>0.328125</v>
      </c>
      <c r="F65" s="4">
        <v>0.23535208348911399</v>
      </c>
      <c r="G65" s="4"/>
    </row>
    <row r="66" spans="1:7" x14ac:dyDescent="0.3">
      <c r="A66" t="s">
        <v>628</v>
      </c>
      <c r="B66" t="s">
        <v>76</v>
      </c>
      <c r="C66" s="4">
        <v>0.19047619047618999</v>
      </c>
      <c r="D66" s="4">
        <v>2.6190476190476202E-2</v>
      </c>
      <c r="E66" s="4">
        <v>0.41176470588235298</v>
      </c>
      <c r="F66" s="4">
        <v>0.103964839896415</v>
      </c>
      <c r="G66" s="4"/>
    </row>
    <row r="67" spans="1:7" x14ac:dyDescent="0.3">
      <c r="A67" t="s">
        <v>628</v>
      </c>
      <c r="B67" t="s">
        <v>77</v>
      </c>
      <c r="C67" s="4">
        <v>0.28571428571428598</v>
      </c>
      <c r="D67" s="4">
        <v>0</v>
      </c>
      <c r="E67" s="4">
        <v>0.33333333333333298</v>
      </c>
      <c r="F67" s="4">
        <v>0.16167614041103501</v>
      </c>
      <c r="G67" s="4"/>
    </row>
    <row r="68" spans="1:7" x14ac:dyDescent="0.3">
      <c r="A68" t="s">
        <v>628</v>
      </c>
      <c r="B68" t="s">
        <v>79</v>
      </c>
      <c r="C68" s="4">
        <v>0.57142857142857095</v>
      </c>
      <c r="D68" s="4">
        <v>3.2142857142857098E-2</v>
      </c>
      <c r="E68" s="4">
        <v>0.375</v>
      </c>
      <c r="F68" s="4">
        <v>0.212178515598762</v>
      </c>
      <c r="G68" s="4"/>
    </row>
    <row r="69" spans="1:7" x14ac:dyDescent="0.3">
      <c r="A69" t="s">
        <v>628</v>
      </c>
      <c r="B69" t="s">
        <v>80</v>
      </c>
      <c r="C69" s="4">
        <v>0.57142857142857095</v>
      </c>
      <c r="D69" s="4">
        <v>3.2142857142857098E-2</v>
      </c>
      <c r="E69" s="4">
        <v>0.375</v>
      </c>
      <c r="F69" s="4">
        <v>0.212178515598762</v>
      </c>
      <c r="G69" s="4"/>
    </row>
    <row r="70" spans="1:7" x14ac:dyDescent="0.3">
      <c r="A70" t="s">
        <v>628</v>
      </c>
      <c r="B70" t="s">
        <v>81</v>
      </c>
      <c r="C70" s="4">
        <v>0.38095238095238099</v>
      </c>
      <c r="D70" s="4">
        <v>3.6904761904761899E-2</v>
      </c>
      <c r="E70" s="4">
        <v>0.41176470588235298</v>
      </c>
      <c r="F70" s="4">
        <v>8.6404962527457205E-2</v>
      </c>
      <c r="G70" s="4"/>
    </row>
    <row r="71" spans="1:7" x14ac:dyDescent="0.3">
      <c r="A71" t="s">
        <v>628</v>
      </c>
      <c r="B71" t="s">
        <v>82</v>
      </c>
      <c r="C71" s="4">
        <v>0.38095238095238099</v>
      </c>
      <c r="D71" s="4">
        <v>3.6904761904761899E-2</v>
      </c>
      <c r="E71" s="4">
        <v>0.41176470588235298</v>
      </c>
      <c r="F71" s="4">
        <v>8.6404962527457205E-2</v>
      </c>
      <c r="G71" s="4"/>
    </row>
    <row r="72" spans="1:7" x14ac:dyDescent="0.3">
      <c r="A72" t="s">
        <v>629</v>
      </c>
      <c r="B72" t="s">
        <v>123</v>
      </c>
      <c r="C72" s="4">
        <v>2</v>
      </c>
      <c r="D72" s="4">
        <v>3.3333333333333298E-2</v>
      </c>
      <c r="E72" s="4">
        <v>0.625</v>
      </c>
      <c r="F72" s="4">
        <v>0.168506529429229</v>
      </c>
      <c r="G72" s="4"/>
    </row>
    <row r="73" spans="1:7" x14ac:dyDescent="0.3">
      <c r="A73" t="s">
        <v>629</v>
      </c>
      <c r="B73" t="s">
        <v>117</v>
      </c>
      <c r="C73" s="4">
        <v>1.6</v>
      </c>
      <c r="D73" s="4">
        <v>0</v>
      </c>
      <c r="E73" s="4">
        <v>0.625</v>
      </c>
      <c r="F73" s="4">
        <v>0.10730849775602801</v>
      </c>
      <c r="G73" s="4"/>
    </row>
    <row r="74" spans="1:7" x14ac:dyDescent="0.3">
      <c r="A74" t="s">
        <v>629</v>
      </c>
      <c r="B74" t="s">
        <v>125</v>
      </c>
      <c r="C74" s="4">
        <v>2</v>
      </c>
      <c r="D74" s="4">
        <v>3.3333333333333298E-2</v>
      </c>
      <c r="E74" s="4">
        <v>0.625</v>
      </c>
      <c r="F74" s="4">
        <v>1</v>
      </c>
      <c r="G74" s="4"/>
    </row>
    <row r="75" spans="1:7" x14ac:dyDescent="0.3">
      <c r="A75" t="s">
        <v>629</v>
      </c>
      <c r="B75" t="s">
        <v>128</v>
      </c>
      <c r="C75" s="4">
        <v>2</v>
      </c>
      <c r="D75" s="4">
        <v>0.133333333333333</v>
      </c>
      <c r="E75" s="4">
        <v>0.71428571428571397</v>
      </c>
      <c r="F75" s="4">
        <v>0.99560269402820301</v>
      </c>
      <c r="G75" s="4"/>
    </row>
    <row r="76" spans="1:7" x14ac:dyDescent="0.3">
      <c r="A76" t="s">
        <v>629</v>
      </c>
      <c r="B76" t="s">
        <v>130</v>
      </c>
      <c r="C76" s="4">
        <v>1.6</v>
      </c>
      <c r="D76" s="4">
        <v>0.233333333333333</v>
      </c>
      <c r="E76" s="4">
        <v>0.83333333333333304</v>
      </c>
      <c r="F76" s="4">
        <v>7.1600165582172803E-2</v>
      </c>
      <c r="G76" s="4"/>
    </row>
    <row r="77" spans="1:7" x14ac:dyDescent="0.3">
      <c r="A77" t="s">
        <v>629</v>
      </c>
      <c r="B77" t="s">
        <v>51</v>
      </c>
      <c r="C77" s="4">
        <v>1.2</v>
      </c>
      <c r="D77" s="4">
        <v>0.133333333333333</v>
      </c>
      <c r="E77" s="4">
        <v>0.71428571428571397</v>
      </c>
      <c r="F77" s="4">
        <v>6.8217561785456099E-2</v>
      </c>
      <c r="G77" s="4"/>
    </row>
    <row r="78" spans="1:7" x14ac:dyDescent="0.3">
      <c r="A78" t="s">
        <v>630</v>
      </c>
      <c r="B78" t="s">
        <v>132</v>
      </c>
      <c r="C78" s="4">
        <v>2</v>
      </c>
      <c r="D78" s="4">
        <v>8.3333333333333301E-2</v>
      </c>
      <c r="E78" s="4">
        <v>0.5</v>
      </c>
      <c r="F78" s="4">
        <v>1</v>
      </c>
      <c r="G78" s="4"/>
    </row>
    <row r="79" spans="1:7" x14ac:dyDescent="0.3">
      <c r="A79" t="s">
        <v>630</v>
      </c>
      <c r="B79" t="s">
        <v>85</v>
      </c>
      <c r="C79" s="4">
        <v>1</v>
      </c>
      <c r="D79" s="4">
        <v>0</v>
      </c>
      <c r="E79" s="4">
        <v>0.33333333333333298</v>
      </c>
      <c r="F79" s="4">
        <v>0.82263730161023896</v>
      </c>
      <c r="G79" s="4"/>
    </row>
    <row r="80" spans="1:7" x14ac:dyDescent="0.3">
      <c r="A80" t="s">
        <v>630</v>
      </c>
      <c r="B80" t="s">
        <v>134</v>
      </c>
      <c r="C80" s="4">
        <v>2</v>
      </c>
      <c r="D80" s="4">
        <v>0.58333333333333304</v>
      </c>
      <c r="E80" s="4">
        <v>0.66666666666666696</v>
      </c>
      <c r="F80" s="4">
        <v>0.76761399408651498</v>
      </c>
      <c r="G80" s="4"/>
    </row>
    <row r="81" spans="1:7" x14ac:dyDescent="0.3">
      <c r="A81" t="s">
        <v>630</v>
      </c>
      <c r="B81" t="s">
        <v>137</v>
      </c>
      <c r="C81" s="4">
        <v>1</v>
      </c>
      <c r="D81" s="4">
        <v>0.16666666666666699</v>
      </c>
      <c r="E81" s="4">
        <v>0.57142857142857095</v>
      </c>
      <c r="F81" s="4">
        <v>0.19297428142401599</v>
      </c>
      <c r="G81" s="4"/>
    </row>
    <row r="82" spans="1:7" x14ac:dyDescent="0.3">
      <c r="A82" t="s">
        <v>630</v>
      </c>
      <c r="B82" t="s">
        <v>139</v>
      </c>
      <c r="C82" s="4">
        <v>1</v>
      </c>
      <c r="D82" s="4">
        <v>0.16666666666666699</v>
      </c>
      <c r="E82" s="4">
        <v>0.57142857142857095</v>
      </c>
      <c r="F82" s="4">
        <v>0.19297428142401599</v>
      </c>
      <c r="G82" s="4"/>
    </row>
    <row r="83" spans="1:7" x14ac:dyDescent="0.3">
      <c r="A83" t="s">
        <v>631</v>
      </c>
      <c r="B83" t="s">
        <v>141</v>
      </c>
      <c r="C83" s="4">
        <v>0.85714285714285698</v>
      </c>
      <c r="D83" s="4">
        <v>4.7619047619047603E-2</v>
      </c>
      <c r="E83" s="4">
        <v>0.20588235294117599</v>
      </c>
      <c r="F83" s="4">
        <v>0.65897274749892398</v>
      </c>
      <c r="G83" s="4"/>
    </row>
    <row r="84" spans="1:7" x14ac:dyDescent="0.3">
      <c r="A84" t="s">
        <v>631</v>
      </c>
      <c r="B84" t="s">
        <v>142</v>
      </c>
      <c r="C84" s="4">
        <v>0.28571428571428598</v>
      </c>
      <c r="D84" s="4">
        <v>0</v>
      </c>
      <c r="E84" s="4">
        <v>0.194444444444444</v>
      </c>
      <c r="F84" s="4">
        <v>3.1951668996922401E-3</v>
      </c>
      <c r="G84" s="4"/>
    </row>
    <row r="85" spans="1:7" x14ac:dyDescent="0.3">
      <c r="A85" t="s">
        <v>631</v>
      </c>
      <c r="B85" t="s">
        <v>143</v>
      </c>
      <c r="C85" s="4">
        <v>0.85714285714285698</v>
      </c>
      <c r="D85" s="4">
        <v>0.42857142857142899</v>
      </c>
      <c r="E85" s="4">
        <v>0.233333333333333</v>
      </c>
      <c r="F85" s="4">
        <v>7.8343427975868102E-2</v>
      </c>
      <c r="G85" s="4"/>
    </row>
    <row r="86" spans="1:7" x14ac:dyDescent="0.3">
      <c r="A86" t="s">
        <v>631</v>
      </c>
      <c r="B86" t="s">
        <v>144</v>
      </c>
      <c r="C86" s="4">
        <v>1.1428571428571399</v>
      </c>
      <c r="D86" s="4">
        <v>0.33333333333333298</v>
      </c>
      <c r="E86" s="4">
        <v>0.233333333333333</v>
      </c>
      <c r="F86" s="4">
        <v>1</v>
      </c>
      <c r="G86" s="4"/>
    </row>
    <row r="87" spans="1:7" x14ac:dyDescent="0.3">
      <c r="A87" t="s">
        <v>631</v>
      </c>
      <c r="B87" t="s">
        <v>146</v>
      </c>
      <c r="C87" s="4">
        <v>1.1428571428571399</v>
      </c>
      <c r="D87" s="4">
        <v>0.14285714285714299</v>
      </c>
      <c r="E87" s="4">
        <v>0.20588235294117599</v>
      </c>
      <c r="F87" s="4">
        <v>0.91773506920194703</v>
      </c>
      <c r="G87" s="4"/>
    </row>
    <row r="88" spans="1:7" x14ac:dyDescent="0.3">
      <c r="A88" t="s">
        <v>631</v>
      </c>
      <c r="B88" t="s">
        <v>100</v>
      </c>
      <c r="C88" s="4">
        <v>1.4285714285714299</v>
      </c>
      <c r="D88" s="4">
        <v>0.476190476190476</v>
      </c>
      <c r="E88" s="4">
        <v>0.194444444444444</v>
      </c>
      <c r="F88" s="4">
        <v>0.68087615945596203</v>
      </c>
      <c r="G88" s="4"/>
    </row>
    <row r="89" spans="1:7" x14ac:dyDescent="0.3">
      <c r="A89" t="s">
        <v>631</v>
      </c>
      <c r="B89" t="s">
        <v>85</v>
      </c>
      <c r="C89" s="4">
        <v>0.57142857142857095</v>
      </c>
      <c r="D89" s="4">
        <v>0</v>
      </c>
      <c r="E89" s="4">
        <v>0.17073170731707299</v>
      </c>
      <c r="F89" s="4">
        <v>2.89496115589159E-2</v>
      </c>
      <c r="G89" s="4"/>
    </row>
    <row r="90" spans="1:7" x14ac:dyDescent="0.3">
      <c r="A90" t="s">
        <v>631</v>
      </c>
      <c r="B90" t="s">
        <v>149</v>
      </c>
      <c r="C90" s="4">
        <v>0.57142857142857095</v>
      </c>
      <c r="D90" s="4">
        <v>0</v>
      </c>
      <c r="E90" s="4">
        <v>0.17073170731707299</v>
      </c>
      <c r="F90" s="4">
        <v>2.8949611558916E-2</v>
      </c>
      <c r="G90" s="4"/>
    </row>
    <row r="91" spans="1:7" x14ac:dyDescent="0.3">
      <c r="A91" t="s">
        <v>632</v>
      </c>
      <c r="B91" t="s">
        <v>115</v>
      </c>
      <c r="G91" s="4"/>
    </row>
    <row r="92" spans="1:7" x14ac:dyDescent="0.3">
      <c r="A92" t="s">
        <v>632</v>
      </c>
      <c r="B92" t="s">
        <v>85</v>
      </c>
      <c r="G92" s="4"/>
    </row>
    <row r="93" spans="1:7" x14ac:dyDescent="0.3">
      <c r="A93" t="s">
        <v>632</v>
      </c>
      <c r="B93" t="s">
        <v>150</v>
      </c>
      <c r="G93" s="4"/>
    </row>
    <row r="94" spans="1:7" x14ac:dyDescent="0.3">
      <c r="A94" t="s">
        <v>633</v>
      </c>
      <c r="B94" t="s">
        <v>85</v>
      </c>
      <c r="G94" s="4"/>
    </row>
    <row r="95" spans="1:7" x14ac:dyDescent="0.3">
      <c r="A95" t="s">
        <v>633</v>
      </c>
      <c r="B95" t="s">
        <v>115</v>
      </c>
      <c r="G95" s="4"/>
    </row>
    <row r="96" spans="1:7" x14ac:dyDescent="0.3">
      <c r="A96" t="s">
        <v>633</v>
      </c>
      <c r="B96" t="s">
        <v>152</v>
      </c>
      <c r="G96" s="4"/>
    </row>
    <row r="97" spans="1:7" x14ac:dyDescent="0.3">
      <c r="A97" t="s">
        <v>634</v>
      </c>
      <c r="B97" t="s">
        <v>115</v>
      </c>
      <c r="C97" s="4">
        <v>2</v>
      </c>
      <c r="D97" s="4">
        <v>0</v>
      </c>
      <c r="E97" s="4">
        <v>0.6</v>
      </c>
      <c r="F97" s="4">
        <v>1</v>
      </c>
      <c r="G97" s="4"/>
    </row>
    <row r="98" spans="1:7" x14ac:dyDescent="0.3">
      <c r="A98" t="s">
        <v>634</v>
      </c>
      <c r="B98" t="s">
        <v>556</v>
      </c>
      <c r="C98" s="4">
        <v>2</v>
      </c>
      <c r="D98" s="4">
        <v>0</v>
      </c>
      <c r="E98" s="4">
        <v>0.6</v>
      </c>
      <c r="F98" s="4">
        <v>0.96349394369014196</v>
      </c>
      <c r="G98" s="4"/>
    </row>
    <row r="99" spans="1:7" x14ac:dyDescent="0.3">
      <c r="A99" t="s">
        <v>634</v>
      </c>
      <c r="B99" t="s">
        <v>557</v>
      </c>
      <c r="C99" s="4">
        <v>2</v>
      </c>
      <c r="D99" s="4">
        <v>0</v>
      </c>
      <c r="E99" s="4">
        <v>0.6</v>
      </c>
      <c r="F99" s="4">
        <v>0.92041396180808299</v>
      </c>
      <c r="G99" s="4"/>
    </row>
    <row r="100" spans="1:7" x14ac:dyDescent="0.3">
      <c r="A100" t="s">
        <v>634</v>
      </c>
      <c r="B100" t="s">
        <v>236</v>
      </c>
      <c r="C100" s="4">
        <v>2</v>
      </c>
      <c r="D100" s="4">
        <v>1</v>
      </c>
      <c r="E100" s="4">
        <v>1</v>
      </c>
      <c r="F100" s="4">
        <v>0.17788024419939399</v>
      </c>
      <c r="G100" s="4"/>
    </row>
    <row r="101" spans="1:7" x14ac:dyDescent="0.3">
      <c r="A101" t="s">
        <v>635</v>
      </c>
      <c r="B101" t="s">
        <v>56</v>
      </c>
      <c r="C101" s="4">
        <v>2</v>
      </c>
      <c r="D101" s="4">
        <v>0.3</v>
      </c>
      <c r="E101" s="4">
        <v>0.625</v>
      </c>
      <c r="F101" s="4">
        <v>0.98828583836448602</v>
      </c>
      <c r="G101" s="4"/>
    </row>
    <row r="102" spans="1:7" x14ac:dyDescent="0.3">
      <c r="A102" t="s">
        <v>635</v>
      </c>
      <c r="B102" t="s">
        <v>100</v>
      </c>
      <c r="C102" s="4">
        <v>2</v>
      </c>
      <c r="D102" s="4">
        <v>0</v>
      </c>
      <c r="E102" s="4">
        <v>0.55555555555555602</v>
      </c>
      <c r="F102" s="4">
        <v>1</v>
      </c>
      <c r="G102" s="4"/>
    </row>
    <row r="103" spans="1:7" x14ac:dyDescent="0.3">
      <c r="A103" t="s">
        <v>635</v>
      </c>
      <c r="B103" t="s">
        <v>155</v>
      </c>
      <c r="C103" s="4">
        <v>1.6</v>
      </c>
      <c r="D103" s="4">
        <v>0</v>
      </c>
      <c r="E103" s="4">
        <v>0.5</v>
      </c>
      <c r="F103" s="4">
        <v>0.79645360513706398</v>
      </c>
      <c r="G103" s="4"/>
    </row>
    <row r="104" spans="1:7" x14ac:dyDescent="0.3">
      <c r="A104" t="s">
        <v>635</v>
      </c>
      <c r="B104" t="s">
        <v>117</v>
      </c>
      <c r="C104" s="4">
        <v>1.6</v>
      </c>
      <c r="D104" s="4">
        <v>0</v>
      </c>
      <c r="E104" s="4">
        <v>0.5</v>
      </c>
      <c r="F104" s="4">
        <v>0.67101642522730098</v>
      </c>
      <c r="G104" s="4"/>
    </row>
    <row r="105" spans="1:7" x14ac:dyDescent="0.3">
      <c r="A105" t="s">
        <v>635</v>
      </c>
      <c r="B105" t="s">
        <v>120</v>
      </c>
      <c r="C105" s="4">
        <v>1.6</v>
      </c>
      <c r="D105" s="4">
        <v>0.8</v>
      </c>
      <c r="E105" s="4">
        <v>0.83333333333333304</v>
      </c>
      <c r="F105" s="4">
        <v>0.26891264395280701</v>
      </c>
      <c r="G105" s="4"/>
    </row>
    <row r="106" spans="1:7" x14ac:dyDescent="0.3">
      <c r="A106" t="s">
        <v>635</v>
      </c>
      <c r="B106" t="s">
        <v>118</v>
      </c>
      <c r="C106" s="4">
        <v>0.8</v>
      </c>
      <c r="D106" s="4">
        <v>0</v>
      </c>
      <c r="E106" s="4">
        <v>0.45454545454545497</v>
      </c>
      <c r="F106" s="4">
        <v>0.23253605758236401</v>
      </c>
      <c r="G106" s="4"/>
    </row>
    <row r="107" spans="1:7" x14ac:dyDescent="0.3">
      <c r="A107" t="s">
        <v>636</v>
      </c>
      <c r="B107" t="s">
        <v>56</v>
      </c>
      <c r="C107" s="4">
        <v>2</v>
      </c>
      <c r="D107" s="4">
        <v>0</v>
      </c>
      <c r="E107" s="4">
        <v>0.38461538461538503</v>
      </c>
      <c r="F107" s="4">
        <v>1</v>
      </c>
      <c r="G107" s="4"/>
    </row>
    <row r="108" spans="1:7" x14ac:dyDescent="0.3">
      <c r="A108" t="s">
        <v>636</v>
      </c>
      <c r="B108" t="s">
        <v>157</v>
      </c>
      <c r="C108" s="4">
        <v>2</v>
      </c>
      <c r="D108" s="4">
        <v>0</v>
      </c>
      <c r="E108" s="4">
        <v>0.38461538461538503</v>
      </c>
      <c r="F108" s="4">
        <v>0.922063291350257</v>
      </c>
      <c r="G108" s="4"/>
    </row>
    <row r="109" spans="1:7" x14ac:dyDescent="0.3">
      <c r="A109" t="s">
        <v>636</v>
      </c>
      <c r="B109" t="s">
        <v>158</v>
      </c>
      <c r="C109" s="4">
        <v>2</v>
      </c>
      <c r="D109" s="4">
        <v>0.1</v>
      </c>
      <c r="E109" s="4">
        <v>0.55555555555555602</v>
      </c>
      <c r="F109" s="4">
        <v>0.426652358265807</v>
      </c>
      <c r="G109" s="4"/>
    </row>
    <row r="110" spans="1:7" x14ac:dyDescent="0.3">
      <c r="A110" t="s">
        <v>636</v>
      </c>
      <c r="B110" t="s">
        <v>159</v>
      </c>
      <c r="C110" s="4">
        <v>2</v>
      </c>
      <c r="D110" s="4">
        <v>0.1</v>
      </c>
      <c r="E110" s="4">
        <v>0.55555555555555602</v>
      </c>
      <c r="F110" s="4">
        <v>0.426652358265807</v>
      </c>
      <c r="G110" s="4"/>
    </row>
    <row r="111" spans="1:7" x14ac:dyDescent="0.3">
      <c r="A111" t="s">
        <v>636</v>
      </c>
      <c r="B111" t="s">
        <v>160</v>
      </c>
      <c r="C111" s="4">
        <v>2</v>
      </c>
      <c r="D111" s="4">
        <v>0.1</v>
      </c>
      <c r="E111" s="4">
        <v>0.55555555555555602</v>
      </c>
      <c r="F111" s="4">
        <v>0.426652358265807</v>
      </c>
      <c r="G111" s="4"/>
    </row>
    <row r="112" spans="1:7" x14ac:dyDescent="0.3">
      <c r="A112" t="s">
        <v>636</v>
      </c>
      <c r="B112" t="s">
        <v>152</v>
      </c>
      <c r="C112" s="4">
        <v>2</v>
      </c>
      <c r="D112" s="4">
        <v>0.15</v>
      </c>
      <c r="E112" s="4">
        <v>0.55555555555555602</v>
      </c>
      <c r="F112" s="4">
        <v>0.858133496191128</v>
      </c>
      <c r="G112" s="4"/>
    </row>
    <row r="113" spans="1:7" x14ac:dyDescent="0.3">
      <c r="A113" t="s">
        <v>637</v>
      </c>
      <c r="B113" t="s">
        <v>607</v>
      </c>
      <c r="C113" s="4">
        <v>2</v>
      </c>
      <c r="D113" s="4">
        <v>0.83333333333333304</v>
      </c>
      <c r="E113" s="4">
        <v>0.66666666666666696</v>
      </c>
      <c r="F113" s="4">
        <v>1</v>
      </c>
      <c r="G113" s="4"/>
    </row>
    <row r="114" spans="1:7" x14ac:dyDescent="0.3">
      <c r="A114" t="s">
        <v>637</v>
      </c>
      <c r="B114" t="s">
        <v>569</v>
      </c>
      <c r="C114" s="4">
        <v>1</v>
      </c>
      <c r="D114" s="4">
        <v>0</v>
      </c>
      <c r="E114" s="4">
        <v>0.4</v>
      </c>
      <c r="F114" s="4">
        <v>0.88682304343071905</v>
      </c>
      <c r="G114" s="4"/>
    </row>
    <row r="115" spans="1:7" x14ac:dyDescent="0.3">
      <c r="A115" t="s">
        <v>637</v>
      </c>
      <c r="B115" t="s">
        <v>570</v>
      </c>
      <c r="C115" s="4">
        <v>1</v>
      </c>
      <c r="D115" s="4">
        <v>0.5</v>
      </c>
      <c r="E115" s="4">
        <v>0.57142857142857095</v>
      </c>
      <c r="F115" s="4">
        <v>0.38186442808788801</v>
      </c>
      <c r="G115" s="4"/>
    </row>
    <row r="116" spans="1:7" x14ac:dyDescent="0.3">
      <c r="A116" t="s">
        <v>637</v>
      </c>
      <c r="B116" t="s">
        <v>309</v>
      </c>
      <c r="C116" s="4">
        <v>0.5</v>
      </c>
      <c r="D116" s="4">
        <v>0</v>
      </c>
      <c r="E116" s="4">
        <v>0.33333333333333298</v>
      </c>
      <c r="F116" s="4">
        <v>0.40476973123410898</v>
      </c>
      <c r="G116" s="4"/>
    </row>
    <row r="117" spans="1:7" x14ac:dyDescent="0.3">
      <c r="A117" t="s">
        <v>637</v>
      </c>
      <c r="B117" t="s">
        <v>423</v>
      </c>
      <c r="C117" s="4">
        <v>0.5</v>
      </c>
      <c r="D117" s="4">
        <v>0</v>
      </c>
      <c r="E117" s="4">
        <v>0.44444444444444398</v>
      </c>
      <c r="F117" s="4">
        <v>0.20238486561705399</v>
      </c>
      <c r="G117" s="4"/>
    </row>
    <row r="118" spans="1:7" x14ac:dyDescent="0.3">
      <c r="A118" t="s">
        <v>638</v>
      </c>
      <c r="B118" t="s">
        <v>56</v>
      </c>
      <c r="C118" s="4">
        <v>2</v>
      </c>
      <c r="D118" s="4">
        <v>0.33333333333333298</v>
      </c>
      <c r="E118" s="4">
        <v>0.75</v>
      </c>
      <c r="F118" s="4">
        <v>0.99634281667130098</v>
      </c>
      <c r="G118" s="4"/>
    </row>
    <row r="119" spans="1:7" x14ac:dyDescent="0.3">
      <c r="A119" t="s">
        <v>638</v>
      </c>
      <c r="B119" t="s">
        <v>85</v>
      </c>
      <c r="C119" s="4">
        <v>2</v>
      </c>
      <c r="D119" s="4">
        <v>0</v>
      </c>
      <c r="E119" s="4">
        <v>0.6</v>
      </c>
      <c r="F119" s="4">
        <v>1</v>
      </c>
      <c r="G119" s="4"/>
    </row>
    <row r="120" spans="1:7" x14ac:dyDescent="0.3">
      <c r="A120" t="s">
        <v>638</v>
      </c>
      <c r="B120" t="s">
        <v>137</v>
      </c>
      <c r="C120" s="4">
        <v>1.3333333333333299</v>
      </c>
      <c r="D120" s="4">
        <v>0</v>
      </c>
      <c r="E120" s="4">
        <v>0.6</v>
      </c>
      <c r="F120" s="4">
        <v>0.14745769345937701</v>
      </c>
      <c r="G120" s="4"/>
    </row>
    <row r="121" spans="1:7" x14ac:dyDescent="0.3">
      <c r="A121" t="s">
        <v>638</v>
      </c>
      <c r="B121" t="s">
        <v>51</v>
      </c>
      <c r="C121" s="4">
        <v>1.3333333333333299</v>
      </c>
      <c r="D121" s="4">
        <v>0.33333333333333298</v>
      </c>
      <c r="E121" s="4">
        <v>0.75</v>
      </c>
      <c r="F121" s="4">
        <v>9.8245135857843793E-2</v>
      </c>
      <c r="G121" s="4"/>
    </row>
    <row r="122" spans="1:7" x14ac:dyDescent="0.3">
      <c r="A122" t="s">
        <v>639</v>
      </c>
      <c r="B122" t="s">
        <v>164</v>
      </c>
      <c r="C122" s="4">
        <v>1.1764705882352899</v>
      </c>
      <c r="D122" s="4">
        <v>0.34558823529411797</v>
      </c>
      <c r="E122" s="4">
        <v>0.32692307692307698</v>
      </c>
      <c r="F122" s="4">
        <v>0.63172764852622498</v>
      </c>
      <c r="G122" s="4"/>
    </row>
    <row r="123" spans="1:7" x14ac:dyDescent="0.3">
      <c r="A123" t="s">
        <v>639</v>
      </c>
      <c r="B123" t="s">
        <v>165</v>
      </c>
      <c r="C123" s="4">
        <v>0.11764705882352899</v>
      </c>
      <c r="D123" s="4">
        <v>0</v>
      </c>
      <c r="E123" s="4">
        <v>0.25373134328358199</v>
      </c>
      <c r="F123" s="4">
        <v>4.7812033481528703E-2</v>
      </c>
      <c r="G123" s="4"/>
    </row>
    <row r="124" spans="1:7" x14ac:dyDescent="0.3">
      <c r="A124" t="s">
        <v>639</v>
      </c>
      <c r="B124" t="s">
        <v>167</v>
      </c>
      <c r="C124" s="4">
        <v>1.4117647058823499</v>
      </c>
      <c r="D124" s="4">
        <v>0.41911764705882398</v>
      </c>
      <c r="E124" s="4">
        <v>0.34</v>
      </c>
      <c r="F124" s="4">
        <v>0.99563054250221905</v>
      </c>
      <c r="G124" s="4"/>
    </row>
    <row r="125" spans="1:7" x14ac:dyDescent="0.3">
      <c r="A125" t="s">
        <v>639</v>
      </c>
      <c r="B125" t="s">
        <v>168</v>
      </c>
      <c r="C125" s="4">
        <v>0.11764705882352899</v>
      </c>
      <c r="D125" s="4">
        <v>0</v>
      </c>
      <c r="E125" s="4">
        <v>0.207317073170732</v>
      </c>
      <c r="F125" s="4">
        <v>9.5624066963057502E-2</v>
      </c>
      <c r="G125" s="4"/>
    </row>
    <row r="126" spans="1:7" x14ac:dyDescent="0.3">
      <c r="A126" t="s">
        <v>639</v>
      </c>
      <c r="B126" t="s">
        <v>169</v>
      </c>
      <c r="C126" s="4">
        <v>0.35294117647058798</v>
      </c>
      <c r="D126" s="4">
        <v>6.25E-2</v>
      </c>
      <c r="E126" s="4">
        <v>0.30909090909090903</v>
      </c>
      <c r="F126" s="4">
        <v>0.12961145898764301</v>
      </c>
      <c r="G126" s="4"/>
    </row>
    <row r="127" spans="1:7" x14ac:dyDescent="0.3">
      <c r="A127" t="s">
        <v>639</v>
      </c>
      <c r="B127" t="s">
        <v>170</v>
      </c>
      <c r="C127" s="4">
        <v>0.23529411764705899</v>
      </c>
      <c r="D127" s="4">
        <v>0</v>
      </c>
      <c r="E127" s="4">
        <v>0.28333333333333299</v>
      </c>
      <c r="F127" s="4">
        <v>8.5163453547691698E-2</v>
      </c>
      <c r="G127" s="4"/>
    </row>
    <row r="128" spans="1:7" x14ac:dyDescent="0.3">
      <c r="A128" t="s">
        <v>639</v>
      </c>
      <c r="B128" t="s">
        <v>171</v>
      </c>
      <c r="C128" s="4">
        <v>0.11764705882352899</v>
      </c>
      <c r="D128" s="4">
        <v>0</v>
      </c>
      <c r="E128" s="4">
        <v>0.17894736842105299</v>
      </c>
      <c r="F128" s="4">
        <v>0.226061599224302</v>
      </c>
      <c r="G128" s="4"/>
    </row>
    <row r="129" spans="1:7" x14ac:dyDescent="0.3">
      <c r="A129" t="s">
        <v>639</v>
      </c>
      <c r="B129" t="s">
        <v>172</v>
      </c>
      <c r="C129" s="4">
        <v>0</v>
      </c>
      <c r="D129" s="4">
        <v>0</v>
      </c>
      <c r="E129" s="4">
        <v>5.5555555555555601E-2</v>
      </c>
      <c r="F129" s="4">
        <v>9.9831087659658595E-18</v>
      </c>
      <c r="G129" s="4"/>
    </row>
    <row r="130" spans="1:7" x14ac:dyDescent="0.3">
      <c r="A130" t="s">
        <v>639</v>
      </c>
      <c r="B130" t="s">
        <v>173</v>
      </c>
      <c r="C130" s="4">
        <v>0.11764705882352899</v>
      </c>
      <c r="D130" s="4">
        <v>0</v>
      </c>
      <c r="E130" s="4">
        <v>0.21249999999999999</v>
      </c>
      <c r="F130" s="4">
        <v>0.15070773281620101</v>
      </c>
      <c r="G130" s="4"/>
    </row>
    <row r="131" spans="1:7" x14ac:dyDescent="0.3">
      <c r="A131" t="s">
        <v>639</v>
      </c>
      <c r="B131" t="s">
        <v>174</v>
      </c>
      <c r="C131" s="4">
        <v>0.70588235294117696</v>
      </c>
      <c r="D131" s="4">
        <v>3.6764705882352902E-3</v>
      </c>
      <c r="E131" s="4">
        <v>0.25373134328358199</v>
      </c>
      <c r="F131" s="4">
        <v>1</v>
      </c>
      <c r="G131" s="4"/>
    </row>
    <row r="132" spans="1:7" x14ac:dyDescent="0.3">
      <c r="A132" t="s">
        <v>639</v>
      </c>
      <c r="B132" t="s">
        <v>175</v>
      </c>
      <c r="C132" s="4">
        <v>0.35294117647058798</v>
      </c>
      <c r="D132" s="4">
        <v>1.2867647058823499E-2</v>
      </c>
      <c r="E132" s="4">
        <v>0.28333333333333299</v>
      </c>
      <c r="F132" s="4">
        <v>0.33483352403769701</v>
      </c>
      <c r="G132" s="4"/>
    </row>
    <row r="133" spans="1:7" x14ac:dyDescent="0.3">
      <c r="A133" t="s">
        <v>639</v>
      </c>
      <c r="B133" t="s">
        <v>177</v>
      </c>
      <c r="C133" s="4">
        <v>0.23529411764705899</v>
      </c>
      <c r="D133" s="4">
        <v>2.9411764705882401E-2</v>
      </c>
      <c r="E133" s="4">
        <v>0.30357142857142899</v>
      </c>
      <c r="F133" s="4">
        <v>0.123165899889629</v>
      </c>
      <c r="G133" s="4"/>
    </row>
    <row r="134" spans="1:7" x14ac:dyDescent="0.3">
      <c r="A134" t="s">
        <v>639</v>
      </c>
      <c r="B134" t="s">
        <v>178</v>
      </c>
      <c r="C134" s="4">
        <v>0.35294117647058798</v>
      </c>
      <c r="D134" s="4">
        <v>2.9411764705882401E-2</v>
      </c>
      <c r="E134" s="4">
        <v>0.30909090909090903</v>
      </c>
      <c r="F134" s="4">
        <v>0.133250939538475</v>
      </c>
      <c r="G134" s="4"/>
    </row>
    <row r="135" spans="1:7" x14ac:dyDescent="0.3">
      <c r="A135" t="s">
        <v>639</v>
      </c>
      <c r="B135" t="s">
        <v>179</v>
      </c>
      <c r="C135" s="4">
        <v>0.35294117647058798</v>
      </c>
      <c r="D135" s="4">
        <v>2.9411764705882401E-2</v>
      </c>
      <c r="E135" s="4">
        <v>0.30909090909090903</v>
      </c>
      <c r="F135" s="4">
        <v>0.133250939538474</v>
      </c>
      <c r="G135" s="4"/>
    </row>
    <row r="136" spans="1:7" x14ac:dyDescent="0.3">
      <c r="A136" t="s">
        <v>639</v>
      </c>
      <c r="B136" t="s">
        <v>180</v>
      </c>
      <c r="C136" s="4">
        <v>0.35294117647058798</v>
      </c>
      <c r="D136" s="4">
        <v>8.2720588235294101E-2</v>
      </c>
      <c r="E136" s="4">
        <v>0.29310344827586199</v>
      </c>
      <c r="F136" s="4">
        <v>0.177551862296327</v>
      </c>
      <c r="G136" s="4"/>
    </row>
    <row r="137" spans="1:7" x14ac:dyDescent="0.3">
      <c r="A137" t="s">
        <v>639</v>
      </c>
      <c r="B137" t="s">
        <v>181</v>
      </c>
      <c r="C137" s="4">
        <v>0.82352941176470595</v>
      </c>
      <c r="D137" s="4">
        <v>0.13602941176470601</v>
      </c>
      <c r="E137" s="4">
        <v>0.28333333333333299</v>
      </c>
      <c r="F137" s="4">
        <v>0.714217760870416</v>
      </c>
      <c r="G137" s="4"/>
    </row>
    <row r="138" spans="1:7" x14ac:dyDescent="0.3">
      <c r="A138" t="s">
        <v>639</v>
      </c>
      <c r="B138" t="s">
        <v>183</v>
      </c>
      <c r="C138" s="4">
        <v>0.11764705882352899</v>
      </c>
      <c r="D138" s="4">
        <v>0</v>
      </c>
      <c r="E138" s="4">
        <v>0.22666666666666699</v>
      </c>
      <c r="F138" s="4">
        <v>5.4055261908362101E-2</v>
      </c>
      <c r="G138" s="4"/>
    </row>
    <row r="139" spans="1:7" x14ac:dyDescent="0.3">
      <c r="A139" t="s">
        <v>639</v>
      </c>
      <c r="B139" t="s">
        <v>184</v>
      </c>
      <c r="C139" s="4">
        <v>0.35294117647058798</v>
      </c>
      <c r="D139" s="4">
        <v>6.0661764705882401E-2</v>
      </c>
      <c r="E139" s="4">
        <v>0.29824561403508798</v>
      </c>
      <c r="F139" s="4">
        <v>0.28077826212933499</v>
      </c>
      <c r="G139" s="4"/>
    </row>
    <row r="140" spans="1:7" x14ac:dyDescent="0.3">
      <c r="A140" t="s">
        <v>641</v>
      </c>
      <c r="B140" t="s">
        <v>187</v>
      </c>
      <c r="C140" s="4">
        <v>0.30769230769230799</v>
      </c>
      <c r="D140" s="4">
        <v>1.2820512820512799E-2</v>
      </c>
      <c r="E140" s="4">
        <v>0.30232558139534899</v>
      </c>
      <c r="F140" s="4">
        <v>3.3950300679227503E-2</v>
      </c>
      <c r="G140" s="4"/>
    </row>
    <row r="141" spans="1:7" x14ac:dyDescent="0.3">
      <c r="A141" t="s">
        <v>641</v>
      </c>
      <c r="B141" t="s">
        <v>188</v>
      </c>
      <c r="C141" s="4">
        <v>0.92307692307692302</v>
      </c>
      <c r="D141" s="4">
        <v>8.4401709401709393E-2</v>
      </c>
      <c r="E141" s="4">
        <v>0.32500000000000001</v>
      </c>
      <c r="F141" s="4">
        <v>0.82855883634683103</v>
      </c>
      <c r="G141" s="4"/>
    </row>
    <row r="142" spans="1:7" x14ac:dyDescent="0.3">
      <c r="A142" t="s">
        <v>641</v>
      </c>
      <c r="B142" t="s">
        <v>189</v>
      </c>
      <c r="C142" s="4">
        <v>1.84615384615385</v>
      </c>
      <c r="D142" s="4">
        <v>0.67841880341880301</v>
      </c>
      <c r="E142" s="4">
        <v>0.54166666666666696</v>
      </c>
      <c r="F142" s="4">
        <v>1</v>
      </c>
      <c r="G142" s="4"/>
    </row>
    <row r="143" spans="1:7" x14ac:dyDescent="0.3">
      <c r="A143" t="s">
        <v>641</v>
      </c>
      <c r="B143" t="s">
        <v>56</v>
      </c>
      <c r="C143" s="4">
        <v>0.61538461538461497</v>
      </c>
      <c r="D143" s="4">
        <v>0.112179487179487</v>
      </c>
      <c r="E143" s="4">
        <v>0.371428571428571</v>
      </c>
      <c r="F143" s="4">
        <v>0.48756903861689899</v>
      </c>
      <c r="G143" s="4"/>
    </row>
    <row r="144" spans="1:7" x14ac:dyDescent="0.3">
      <c r="A144" t="s">
        <v>641</v>
      </c>
      <c r="B144" t="s">
        <v>107</v>
      </c>
      <c r="C144" s="4">
        <v>0.30769230769230799</v>
      </c>
      <c r="D144" s="4">
        <v>0.17521367521367501</v>
      </c>
      <c r="E144" s="4">
        <v>0.41935483870967699</v>
      </c>
      <c r="F144" s="4">
        <v>5.1076691492626503E-2</v>
      </c>
      <c r="G144" s="4"/>
    </row>
    <row r="145" spans="1:7" x14ac:dyDescent="0.3">
      <c r="A145" t="s">
        <v>641</v>
      </c>
      <c r="B145" t="s">
        <v>190</v>
      </c>
      <c r="C145" s="4">
        <v>0.15384615384615399</v>
      </c>
      <c r="D145" s="4">
        <v>0</v>
      </c>
      <c r="E145" s="4">
        <v>0.36111111111111099</v>
      </c>
      <c r="F145" s="4">
        <v>3.4335677986492799E-2</v>
      </c>
      <c r="G145" s="4"/>
    </row>
    <row r="146" spans="1:7" x14ac:dyDescent="0.3">
      <c r="A146" t="s">
        <v>641</v>
      </c>
      <c r="B146" t="s">
        <v>192</v>
      </c>
      <c r="C146" s="4">
        <v>0.61538461538461497</v>
      </c>
      <c r="D146" s="4">
        <v>8.9743589743589702E-2</v>
      </c>
      <c r="E146" s="4">
        <v>0.34210526315789502</v>
      </c>
      <c r="F146" s="4">
        <v>0.16021734837225601</v>
      </c>
      <c r="G146" s="4"/>
    </row>
    <row r="147" spans="1:7" x14ac:dyDescent="0.3">
      <c r="A147" t="s">
        <v>641</v>
      </c>
      <c r="B147" t="s">
        <v>193</v>
      </c>
      <c r="C147" s="4">
        <v>0.30769230769230799</v>
      </c>
      <c r="D147" s="4">
        <v>0</v>
      </c>
      <c r="E147" s="4">
        <v>0.282608695652174</v>
      </c>
      <c r="F147" s="4">
        <v>7.8565988690701902E-2</v>
      </c>
      <c r="G147" s="4"/>
    </row>
    <row r="148" spans="1:7" x14ac:dyDescent="0.3">
      <c r="A148" t="s">
        <v>641</v>
      </c>
      <c r="B148" t="s">
        <v>100</v>
      </c>
      <c r="C148" s="4">
        <v>0.46153846153846201</v>
      </c>
      <c r="D148" s="4">
        <v>6.41025641025641E-3</v>
      </c>
      <c r="E148" s="4">
        <v>0.29545454545454503</v>
      </c>
      <c r="F148" s="4">
        <v>0.144086753166907</v>
      </c>
      <c r="G148" s="4"/>
    </row>
    <row r="149" spans="1:7" x14ac:dyDescent="0.3">
      <c r="A149" t="s">
        <v>641</v>
      </c>
      <c r="B149" t="s">
        <v>194</v>
      </c>
      <c r="C149" s="4">
        <v>0.30769230769230799</v>
      </c>
      <c r="D149" s="4">
        <v>0.141025641025641</v>
      </c>
      <c r="E149" s="4">
        <v>0.38235294117647101</v>
      </c>
      <c r="F149" s="4">
        <v>3.9282994345350999E-2</v>
      </c>
      <c r="G149" s="4"/>
    </row>
    <row r="150" spans="1:7" x14ac:dyDescent="0.3">
      <c r="A150" t="s">
        <v>641</v>
      </c>
      <c r="B150" t="s">
        <v>195</v>
      </c>
      <c r="C150" s="4">
        <v>0.76923076923076905</v>
      </c>
      <c r="D150" s="4">
        <v>9.4017094017094002E-2</v>
      </c>
      <c r="E150" s="4">
        <v>0.35135135135135098</v>
      </c>
      <c r="F150" s="4">
        <v>0.48929475817026402</v>
      </c>
      <c r="G150" s="4"/>
    </row>
    <row r="151" spans="1:7" x14ac:dyDescent="0.3">
      <c r="A151" t="s">
        <v>641</v>
      </c>
      <c r="B151" t="s">
        <v>196</v>
      </c>
      <c r="C151" s="4">
        <v>0.30769230769230799</v>
      </c>
      <c r="D151" s="4">
        <v>7.3717948717948706E-2</v>
      </c>
      <c r="E151" s="4">
        <v>0.40625</v>
      </c>
      <c r="F151" s="4">
        <v>5.1135945243505801E-2</v>
      </c>
      <c r="G151" s="4"/>
    </row>
    <row r="152" spans="1:7" x14ac:dyDescent="0.3">
      <c r="A152" t="s">
        <v>641</v>
      </c>
      <c r="B152" t="s">
        <v>197</v>
      </c>
      <c r="C152" s="4">
        <v>0.30769230769230799</v>
      </c>
      <c r="D152" s="4">
        <v>7.3717948717948706E-2</v>
      </c>
      <c r="E152" s="4">
        <v>0.40625</v>
      </c>
      <c r="F152" s="4">
        <v>5.1135945243505898E-2</v>
      </c>
      <c r="G152" s="4"/>
    </row>
    <row r="153" spans="1:7" x14ac:dyDescent="0.3">
      <c r="A153" t="s">
        <v>641</v>
      </c>
      <c r="B153" t="s">
        <v>198</v>
      </c>
      <c r="C153" s="4">
        <v>0.46153846153846201</v>
      </c>
      <c r="D153" s="4">
        <v>4.2735042735042701E-2</v>
      </c>
      <c r="E153" s="4">
        <v>0.30952380952380998</v>
      </c>
      <c r="F153" s="4">
        <v>0.176705560011827</v>
      </c>
      <c r="G153" s="4"/>
    </row>
    <row r="154" spans="1:7" x14ac:dyDescent="0.3">
      <c r="A154" t="s">
        <v>642</v>
      </c>
      <c r="B154" t="s">
        <v>200</v>
      </c>
      <c r="C154" s="4">
        <v>2</v>
      </c>
      <c r="D154" s="4">
        <v>0.05</v>
      </c>
      <c r="E154" s="4">
        <v>0.55555555555555602</v>
      </c>
      <c r="F154" s="4">
        <v>1</v>
      </c>
      <c r="G154" s="4"/>
    </row>
    <row r="155" spans="1:7" x14ac:dyDescent="0.3">
      <c r="A155" t="s">
        <v>642</v>
      </c>
      <c r="B155" t="s">
        <v>201</v>
      </c>
      <c r="C155" s="4">
        <v>1.6</v>
      </c>
      <c r="D155" s="4">
        <v>0.25</v>
      </c>
      <c r="E155" s="4">
        <v>0.625</v>
      </c>
      <c r="F155" s="4">
        <v>0.81844232581321796</v>
      </c>
      <c r="G155" s="4"/>
    </row>
    <row r="156" spans="1:7" x14ac:dyDescent="0.3">
      <c r="A156" t="s">
        <v>642</v>
      </c>
      <c r="B156" t="s">
        <v>203</v>
      </c>
      <c r="C156" s="4">
        <v>2</v>
      </c>
      <c r="D156" s="4">
        <v>0</v>
      </c>
      <c r="E156" s="4">
        <v>0.45454545454545497</v>
      </c>
      <c r="F156" s="4">
        <v>0.896398856114894</v>
      </c>
      <c r="G156" s="4"/>
    </row>
    <row r="157" spans="1:7" x14ac:dyDescent="0.3">
      <c r="A157" t="s">
        <v>642</v>
      </c>
      <c r="B157" t="s">
        <v>205</v>
      </c>
      <c r="C157" s="4">
        <v>1.2</v>
      </c>
      <c r="D157" s="4">
        <v>0.4</v>
      </c>
      <c r="E157" s="4">
        <v>0.625</v>
      </c>
      <c r="F157" s="4">
        <v>0.19434459280845101</v>
      </c>
      <c r="G157" s="4"/>
    </row>
    <row r="158" spans="1:7" x14ac:dyDescent="0.3">
      <c r="A158" t="s">
        <v>642</v>
      </c>
      <c r="B158" t="s">
        <v>206</v>
      </c>
      <c r="C158" s="4">
        <v>1.6</v>
      </c>
      <c r="D158" s="4">
        <v>0.15</v>
      </c>
      <c r="E158" s="4">
        <v>0.55555555555555602</v>
      </c>
      <c r="F158" s="4">
        <v>0.54945473053465199</v>
      </c>
      <c r="G158" s="4"/>
    </row>
    <row r="159" spans="1:7" x14ac:dyDescent="0.3">
      <c r="A159" t="s">
        <v>642</v>
      </c>
      <c r="B159" t="s">
        <v>207</v>
      </c>
      <c r="C159" s="4">
        <v>1.2</v>
      </c>
      <c r="D159" s="4">
        <v>0</v>
      </c>
      <c r="E159" s="4">
        <v>0.45454545454545497</v>
      </c>
      <c r="F159" s="4">
        <v>0.37501403777258802</v>
      </c>
      <c r="G159" s="4"/>
    </row>
    <row r="160" spans="1:7" x14ac:dyDescent="0.3">
      <c r="A160" t="s">
        <v>643</v>
      </c>
      <c r="B160" t="s">
        <v>115</v>
      </c>
      <c r="C160" s="4">
        <v>2</v>
      </c>
      <c r="D160" s="4">
        <v>0</v>
      </c>
      <c r="E160" s="4">
        <v>8.5714285714285701E-2</v>
      </c>
      <c r="F160" s="4">
        <v>1</v>
      </c>
      <c r="G160" s="4"/>
    </row>
    <row r="161" spans="1:7" x14ac:dyDescent="0.3">
      <c r="A161" t="s">
        <v>643</v>
      </c>
      <c r="B161" t="s">
        <v>85</v>
      </c>
      <c r="C161" s="4">
        <v>2</v>
      </c>
      <c r="D161" s="4">
        <v>0</v>
      </c>
      <c r="E161" s="4">
        <v>8.5714285714285701E-2</v>
      </c>
      <c r="F161" s="4">
        <v>0.93521875234554497</v>
      </c>
      <c r="G161" s="4"/>
    </row>
    <row r="162" spans="1:7" x14ac:dyDescent="0.3">
      <c r="A162" t="s">
        <v>643</v>
      </c>
      <c r="B162" t="s">
        <v>118</v>
      </c>
      <c r="C162" s="4">
        <v>2</v>
      </c>
      <c r="D162" s="4">
        <v>0</v>
      </c>
      <c r="E162" s="4">
        <v>0.12</v>
      </c>
      <c r="F162" s="4">
        <v>0.88656582522251803</v>
      </c>
      <c r="G162" s="4"/>
    </row>
    <row r="163" spans="1:7" x14ac:dyDescent="0.3">
      <c r="A163" t="s">
        <v>643</v>
      </c>
      <c r="B163" t="s">
        <v>572</v>
      </c>
      <c r="C163" s="4">
        <v>2</v>
      </c>
      <c r="D163" s="4">
        <v>1</v>
      </c>
      <c r="E163" s="4">
        <v>0.157894736842105</v>
      </c>
      <c r="F163" s="4">
        <v>0.49375060358839501</v>
      </c>
      <c r="G163" s="4"/>
    </row>
    <row r="164" spans="1:7" x14ac:dyDescent="0.3">
      <c r="A164" t="s">
        <v>644</v>
      </c>
      <c r="B164" t="s">
        <v>118</v>
      </c>
      <c r="C164" s="4">
        <v>2</v>
      </c>
      <c r="D164" s="4">
        <v>9.5238095238095205E-2</v>
      </c>
      <c r="E164" s="4">
        <v>0.58333333333333304</v>
      </c>
      <c r="F164" s="4">
        <v>1</v>
      </c>
      <c r="G164" s="4"/>
    </row>
    <row r="165" spans="1:7" x14ac:dyDescent="0.3">
      <c r="A165" t="s">
        <v>644</v>
      </c>
      <c r="B165" t="s">
        <v>117</v>
      </c>
      <c r="C165" s="4">
        <v>1.1428571428571399</v>
      </c>
      <c r="D165" s="4">
        <v>0</v>
      </c>
      <c r="E165" s="4">
        <v>0.5</v>
      </c>
      <c r="F165" s="4">
        <v>0.31866831887568697</v>
      </c>
      <c r="G165" s="4"/>
    </row>
    <row r="166" spans="1:7" x14ac:dyDescent="0.3">
      <c r="A166" t="s">
        <v>644</v>
      </c>
      <c r="B166" t="s">
        <v>155</v>
      </c>
      <c r="C166" s="4">
        <v>1.1428571428571399</v>
      </c>
      <c r="D166" s="4">
        <v>0</v>
      </c>
      <c r="E166" s="4">
        <v>0.5</v>
      </c>
      <c r="F166" s="4">
        <v>0.31866831887568697</v>
      </c>
      <c r="G166" s="4"/>
    </row>
    <row r="167" spans="1:7" x14ac:dyDescent="0.3">
      <c r="A167" t="s">
        <v>644</v>
      </c>
      <c r="B167" t="s">
        <v>84</v>
      </c>
      <c r="C167" s="4">
        <v>1.1428571428571399</v>
      </c>
      <c r="D167" s="4">
        <v>4.7619047619047603E-2</v>
      </c>
      <c r="E167" s="4">
        <v>0.46666666666666701</v>
      </c>
      <c r="F167" s="4">
        <v>0.76040883095630196</v>
      </c>
      <c r="G167" s="4"/>
    </row>
    <row r="168" spans="1:7" x14ac:dyDescent="0.3">
      <c r="A168" t="s">
        <v>644</v>
      </c>
      <c r="B168" t="s">
        <v>149</v>
      </c>
      <c r="C168" s="4">
        <v>1.1428571428571399</v>
      </c>
      <c r="D168" s="4">
        <v>0.17460317460317501</v>
      </c>
      <c r="E168" s="4">
        <v>0.58333333333333304</v>
      </c>
      <c r="F168" s="4">
        <v>0.36192709358522301</v>
      </c>
      <c r="G168" s="4"/>
    </row>
    <row r="169" spans="1:7" x14ac:dyDescent="0.3">
      <c r="A169" t="s">
        <v>644</v>
      </c>
      <c r="B169" t="s">
        <v>100</v>
      </c>
      <c r="C169" s="4">
        <v>2</v>
      </c>
      <c r="D169" s="4">
        <v>7.1428571428571397E-2</v>
      </c>
      <c r="E169" s="4">
        <v>0.58333333333333304</v>
      </c>
      <c r="F169" s="4">
        <v>0.87639159649611098</v>
      </c>
      <c r="G169" s="4"/>
    </row>
    <row r="170" spans="1:7" x14ac:dyDescent="0.3">
      <c r="A170" t="s">
        <v>644</v>
      </c>
      <c r="B170" t="s">
        <v>51</v>
      </c>
      <c r="C170" s="4">
        <v>1.4285714285714299</v>
      </c>
      <c r="D170" s="4">
        <v>0.49206349206349198</v>
      </c>
      <c r="E170" s="4">
        <v>0.77777777777777801</v>
      </c>
      <c r="F170" s="4">
        <v>0.182723492296711</v>
      </c>
      <c r="G170" s="4"/>
    </row>
    <row r="171" spans="1:7" x14ac:dyDescent="0.3">
      <c r="A171" t="s">
        <v>644</v>
      </c>
      <c r="B171" t="s">
        <v>209</v>
      </c>
      <c r="C171" s="4">
        <v>0.85714285714285698</v>
      </c>
      <c r="D171" s="4">
        <v>6.3492063492063502E-2</v>
      </c>
      <c r="E171" s="4">
        <v>0.5</v>
      </c>
      <c r="F171" s="4">
        <v>0.22323353898209999</v>
      </c>
      <c r="G171" s="4"/>
    </row>
    <row r="172" spans="1:7" x14ac:dyDescent="0.3">
      <c r="A172" t="s">
        <v>645</v>
      </c>
      <c r="B172" t="s">
        <v>211</v>
      </c>
      <c r="C172" s="4">
        <v>2</v>
      </c>
      <c r="D172" s="4">
        <v>8.7962962962963007E-2</v>
      </c>
      <c r="E172" s="4">
        <v>0.47368421052631599</v>
      </c>
      <c r="F172" s="4">
        <v>1</v>
      </c>
      <c r="G172" s="4"/>
    </row>
    <row r="173" spans="1:7" x14ac:dyDescent="0.3">
      <c r="A173" t="s">
        <v>645</v>
      </c>
      <c r="B173" t="s">
        <v>212</v>
      </c>
      <c r="C173" s="4">
        <v>1.7777777777777799</v>
      </c>
      <c r="D173" s="4">
        <v>0.24537037037036999</v>
      </c>
      <c r="E173" s="4">
        <v>0.5</v>
      </c>
      <c r="F173" s="4">
        <v>0.81199406616390601</v>
      </c>
      <c r="G173" s="4"/>
    </row>
    <row r="174" spans="1:7" x14ac:dyDescent="0.3">
      <c r="A174" t="s">
        <v>645</v>
      </c>
      <c r="B174" t="s">
        <v>213</v>
      </c>
      <c r="C174" s="4">
        <v>1.1111111111111101</v>
      </c>
      <c r="D174" s="4">
        <v>6.9444444444444406E-2</v>
      </c>
      <c r="E174" s="4">
        <v>0.42857142857142899</v>
      </c>
      <c r="F174" s="4">
        <v>0.33309027936334501</v>
      </c>
      <c r="G174" s="4"/>
    </row>
    <row r="175" spans="1:7" x14ac:dyDescent="0.3">
      <c r="A175" t="s">
        <v>645</v>
      </c>
      <c r="B175" t="s">
        <v>215</v>
      </c>
      <c r="C175" s="4">
        <v>0.66666666666666696</v>
      </c>
      <c r="D175" s="4">
        <v>1.85185185185185E-2</v>
      </c>
      <c r="E175" s="4">
        <v>0.42857142857142899</v>
      </c>
      <c r="F175" s="4">
        <v>0.13622536954321901</v>
      </c>
      <c r="G175" s="4"/>
    </row>
    <row r="176" spans="1:7" x14ac:dyDescent="0.3">
      <c r="A176" t="s">
        <v>645</v>
      </c>
      <c r="B176" t="s">
        <v>216</v>
      </c>
      <c r="C176" s="4">
        <v>1.3333333333333299</v>
      </c>
      <c r="D176" s="4">
        <v>0.171296296296296</v>
      </c>
      <c r="E176" s="4">
        <v>0.52941176470588203</v>
      </c>
      <c r="F176" s="4">
        <v>0.57925812999990201</v>
      </c>
      <c r="G176" s="4"/>
    </row>
    <row r="177" spans="1:7" x14ac:dyDescent="0.3">
      <c r="A177" t="s">
        <v>645</v>
      </c>
      <c r="B177" t="s">
        <v>217</v>
      </c>
      <c r="C177" s="4">
        <v>0.66666666666666696</v>
      </c>
      <c r="D177" s="4">
        <v>0</v>
      </c>
      <c r="E177" s="4">
        <v>0.34615384615384598</v>
      </c>
      <c r="F177" s="4">
        <v>0.21736092644973701</v>
      </c>
      <c r="G177" s="4"/>
    </row>
    <row r="178" spans="1:7" x14ac:dyDescent="0.3">
      <c r="A178" t="s">
        <v>645</v>
      </c>
      <c r="B178" t="s">
        <v>219</v>
      </c>
      <c r="C178" s="4">
        <v>1.3333333333333299</v>
      </c>
      <c r="D178" s="4">
        <v>0.180555555555556</v>
      </c>
      <c r="E178" s="4">
        <v>0.52941176470588203</v>
      </c>
      <c r="F178" s="4">
        <v>0.41989076013968601</v>
      </c>
      <c r="G178" s="4"/>
    </row>
    <row r="179" spans="1:7" x14ac:dyDescent="0.3">
      <c r="A179" t="s">
        <v>645</v>
      </c>
      <c r="B179" t="s">
        <v>220</v>
      </c>
      <c r="C179" s="4">
        <v>1.1111111111111101</v>
      </c>
      <c r="D179" s="4">
        <v>2.7777777777777801E-2</v>
      </c>
      <c r="E179" s="4">
        <v>0.40909090909090901</v>
      </c>
      <c r="F179" s="4">
        <v>0.37630478201439099</v>
      </c>
      <c r="G179" s="4"/>
    </row>
    <row r="180" spans="1:7" x14ac:dyDescent="0.3">
      <c r="A180" t="s">
        <v>645</v>
      </c>
      <c r="B180" t="s">
        <v>56</v>
      </c>
      <c r="C180" s="4">
        <v>0.66666666666666696</v>
      </c>
      <c r="D180" s="4">
        <v>0.21296296296296299</v>
      </c>
      <c r="E180" s="4">
        <v>0.5625</v>
      </c>
      <c r="F180" s="4">
        <v>9.3655221265290703E-2</v>
      </c>
      <c r="G180" s="4"/>
    </row>
    <row r="181" spans="1:7" x14ac:dyDescent="0.3">
      <c r="A181" t="s">
        <v>645</v>
      </c>
      <c r="B181" t="s">
        <v>221</v>
      </c>
      <c r="C181" s="4">
        <v>0.44444444444444398</v>
      </c>
      <c r="D181" s="4">
        <v>5.5555555555555601E-2</v>
      </c>
      <c r="E181" s="4">
        <v>0.42857142857142899</v>
      </c>
      <c r="F181" s="4">
        <v>5.56111076559632E-2</v>
      </c>
      <c r="G181" s="4"/>
    </row>
    <row r="182" spans="1:7" x14ac:dyDescent="0.3">
      <c r="A182" t="s">
        <v>646</v>
      </c>
      <c r="B182" t="s">
        <v>223</v>
      </c>
      <c r="C182" s="4">
        <v>2</v>
      </c>
      <c r="D182" s="4">
        <v>0</v>
      </c>
      <c r="E182" s="4">
        <v>0.6</v>
      </c>
      <c r="F182" s="4">
        <v>1</v>
      </c>
      <c r="G182" s="4"/>
    </row>
    <row r="183" spans="1:7" x14ac:dyDescent="0.3">
      <c r="A183" t="s">
        <v>646</v>
      </c>
      <c r="B183" t="s">
        <v>85</v>
      </c>
      <c r="C183" s="4">
        <v>2</v>
      </c>
      <c r="D183" s="4">
        <v>0.66666666666666696</v>
      </c>
      <c r="E183" s="4">
        <v>1</v>
      </c>
      <c r="F183" s="4">
        <v>0.49033010167086699</v>
      </c>
      <c r="G183" s="4"/>
    </row>
    <row r="184" spans="1:7" x14ac:dyDescent="0.3">
      <c r="A184" t="s">
        <v>646</v>
      </c>
      <c r="B184" t="s">
        <v>224</v>
      </c>
      <c r="C184" s="4">
        <v>2</v>
      </c>
      <c r="D184" s="4">
        <v>0</v>
      </c>
      <c r="E184" s="4">
        <v>0.75</v>
      </c>
      <c r="F184" s="4">
        <v>0.80636096254159195</v>
      </c>
      <c r="G184" s="4"/>
    </row>
    <row r="185" spans="1:7" x14ac:dyDescent="0.3">
      <c r="A185" t="s">
        <v>646</v>
      </c>
      <c r="B185" t="s">
        <v>225</v>
      </c>
      <c r="C185" s="4">
        <v>2</v>
      </c>
      <c r="D185" s="4">
        <v>0</v>
      </c>
      <c r="E185" s="4">
        <v>0.75</v>
      </c>
      <c r="F185" s="4">
        <v>0.80636096254159195</v>
      </c>
      <c r="G185" s="4"/>
    </row>
    <row r="186" spans="1:7" x14ac:dyDescent="0.3">
      <c r="A186" t="s">
        <v>647</v>
      </c>
      <c r="B186" t="s">
        <v>227</v>
      </c>
      <c r="G186" s="4"/>
    </row>
    <row r="187" spans="1:7" x14ac:dyDescent="0.3">
      <c r="A187" t="s">
        <v>647</v>
      </c>
      <c r="B187" t="s">
        <v>229</v>
      </c>
      <c r="G187" s="4"/>
    </row>
    <row r="188" spans="1:7" x14ac:dyDescent="0.3">
      <c r="A188" t="s">
        <v>647</v>
      </c>
      <c r="B188" t="s">
        <v>152</v>
      </c>
      <c r="G188" s="4"/>
    </row>
    <row r="189" spans="1:7" x14ac:dyDescent="0.3">
      <c r="A189" t="s">
        <v>648</v>
      </c>
      <c r="B189" t="s">
        <v>56</v>
      </c>
      <c r="C189" s="4">
        <v>2</v>
      </c>
      <c r="D189" s="4">
        <v>0.33333333333333298</v>
      </c>
      <c r="E189" s="4">
        <v>0.2</v>
      </c>
      <c r="F189" s="4">
        <v>0.91001080941258605</v>
      </c>
      <c r="G189" s="4"/>
    </row>
    <row r="190" spans="1:7" x14ac:dyDescent="0.3">
      <c r="A190" t="s">
        <v>648</v>
      </c>
      <c r="B190" t="s">
        <v>232</v>
      </c>
      <c r="C190" s="4">
        <v>2</v>
      </c>
      <c r="D190" s="4">
        <v>0</v>
      </c>
      <c r="E190" s="4">
        <v>0.16666666666666699</v>
      </c>
      <c r="F190" s="4">
        <v>1</v>
      </c>
      <c r="G190" s="4"/>
    </row>
    <row r="191" spans="1:7" x14ac:dyDescent="0.3">
      <c r="A191" t="s">
        <v>648</v>
      </c>
      <c r="B191" t="s">
        <v>51</v>
      </c>
      <c r="C191" s="4">
        <v>1.3333333333333299</v>
      </c>
      <c r="D191" s="4">
        <v>0</v>
      </c>
      <c r="E191" s="4">
        <v>0.15</v>
      </c>
      <c r="F191" s="4">
        <v>0.78888576762637597</v>
      </c>
      <c r="G191" s="4"/>
    </row>
    <row r="192" spans="1:7" x14ac:dyDescent="0.3">
      <c r="A192" t="s">
        <v>648</v>
      </c>
      <c r="B192" t="s">
        <v>233</v>
      </c>
      <c r="C192" s="4">
        <v>1.3333333333333299</v>
      </c>
      <c r="D192" s="4">
        <v>0.33333333333333298</v>
      </c>
      <c r="E192" s="4">
        <v>0.2</v>
      </c>
      <c r="F192" s="4">
        <v>0.45967116488522702</v>
      </c>
      <c r="G192" s="4"/>
    </row>
    <row r="193" spans="1:7" x14ac:dyDescent="0.3">
      <c r="A193" t="s">
        <v>649</v>
      </c>
      <c r="B193" t="s">
        <v>115</v>
      </c>
      <c r="C193" s="4">
        <v>1.6</v>
      </c>
      <c r="D193" s="4">
        <v>0.05</v>
      </c>
      <c r="E193" s="4">
        <v>0.217391304347826</v>
      </c>
      <c r="F193" s="4">
        <v>0.77462461884820499</v>
      </c>
      <c r="G193" s="4"/>
    </row>
    <row r="194" spans="1:7" x14ac:dyDescent="0.3">
      <c r="A194" t="s">
        <v>649</v>
      </c>
      <c r="B194" t="s">
        <v>117</v>
      </c>
      <c r="C194" s="4">
        <v>2</v>
      </c>
      <c r="D194" s="4">
        <v>0.3</v>
      </c>
      <c r="E194" s="4">
        <v>0.29411764705882398</v>
      </c>
      <c r="F194" s="4">
        <v>1</v>
      </c>
      <c r="G194" s="4"/>
    </row>
    <row r="195" spans="1:7" x14ac:dyDescent="0.3">
      <c r="A195" t="s">
        <v>649</v>
      </c>
      <c r="B195" t="s">
        <v>120</v>
      </c>
      <c r="C195" s="4">
        <v>0.8</v>
      </c>
      <c r="D195" s="4">
        <v>0.15</v>
      </c>
      <c r="E195" s="4">
        <v>0.238095238095238</v>
      </c>
      <c r="F195" s="4">
        <v>0.13253896714941199</v>
      </c>
      <c r="G195" s="4"/>
    </row>
    <row r="196" spans="1:7" x14ac:dyDescent="0.3">
      <c r="A196" t="s">
        <v>649</v>
      </c>
      <c r="B196" t="s">
        <v>236</v>
      </c>
      <c r="C196" s="4">
        <v>0.8</v>
      </c>
      <c r="D196" s="4">
        <v>0</v>
      </c>
      <c r="E196" s="4">
        <v>0.18518518518518501</v>
      </c>
      <c r="F196" s="4">
        <v>0.26336845883157001</v>
      </c>
      <c r="G196" s="4"/>
    </row>
    <row r="197" spans="1:7" x14ac:dyDescent="0.3">
      <c r="A197" t="s">
        <v>649</v>
      </c>
      <c r="B197" t="s">
        <v>237</v>
      </c>
      <c r="C197" s="4">
        <v>1.6</v>
      </c>
      <c r="D197" s="4">
        <v>0.2</v>
      </c>
      <c r="E197" s="4">
        <v>0.26315789473684198</v>
      </c>
      <c r="F197" s="4">
        <v>0.76318014589525895</v>
      </c>
      <c r="G197" s="4"/>
    </row>
    <row r="198" spans="1:7" x14ac:dyDescent="0.3">
      <c r="A198" t="s">
        <v>649</v>
      </c>
      <c r="B198" t="s">
        <v>84</v>
      </c>
      <c r="C198" s="4">
        <v>1.2</v>
      </c>
      <c r="D198" s="4">
        <v>0.15</v>
      </c>
      <c r="E198" s="4">
        <v>0.26315789473684198</v>
      </c>
      <c r="F198" s="4">
        <v>0.285161079570807</v>
      </c>
      <c r="G198" s="4"/>
    </row>
    <row r="199" spans="1:7" x14ac:dyDescent="0.3">
      <c r="A199" t="s">
        <v>650</v>
      </c>
      <c r="B199" t="s">
        <v>239</v>
      </c>
      <c r="C199" s="4">
        <v>1.6</v>
      </c>
      <c r="D199" s="4">
        <v>0.5</v>
      </c>
      <c r="E199" s="4">
        <v>0.5</v>
      </c>
      <c r="F199" s="4">
        <v>1</v>
      </c>
      <c r="G199" s="4"/>
    </row>
    <row r="200" spans="1:7" x14ac:dyDescent="0.3">
      <c r="A200" t="s">
        <v>650</v>
      </c>
      <c r="B200" t="s">
        <v>241</v>
      </c>
      <c r="C200" s="4">
        <v>0</v>
      </c>
      <c r="D200" s="4">
        <v>0</v>
      </c>
      <c r="E200" s="4">
        <v>0.16666666666666699</v>
      </c>
      <c r="F200" s="4">
        <v>0</v>
      </c>
      <c r="G200" s="4"/>
    </row>
    <row r="201" spans="1:7" x14ac:dyDescent="0.3">
      <c r="A201" t="s">
        <v>650</v>
      </c>
      <c r="B201" t="s">
        <v>242</v>
      </c>
      <c r="C201" s="4">
        <v>0.4</v>
      </c>
      <c r="D201" s="4">
        <v>0</v>
      </c>
      <c r="E201" s="4">
        <v>0.38461538461538503</v>
      </c>
      <c r="F201" s="4">
        <v>0.42681725548354599</v>
      </c>
      <c r="G201" s="4"/>
    </row>
    <row r="202" spans="1:7" x14ac:dyDescent="0.3">
      <c r="A202" t="s">
        <v>650</v>
      </c>
      <c r="B202" t="s">
        <v>243</v>
      </c>
      <c r="C202" s="4">
        <v>0.8</v>
      </c>
      <c r="D202" s="4">
        <v>0</v>
      </c>
      <c r="E202" s="4">
        <v>0.41666666666666702</v>
      </c>
      <c r="F202" s="4">
        <v>0.74464428590503995</v>
      </c>
      <c r="G202" s="4"/>
    </row>
    <row r="203" spans="1:7" x14ac:dyDescent="0.3">
      <c r="A203" t="s">
        <v>650</v>
      </c>
      <c r="B203" t="s">
        <v>52</v>
      </c>
      <c r="C203" s="4">
        <v>0.8</v>
      </c>
      <c r="D203" s="4">
        <v>0</v>
      </c>
      <c r="E203" s="4">
        <v>0.41666666666666702</v>
      </c>
      <c r="F203" s="4">
        <v>0.74464428590503995</v>
      </c>
      <c r="G203" s="4"/>
    </row>
    <row r="204" spans="1:7" x14ac:dyDescent="0.3">
      <c r="A204" t="s">
        <v>650</v>
      </c>
      <c r="B204" t="s">
        <v>244</v>
      </c>
      <c r="C204" s="4">
        <v>0.4</v>
      </c>
      <c r="D204" s="4">
        <v>0</v>
      </c>
      <c r="E204" s="4">
        <v>0.38461538461538503</v>
      </c>
      <c r="F204" s="4">
        <v>0.42681725548354599</v>
      </c>
      <c r="G204" s="4"/>
    </row>
    <row r="205" spans="1:7" x14ac:dyDescent="0.3">
      <c r="A205" t="s">
        <v>651</v>
      </c>
      <c r="B205" t="s">
        <v>56</v>
      </c>
      <c r="C205" s="4">
        <v>2</v>
      </c>
      <c r="D205" s="4">
        <v>0.66666666666666696</v>
      </c>
      <c r="E205" s="4">
        <v>0.14285714285714299</v>
      </c>
      <c r="F205" s="4">
        <v>1</v>
      </c>
      <c r="G205" s="4"/>
    </row>
    <row r="206" spans="1:7" x14ac:dyDescent="0.3">
      <c r="A206" t="s">
        <v>651</v>
      </c>
      <c r="B206" t="s">
        <v>117</v>
      </c>
      <c r="C206" s="4">
        <v>1.3333333333333299</v>
      </c>
      <c r="D206" s="4">
        <v>0</v>
      </c>
      <c r="E206" s="4">
        <v>9.375E-2</v>
      </c>
      <c r="F206" s="4">
        <v>0.99244587365848402</v>
      </c>
      <c r="G206" s="4"/>
    </row>
    <row r="207" spans="1:7" x14ac:dyDescent="0.3">
      <c r="A207" t="s">
        <v>651</v>
      </c>
      <c r="B207" t="s">
        <v>246</v>
      </c>
      <c r="C207" s="4">
        <v>1.3333333333333299</v>
      </c>
      <c r="D207" s="4">
        <v>0</v>
      </c>
      <c r="E207" s="4">
        <v>0.115384615384615</v>
      </c>
      <c r="F207" s="4">
        <v>0.87776385500983101</v>
      </c>
      <c r="G207" s="4"/>
    </row>
    <row r="208" spans="1:7" x14ac:dyDescent="0.3">
      <c r="A208" t="s">
        <v>651</v>
      </c>
      <c r="B208" t="s">
        <v>149</v>
      </c>
      <c r="C208" s="4">
        <v>0.66666666666666696</v>
      </c>
      <c r="D208" s="4">
        <v>0</v>
      </c>
      <c r="E208" s="4">
        <v>0.12</v>
      </c>
      <c r="F208" s="4">
        <v>0.11013647429705301</v>
      </c>
      <c r="G208" s="4"/>
    </row>
    <row r="209" spans="1:7" x14ac:dyDescent="0.3">
      <c r="A209" t="s">
        <v>652</v>
      </c>
      <c r="B209" t="s">
        <v>246</v>
      </c>
      <c r="C209" s="4">
        <v>2</v>
      </c>
      <c r="D209" s="4">
        <v>0.36666666666666697</v>
      </c>
      <c r="E209" s="4">
        <v>0.46153846153846201</v>
      </c>
      <c r="F209" s="4">
        <v>0.78120374160726602</v>
      </c>
      <c r="G209" s="4"/>
    </row>
    <row r="210" spans="1:7" x14ac:dyDescent="0.3">
      <c r="A210" t="s">
        <v>652</v>
      </c>
      <c r="B210" t="s">
        <v>117</v>
      </c>
      <c r="C210" s="4">
        <v>2</v>
      </c>
      <c r="D210" s="4">
        <v>0</v>
      </c>
      <c r="E210" s="4">
        <v>0.375</v>
      </c>
      <c r="F210" s="4">
        <v>0.96975939188064597</v>
      </c>
      <c r="G210" s="4"/>
    </row>
    <row r="211" spans="1:7" x14ac:dyDescent="0.3">
      <c r="A211" t="s">
        <v>652</v>
      </c>
      <c r="B211" t="s">
        <v>56</v>
      </c>
      <c r="C211" s="4">
        <v>1.3333333333333299</v>
      </c>
      <c r="D211" s="4">
        <v>0</v>
      </c>
      <c r="E211" s="4">
        <v>0.35294117647058798</v>
      </c>
      <c r="F211" s="4">
        <v>1</v>
      </c>
      <c r="G211" s="4"/>
    </row>
    <row r="212" spans="1:7" x14ac:dyDescent="0.3">
      <c r="A212" t="s">
        <v>652</v>
      </c>
      <c r="B212" t="s">
        <v>248</v>
      </c>
      <c r="C212" s="4">
        <v>1.3333333333333299</v>
      </c>
      <c r="D212" s="4">
        <v>0</v>
      </c>
      <c r="E212" s="4">
        <v>0.35294117647058798</v>
      </c>
      <c r="F212" s="4">
        <v>0.74385367297630001</v>
      </c>
      <c r="G212" s="4"/>
    </row>
    <row r="213" spans="1:7" x14ac:dyDescent="0.3">
      <c r="A213" t="s">
        <v>652</v>
      </c>
      <c r="B213" t="s">
        <v>249</v>
      </c>
      <c r="C213" s="4">
        <v>0.66666666666666696</v>
      </c>
      <c r="D213" s="4">
        <v>6.6666666666666693E-2</v>
      </c>
      <c r="E213" s="4">
        <v>0.375</v>
      </c>
      <c r="F213" s="4">
        <v>9.3260720348378998E-2</v>
      </c>
      <c r="G213" s="4"/>
    </row>
    <row r="214" spans="1:7" x14ac:dyDescent="0.3">
      <c r="A214" t="s">
        <v>652</v>
      </c>
      <c r="B214" t="s">
        <v>250</v>
      </c>
      <c r="C214" s="4">
        <v>1.6666666666666701</v>
      </c>
      <c r="D214" s="4">
        <v>0.6</v>
      </c>
      <c r="E214" s="4">
        <v>0.5</v>
      </c>
      <c r="F214" s="4">
        <v>0.19488398705766499</v>
      </c>
      <c r="G214" s="4"/>
    </row>
    <row r="215" spans="1:7" x14ac:dyDescent="0.3">
      <c r="A215" t="s">
        <v>652</v>
      </c>
      <c r="B215" t="s">
        <v>252</v>
      </c>
      <c r="C215" s="4">
        <v>1</v>
      </c>
      <c r="D215" s="4">
        <v>0</v>
      </c>
      <c r="E215" s="4">
        <v>0.35294117647058798</v>
      </c>
      <c r="F215" s="4">
        <v>0.14654271480087999</v>
      </c>
      <c r="G215" s="4"/>
    </row>
    <row r="216" spans="1:7" x14ac:dyDescent="0.3">
      <c r="A216" t="s">
        <v>653</v>
      </c>
      <c r="B216" t="s">
        <v>132</v>
      </c>
      <c r="C216" s="4">
        <v>1.5714285714285701</v>
      </c>
      <c r="D216" s="4">
        <v>0.21978021978022</v>
      </c>
      <c r="E216" s="4">
        <v>0.4</v>
      </c>
      <c r="F216" s="4">
        <v>1</v>
      </c>
      <c r="G216" s="4"/>
    </row>
    <row r="217" spans="1:7" x14ac:dyDescent="0.3">
      <c r="A217" t="s">
        <v>653</v>
      </c>
      <c r="B217" t="s">
        <v>574</v>
      </c>
      <c r="C217" s="4">
        <v>1</v>
      </c>
      <c r="D217" s="4">
        <v>0</v>
      </c>
      <c r="E217" s="4">
        <v>0.34146341463414598</v>
      </c>
      <c r="F217" s="4">
        <v>0.68258032424639303</v>
      </c>
      <c r="G217" s="4"/>
    </row>
    <row r="218" spans="1:7" x14ac:dyDescent="0.3">
      <c r="A218" t="s">
        <v>653</v>
      </c>
      <c r="B218" t="s">
        <v>575</v>
      </c>
      <c r="C218" s="4">
        <v>1</v>
      </c>
      <c r="D218" s="4">
        <v>0</v>
      </c>
      <c r="E218" s="4">
        <v>0.34146341463414598</v>
      </c>
      <c r="F218" s="4">
        <v>0.67361884454360299</v>
      </c>
      <c r="G218" s="4"/>
    </row>
    <row r="219" spans="1:7" x14ac:dyDescent="0.3">
      <c r="A219" t="s">
        <v>653</v>
      </c>
      <c r="B219" t="s">
        <v>576</v>
      </c>
      <c r="C219" s="4">
        <v>1.4285714285714299</v>
      </c>
      <c r="D219" s="4">
        <v>0.31868131868131899</v>
      </c>
      <c r="E219" s="4">
        <v>0.4</v>
      </c>
      <c r="F219" s="4">
        <v>0.762272203631845</v>
      </c>
      <c r="G219" s="4"/>
    </row>
    <row r="220" spans="1:7" x14ac:dyDescent="0.3">
      <c r="A220" t="s">
        <v>653</v>
      </c>
      <c r="B220" t="s">
        <v>577</v>
      </c>
      <c r="C220" s="4">
        <v>1.28571428571429</v>
      </c>
      <c r="D220" s="4">
        <v>0.12637362637362601</v>
      </c>
      <c r="E220" s="4">
        <v>0.37837837837837801</v>
      </c>
      <c r="F220" s="4">
        <v>0.74841887681967501</v>
      </c>
      <c r="G220" s="4"/>
    </row>
    <row r="221" spans="1:7" x14ac:dyDescent="0.3">
      <c r="A221" t="s">
        <v>653</v>
      </c>
      <c r="B221" t="s">
        <v>578</v>
      </c>
      <c r="C221" s="4">
        <v>1.28571428571429</v>
      </c>
      <c r="D221" s="4">
        <v>0.20329670329670299</v>
      </c>
      <c r="E221" s="4">
        <v>0.38888888888888901</v>
      </c>
      <c r="F221" s="4">
        <v>0.77167261148359301</v>
      </c>
      <c r="G221" s="4"/>
    </row>
    <row r="222" spans="1:7" x14ac:dyDescent="0.3">
      <c r="A222" t="s">
        <v>653</v>
      </c>
      <c r="B222" t="s">
        <v>579</v>
      </c>
      <c r="C222" s="4">
        <v>0.85714285714285698</v>
      </c>
      <c r="D222" s="4">
        <v>0.63736263736263699</v>
      </c>
      <c r="E222" s="4">
        <v>0.48275862068965503</v>
      </c>
      <c r="F222" s="4">
        <v>5.00985771977304E-2</v>
      </c>
      <c r="G222" s="4"/>
    </row>
    <row r="223" spans="1:7" x14ac:dyDescent="0.3">
      <c r="A223" t="s">
        <v>653</v>
      </c>
      <c r="B223" t="s">
        <v>580</v>
      </c>
      <c r="C223" s="4">
        <v>0.28571428571428598</v>
      </c>
      <c r="D223" s="4">
        <v>0</v>
      </c>
      <c r="E223" s="4">
        <v>0.29787234042553201</v>
      </c>
      <c r="F223" s="4">
        <v>2.96841671453658E-2</v>
      </c>
      <c r="G223" s="4"/>
    </row>
    <row r="224" spans="1:7" x14ac:dyDescent="0.3">
      <c r="A224" t="s">
        <v>653</v>
      </c>
      <c r="B224" t="s">
        <v>581</v>
      </c>
      <c r="C224" s="4">
        <v>0.28571428571428598</v>
      </c>
      <c r="D224" s="4">
        <v>0</v>
      </c>
      <c r="E224" s="4">
        <v>0.20895522388059701</v>
      </c>
      <c r="F224" s="4">
        <v>5.71000109438616E-2</v>
      </c>
      <c r="G224" s="4"/>
    </row>
    <row r="225" spans="1:7" x14ac:dyDescent="0.3">
      <c r="A225" t="s">
        <v>653</v>
      </c>
      <c r="B225" t="s">
        <v>582</v>
      </c>
      <c r="C225" s="4">
        <v>0.28571428571428598</v>
      </c>
      <c r="D225" s="4">
        <v>0</v>
      </c>
      <c r="E225" s="4">
        <v>0.20588235294117599</v>
      </c>
      <c r="F225" s="4">
        <v>5.7404596915373501E-2</v>
      </c>
      <c r="G225" s="4"/>
    </row>
    <row r="226" spans="1:7" x14ac:dyDescent="0.3">
      <c r="A226" t="s">
        <v>653</v>
      </c>
      <c r="B226" t="s">
        <v>349</v>
      </c>
      <c r="C226" s="4">
        <v>0.85714285714285698</v>
      </c>
      <c r="D226" s="4">
        <v>0</v>
      </c>
      <c r="E226" s="4">
        <v>0.18181818181818199</v>
      </c>
      <c r="F226" s="4">
        <v>0.33127928152897801</v>
      </c>
      <c r="G226" s="4"/>
    </row>
    <row r="227" spans="1:7" x14ac:dyDescent="0.3">
      <c r="A227" t="s">
        <v>653</v>
      </c>
      <c r="B227" t="s">
        <v>583</v>
      </c>
      <c r="C227" s="4">
        <v>0.14285714285714299</v>
      </c>
      <c r="D227" s="4">
        <v>0</v>
      </c>
      <c r="E227" s="4">
        <v>0.29166666666666702</v>
      </c>
      <c r="F227" s="4">
        <v>8.2328846209414903E-3</v>
      </c>
      <c r="G227" s="4"/>
    </row>
    <row r="228" spans="1:7" x14ac:dyDescent="0.3">
      <c r="A228" t="s">
        <v>653</v>
      </c>
      <c r="B228" t="s">
        <v>585</v>
      </c>
      <c r="C228" s="4">
        <v>0.14285714285714299</v>
      </c>
      <c r="D228" s="4">
        <v>0</v>
      </c>
      <c r="E228" s="4">
        <v>0.29166666666666702</v>
      </c>
      <c r="F228" s="4">
        <v>8.2328846209414903E-3</v>
      </c>
      <c r="G228" s="4"/>
    </row>
    <row r="229" spans="1:7" x14ac:dyDescent="0.3">
      <c r="A229" t="s">
        <v>653</v>
      </c>
      <c r="B229" t="s">
        <v>586</v>
      </c>
      <c r="C229" s="4">
        <v>0.28571428571428598</v>
      </c>
      <c r="D229" s="4">
        <v>0</v>
      </c>
      <c r="E229" s="4">
        <v>0.30434782608695699</v>
      </c>
      <c r="F229" s="4">
        <v>2.69669772096944E-2</v>
      </c>
      <c r="G229" s="4"/>
    </row>
    <row r="230" spans="1:7" x14ac:dyDescent="0.3">
      <c r="A230" t="s">
        <v>653</v>
      </c>
      <c r="B230" t="s">
        <v>587</v>
      </c>
      <c r="C230" s="4">
        <v>0.14285714285714299</v>
      </c>
      <c r="D230" s="4">
        <v>0</v>
      </c>
      <c r="E230" s="4">
        <v>0.28571428571428598</v>
      </c>
      <c r="F230" s="4">
        <v>8.3344132781121207E-3</v>
      </c>
      <c r="G230" s="4"/>
    </row>
    <row r="231" spans="1:7" x14ac:dyDescent="0.3">
      <c r="A231" t="s">
        <v>654</v>
      </c>
      <c r="B231" t="s">
        <v>123</v>
      </c>
      <c r="C231" s="4">
        <v>0.22222222222222199</v>
      </c>
      <c r="D231" s="4">
        <v>0</v>
      </c>
      <c r="E231" s="4">
        <v>0.26470588235294101</v>
      </c>
      <c r="F231" s="4">
        <v>1.8317626889649701E-2</v>
      </c>
      <c r="G231" s="4"/>
    </row>
    <row r="232" spans="1:7" x14ac:dyDescent="0.3">
      <c r="A232" t="s">
        <v>654</v>
      </c>
      <c r="B232" t="s">
        <v>255</v>
      </c>
      <c r="C232" s="4">
        <v>1.7777777777777799</v>
      </c>
      <c r="D232" s="4">
        <v>0.22222222222222199</v>
      </c>
      <c r="E232" s="4">
        <v>0.34615384615384598</v>
      </c>
      <c r="F232" s="4">
        <v>1</v>
      </c>
      <c r="G232" s="4"/>
    </row>
    <row r="233" spans="1:7" x14ac:dyDescent="0.3">
      <c r="A233" t="s">
        <v>654</v>
      </c>
      <c r="B233" t="s">
        <v>256</v>
      </c>
      <c r="C233" s="4">
        <v>1.55555555555556</v>
      </c>
      <c r="D233" s="4">
        <v>0.194444444444444</v>
      </c>
      <c r="E233" s="4">
        <v>0.375</v>
      </c>
      <c r="F233" s="4">
        <v>0.97695490369002602</v>
      </c>
      <c r="G233" s="4"/>
    </row>
    <row r="234" spans="1:7" x14ac:dyDescent="0.3">
      <c r="A234" t="s">
        <v>654</v>
      </c>
      <c r="B234" t="s">
        <v>258</v>
      </c>
      <c r="C234" s="4">
        <v>1.3333333333333299</v>
      </c>
      <c r="D234" s="4">
        <v>0.43518518518518501</v>
      </c>
      <c r="E234" s="4">
        <v>0.45</v>
      </c>
      <c r="F234" s="4">
        <v>0.352728361443373</v>
      </c>
      <c r="G234" s="4"/>
    </row>
    <row r="235" spans="1:7" x14ac:dyDescent="0.3">
      <c r="A235" t="s">
        <v>654</v>
      </c>
      <c r="B235" t="s">
        <v>259</v>
      </c>
      <c r="C235" s="4">
        <v>0.88888888888888895</v>
      </c>
      <c r="D235" s="4">
        <v>0.17592592592592601</v>
      </c>
      <c r="E235" s="4">
        <v>0.45</v>
      </c>
      <c r="F235" s="4">
        <v>0.117864473744484</v>
      </c>
      <c r="G235" s="4"/>
    </row>
    <row r="236" spans="1:7" x14ac:dyDescent="0.3">
      <c r="A236" t="s">
        <v>654</v>
      </c>
      <c r="B236" t="s">
        <v>260</v>
      </c>
      <c r="C236" s="4">
        <v>1.1111111111111101</v>
      </c>
      <c r="D236" s="4">
        <v>0.22222222222222199</v>
      </c>
      <c r="E236" s="4">
        <v>0.375</v>
      </c>
      <c r="F236" s="4">
        <v>0.127845645839436</v>
      </c>
      <c r="G236" s="4"/>
    </row>
    <row r="237" spans="1:7" x14ac:dyDescent="0.3">
      <c r="A237" t="s">
        <v>654</v>
      </c>
      <c r="B237" t="s">
        <v>261</v>
      </c>
      <c r="C237" s="4">
        <v>0.66666666666666696</v>
      </c>
      <c r="D237" s="4">
        <v>0</v>
      </c>
      <c r="E237" s="4">
        <v>0.28125</v>
      </c>
      <c r="F237" s="4">
        <v>0.20214719872273099</v>
      </c>
      <c r="G237" s="4"/>
    </row>
    <row r="238" spans="1:7" x14ac:dyDescent="0.3">
      <c r="A238" t="s">
        <v>654</v>
      </c>
      <c r="B238" t="s">
        <v>263</v>
      </c>
      <c r="C238" s="4">
        <v>0.44444444444444398</v>
      </c>
      <c r="D238" s="4">
        <v>0</v>
      </c>
      <c r="E238" s="4">
        <v>0.28125</v>
      </c>
      <c r="F238" s="4">
        <v>9.1166002972406304E-2</v>
      </c>
      <c r="G238" s="4"/>
    </row>
    <row r="239" spans="1:7" x14ac:dyDescent="0.3">
      <c r="A239" t="s">
        <v>654</v>
      </c>
      <c r="B239" t="s">
        <v>264</v>
      </c>
      <c r="C239" s="4">
        <v>0.66666666666666696</v>
      </c>
      <c r="D239" s="4">
        <v>0.37962962962962998</v>
      </c>
      <c r="E239" s="4">
        <v>0.45</v>
      </c>
      <c r="F239" s="4">
        <v>6.0569764235582003E-2</v>
      </c>
      <c r="G239" s="4"/>
    </row>
    <row r="240" spans="1:7" x14ac:dyDescent="0.3">
      <c r="A240" t="s">
        <v>654</v>
      </c>
      <c r="B240" t="s">
        <v>265</v>
      </c>
      <c r="C240" s="4">
        <v>0.22222222222222199</v>
      </c>
      <c r="D240" s="4">
        <v>0</v>
      </c>
      <c r="E240" s="4">
        <v>0.32142857142857101</v>
      </c>
      <c r="F240" s="4">
        <v>6.4611465183172E-3</v>
      </c>
      <c r="G240" s="4"/>
    </row>
    <row r="241" spans="1:7" x14ac:dyDescent="0.3">
      <c r="A241" t="s">
        <v>655</v>
      </c>
      <c r="B241" t="s">
        <v>232</v>
      </c>
      <c r="C241" s="4">
        <v>2</v>
      </c>
      <c r="D241" s="4">
        <v>0.125</v>
      </c>
      <c r="E241" s="4">
        <v>0.38095238095238099</v>
      </c>
      <c r="F241" s="4">
        <v>1</v>
      </c>
      <c r="G241" s="4"/>
    </row>
    <row r="242" spans="1:7" x14ac:dyDescent="0.3">
      <c r="A242" t="s">
        <v>655</v>
      </c>
      <c r="B242" t="s">
        <v>267</v>
      </c>
      <c r="C242" s="4">
        <v>1.75</v>
      </c>
      <c r="D242" s="4">
        <v>0.33928571428571402</v>
      </c>
      <c r="E242" s="4">
        <v>0.44444444444444398</v>
      </c>
      <c r="F242" s="4">
        <v>0.51638670399931397</v>
      </c>
      <c r="G242" s="4"/>
    </row>
    <row r="243" spans="1:7" x14ac:dyDescent="0.3">
      <c r="A243" t="s">
        <v>655</v>
      </c>
      <c r="B243" t="s">
        <v>268</v>
      </c>
      <c r="C243" s="4">
        <v>1</v>
      </c>
      <c r="D243" s="4">
        <v>0</v>
      </c>
      <c r="E243" s="4">
        <v>0.34782608695652201</v>
      </c>
      <c r="F243" s="4">
        <v>0.61883230205109196</v>
      </c>
      <c r="G243" s="4"/>
    </row>
    <row r="244" spans="1:7" x14ac:dyDescent="0.3">
      <c r="A244" t="s">
        <v>655</v>
      </c>
      <c r="B244" t="s">
        <v>117</v>
      </c>
      <c r="C244" s="4">
        <v>1.25</v>
      </c>
      <c r="D244" s="4">
        <v>0.26785714285714302</v>
      </c>
      <c r="E244" s="4">
        <v>0.47058823529411797</v>
      </c>
      <c r="F244" s="4">
        <v>0.68992518323229102</v>
      </c>
      <c r="G244" s="4"/>
    </row>
    <row r="245" spans="1:7" x14ac:dyDescent="0.3">
      <c r="A245" t="s">
        <v>655</v>
      </c>
      <c r="B245" t="s">
        <v>270</v>
      </c>
      <c r="C245" s="4">
        <v>0.75</v>
      </c>
      <c r="D245" s="4">
        <v>0.30357142857142899</v>
      </c>
      <c r="E245" s="4">
        <v>0.44444444444444398</v>
      </c>
      <c r="F245" s="4">
        <v>6.88296229739426E-2</v>
      </c>
      <c r="G245" s="4"/>
    </row>
    <row r="246" spans="1:7" x14ac:dyDescent="0.3">
      <c r="A246" t="s">
        <v>655</v>
      </c>
      <c r="B246" t="s">
        <v>271</v>
      </c>
      <c r="C246" s="4">
        <v>1</v>
      </c>
      <c r="D246" s="4">
        <v>0.107142857142857</v>
      </c>
      <c r="E246" s="4">
        <v>0.4</v>
      </c>
      <c r="F246" s="4">
        <v>0.327618125355643</v>
      </c>
      <c r="G246" s="4"/>
    </row>
    <row r="247" spans="1:7" x14ac:dyDescent="0.3">
      <c r="A247" t="s">
        <v>655</v>
      </c>
      <c r="B247" t="s">
        <v>272</v>
      </c>
      <c r="C247" s="4">
        <v>0.5</v>
      </c>
      <c r="D247" s="4">
        <v>8.9285714285714302E-2</v>
      </c>
      <c r="E247" s="4">
        <v>0.36363636363636398</v>
      </c>
      <c r="F247" s="4">
        <v>6.0601872719788299E-2</v>
      </c>
      <c r="G247" s="4"/>
    </row>
    <row r="248" spans="1:7" x14ac:dyDescent="0.3">
      <c r="A248" t="s">
        <v>655</v>
      </c>
      <c r="B248" t="s">
        <v>273</v>
      </c>
      <c r="C248" s="4">
        <v>0.5</v>
      </c>
      <c r="D248" s="4">
        <v>0</v>
      </c>
      <c r="E248" s="4">
        <v>0.25</v>
      </c>
      <c r="F248" s="4">
        <v>0.20966391889111699</v>
      </c>
      <c r="G248" s="4"/>
    </row>
    <row r="249" spans="1:7" x14ac:dyDescent="0.3">
      <c r="A249" t="s">
        <v>655</v>
      </c>
      <c r="B249" t="s">
        <v>274</v>
      </c>
      <c r="C249" s="4">
        <v>0.75</v>
      </c>
      <c r="D249" s="4">
        <v>8.9285714285714302E-2</v>
      </c>
      <c r="E249" s="4">
        <v>0.38095238095238099</v>
      </c>
      <c r="F249" s="4">
        <v>0.23384868200828701</v>
      </c>
      <c r="G249" s="4"/>
    </row>
    <row r="250" spans="1:7" x14ac:dyDescent="0.3">
      <c r="A250" t="s">
        <v>656</v>
      </c>
      <c r="B250" t="s">
        <v>589</v>
      </c>
      <c r="C250" s="4">
        <v>2</v>
      </c>
      <c r="D250" s="4">
        <v>0.66666666666666696</v>
      </c>
      <c r="E250" s="4">
        <v>0.75</v>
      </c>
      <c r="F250" s="4">
        <v>0.20164722966590601</v>
      </c>
      <c r="G250" s="4"/>
    </row>
    <row r="251" spans="1:7" x14ac:dyDescent="0.3">
      <c r="A251" t="s">
        <v>656</v>
      </c>
      <c r="B251" t="s">
        <v>590</v>
      </c>
      <c r="C251" s="4">
        <v>2</v>
      </c>
      <c r="D251" s="4">
        <v>0</v>
      </c>
      <c r="E251" s="4">
        <v>0.6</v>
      </c>
      <c r="F251" s="4">
        <v>0.37344680002823999</v>
      </c>
      <c r="G251" s="4"/>
    </row>
    <row r="252" spans="1:7" x14ac:dyDescent="0.3">
      <c r="A252" t="s">
        <v>656</v>
      </c>
      <c r="B252" t="s">
        <v>174</v>
      </c>
      <c r="C252" s="4">
        <v>2</v>
      </c>
      <c r="D252" s="4">
        <v>0</v>
      </c>
      <c r="E252" s="4">
        <v>0.375</v>
      </c>
      <c r="F252" s="4">
        <v>1</v>
      </c>
      <c r="G252" s="4"/>
    </row>
    <row r="253" spans="1:7" x14ac:dyDescent="0.3">
      <c r="A253" t="s">
        <v>656</v>
      </c>
      <c r="B253" t="s">
        <v>56</v>
      </c>
      <c r="C253" s="4">
        <v>2</v>
      </c>
      <c r="D253" s="4">
        <v>0</v>
      </c>
      <c r="E253" s="4">
        <v>0.6</v>
      </c>
      <c r="F253" s="4">
        <v>0.946112034569356</v>
      </c>
      <c r="G253" s="4"/>
    </row>
    <row r="254" spans="1:7" x14ac:dyDescent="0.3">
      <c r="A254" t="s">
        <v>657</v>
      </c>
      <c r="B254" t="s">
        <v>592</v>
      </c>
      <c r="G254" s="4"/>
    </row>
    <row r="255" spans="1:7" x14ac:dyDescent="0.3">
      <c r="A255" t="s">
        <v>657</v>
      </c>
      <c r="B255" t="s">
        <v>593</v>
      </c>
      <c r="G255" s="4"/>
    </row>
    <row r="256" spans="1:7" x14ac:dyDescent="0.3">
      <c r="A256" t="s">
        <v>658</v>
      </c>
      <c r="B256" t="s">
        <v>56</v>
      </c>
      <c r="C256" s="4">
        <v>1.5</v>
      </c>
      <c r="D256" s="4">
        <v>0</v>
      </c>
      <c r="E256" s="4">
        <v>0.16</v>
      </c>
      <c r="F256" s="4">
        <v>1</v>
      </c>
      <c r="G256" s="4"/>
    </row>
    <row r="257" spans="1:7" x14ac:dyDescent="0.3">
      <c r="A257" t="s">
        <v>658</v>
      </c>
      <c r="B257" t="s">
        <v>85</v>
      </c>
      <c r="C257" s="4">
        <v>2</v>
      </c>
      <c r="D257" s="4">
        <v>0.33333333333333298</v>
      </c>
      <c r="E257" s="4">
        <v>0.25</v>
      </c>
      <c r="F257" s="4">
        <v>0.99954369641468699</v>
      </c>
      <c r="G257" s="4"/>
    </row>
    <row r="258" spans="1:7" x14ac:dyDescent="0.3">
      <c r="A258" t="s">
        <v>658</v>
      </c>
      <c r="B258" t="s">
        <v>246</v>
      </c>
      <c r="C258" s="4">
        <v>1.5</v>
      </c>
      <c r="D258" s="4">
        <v>0.33333333333333298</v>
      </c>
      <c r="E258" s="4">
        <v>0.25</v>
      </c>
      <c r="F258" s="4">
        <v>0.44449245889201999</v>
      </c>
      <c r="G258" s="4"/>
    </row>
    <row r="259" spans="1:7" x14ac:dyDescent="0.3">
      <c r="A259" t="s">
        <v>658</v>
      </c>
      <c r="B259" t="s">
        <v>205</v>
      </c>
      <c r="C259" s="4">
        <v>1</v>
      </c>
      <c r="D259" s="4">
        <v>0.5</v>
      </c>
      <c r="E259" s="4">
        <v>0.266666666666667</v>
      </c>
      <c r="F259" s="4">
        <v>5.8059205976879698E-2</v>
      </c>
      <c r="G259" s="4"/>
    </row>
    <row r="260" spans="1:7" x14ac:dyDescent="0.3">
      <c r="A260" t="s">
        <v>658</v>
      </c>
      <c r="B260" t="s">
        <v>276</v>
      </c>
      <c r="C260" s="4">
        <v>1</v>
      </c>
      <c r="D260" s="4">
        <v>0</v>
      </c>
      <c r="E260" s="4">
        <v>0.14285714285714299</v>
      </c>
      <c r="F260" s="4">
        <v>0.52257051818489497</v>
      </c>
      <c r="G260" s="4"/>
    </row>
    <row r="261" spans="1:7" x14ac:dyDescent="0.3">
      <c r="A261" t="s">
        <v>659</v>
      </c>
      <c r="B261" t="s">
        <v>115</v>
      </c>
      <c r="G261" s="4"/>
    </row>
    <row r="262" spans="1:7" x14ac:dyDescent="0.3">
      <c r="A262" t="s">
        <v>659</v>
      </c>
      <c r="B262" t="s">
        <v>85</v>
      </c>
      <c r="G262" s="4"/>
    </row>
    <row r="263" spans="1:7" x14ac:dyDescent="0.3">
      <c r="A263" t="s">
        <v>660</v>
      </c>
      <c r="B263" t="s">
        <v>279</v>
      </c>
      <c r="G263" s="4"/>
    </row>
    <row r="264" spans="1:7" x14ac:dyDescent="0.3">
      <c r="A264" t="s">
        <v>660</v>
      </c>
      <c r="B264" t="s">
        <v>280</v>
      </c>
      <c r="G264" s="4"/>
    </row>
    <row r="265" spans="1:7" x14ac:dyDescent="0.3">
      <c r="A265" t="s">
        <v>660</v>
      </c>
      <c r="B265" t="s">
        <v>256</v>
      </c>
      <c r="G265" s="4"/>
    </row>
    <row r="266" spans="1:7" x14ac:dyDescent="0.3">
      <c r="A266" t="s">
        <v>662</v>
      </c>
      <c r="B266" t="s">
        <v>286</v>
      </c>
      <c r="G266" s="4"/>
    </row>
    <row r="267" spans="1:7" x14ac:dyDescent="0.3">
      <c r="A267" t="s">
        <v>662</v>
      </c>
      <c r="B267" t="s">
        <v>287</v>
      </c>
      <c r="G267" s="4"/>
    </row>
    <row r="268" spans="1:7" x14ac:dyDescent="0.3">
      <c r="A268" t="s">
        <v>661</v>
      </c>
      <c r="B268" t="s">
        <v>282</v>
      </c>
      <c r="C268" s="4">
        <v>2</v>
      </c>
      <c r="D268" s="4">
        <v>0.7</v>
      </c>
      <c r="E268" s="4">
        <v>0.45454545454545497</v>
      </c>
      <c r="F268" s="4">
        <v>1</v>
      </c>
      <c r="G268" s="4"/>
    </row>
    <row r="269" spans="1:7" x14ac:dyDescent="0.3">
      <c r="A269" t="s">
        <v>661</v>
      </c>
      <c r="B269" t="s">
        <v>283</v>
      </c>
      <c r="C269" s="4">
        <v>0.8</v>
      </c>
      <c r="D269" s="4">
        <v>0</v>
      </c>
      <c r="E269" s="4">
        <v>0.217391304347826</v>
      </c>
      <c r="F269" s="4">
        <v>0.67150236807641095</v>
      </c>
      <c r="G269" s="4"/>
    </row>
    <row r="270" spans="1:7" x14ac:dyDescent="0.3">
      <c r="A270" t="s">
        <v>661</v>
      </c>
      <c r="B270" t="s">
        <v>152</v>
      </c>
      <c r="C270" s="4">
        <v>0.8</v>
      </c>
      <c r="D270" s="4">
        <v>0.4</v>
      </c>
      <c r="E270" s="4">
        <v>0.33333333333333298</v>
      </c>
      <c r="F270" s="4">
        <v>0.29570716340551501</v>
      </c>
      <c r="G270" s="4"/>
    </row>
    <row r="271" spans="1:7" x14ac:dyDescent="0.3">
      <c r="A271" t="s">
        <v>661</v>
      </c>
      <c r="B271" t="s">
        <v>241</v>
      </c>
      <c r="C271" s="4">
        <v>1.2</v>
      </c>
      <c r="D271" s="4">
        <v>0</v>
      </c>
      <c r="E271" s="4">
        <v>0.3125</v>
      </c>
      <c r="F271" s="4">
        <v>0.73116852160074197</v>
      </c>
      <c r="G271" s="4"/>
    </row>
    <row r="272" spans="1:7" x14ac:dyDescent="0.3">
      <c r="A272" t="s">
        <v>661</v>
      </c>
      <c r="B272" t="s">
        <v>284</v>
      </c>
      <c r="C272" s="4">
        <v>0.8</v>
      </c>
      <c r="D272" s="4">
        <v>0.3</v>
      </c>
      <c r="E272" s="4">
        <v>0.38461538461538503</v>
      </c>
      <c r="F272" s="4">
        <v>0.15313138128802001</v>
      </c>
      <c r="G272" s="4"/>
    </row>
    <row r="273" spans="1:7" x14ac:dyDescent="0.3">
      <c r="A273" t="s">
        <v>661</v>
      </c>
      <c r="B273" t="s">
        <v>242</v>
      </c>
      <c r="C273" s="4">
        <v>0.8</v>
      </c>
      <c r="D273" s="4">
        <v>0</v>
      </c>
      <c r="E273" s="4">
        <v>0.27777777777777801</v>
      </c>
      <c r="F273" s="4">
        <v>0.37093864148094902</v>
      </c>
      <c r="G273" s="4"/>
    </row>
    <row r="274" spans="1:7" x14ac:dyDescent="0.3">
      <c r="A274" t="s">
        <v>663</v>
      </c>
      <c r="B274" t="s">
        <v>123</v>
      </c>
      <c r="C274" s="4">
        <v>1.6923076923076901</v>
      </c>
      <c r="D274" s="4">
        <v>0.354700854700855</v>
      </c>
      <c r="E274" s="4">
        <v>0.29545454545454503</v>
      </c>
      <c r="F274" s="4">
        <v>1</v>
      </c>
      <c r="G274" s="4"/>
    </row>
    <row r="275" spans="1:7" x14ac:dyDescent="0.3">
      <c r="A275" t="s">
        <v>663</v>
      </c>
      <c r="B275" t="s">
        <v>100</v>
      </c>
      <c r="C275" s="4">
        <v>0.46153846153846201</v>
      </c>
      <c r="D275" s="4">
        <v>0</v>
      </c>
      <c r="E275" s="4">
        <v>0.22807017543859601</v>
      </c>
      <c r="F275" s="4">
        <v>0.171088408347843</v>
      </c>
      <c r="G275" s="4"/>
    </row>
    <row r="276" spans="1:7" x14ac:dyDescent="0.3">
      <c r="A276" t="s">
        <v>663</v>
      </c>
      <c r="B276" t="s">
        <v>289</v>
      </c>
      <c r="C276" s="4">
        <v>0.76923076923076905</v>
      </c>
      <c r="D276" s="4">
        <v>2.6068376068376101E-2</v>
      </c>
      <c r="E276" s="4">
        <v>0.245283018867925</v>
      </c>
      <c r="F276" s="4">
        <v>0.53880985936399495</v>
      </c>
      <c r="G276" s="4"/>
    </row>
    <row r="277" spans="1:7" x14ac:dyDescent="0.3">
      <c r="A277" t="s">
        <v>663</v>
      </c>
      <c r="B277" t="s">
        <v>290</v>
      </c>
      <c r="C277" s="4">
        <v>0.92307692307692302</v>
      </c>
      <c r="D277" s="4">
        <v>4.6153846153846101E-2</v>
      </c>
      <c r="E277" s="4">
        <v>0.25490196078431399</v>
      </c>
      <c r="F277" s="4">
        <v>0.442325029869159</v>
      </c>
      <c r="G277" s="4"/>
    </row>
    <row r="278" spans="1:7" x14ac:dyDescent="0.3">
      <c r="A278" t="s">
        <v>663</v>
      </c>
      <c r="B278" t="s">
        <v>291</v>
      </c>
      <c r="C278" s="4">
        <v>0.76923076923076905</v>
      </c>
      <c r="D278" s="4">
        <v>6.7307692307692304E-2</v>
      </c>
      <c r="E278" s="4">
        <v>0.26</v>
      </c>
      <c r="F278" s="4">
        <v>0.33076300976294698</v>
      </c>
      <c r="G278" s="4"/>
    </row>
    <row r="279" spans="1:7" x14ac:dyDescent="0.3">
      <c r="A279" t="s">
        <v>663</v>
      </c>
      <c r="B279" t="s">
        <v>292</v>
      </c>
      <c r="C279" s="4">
        <v>0.30769230769230799</v>
      </c>
      <c r="D279" s="4">
        <v>4.48717948717949E-2</v>
      </c>
      <c r="E279" s="4">
        <v>0.25490196078431399</v>
      </c>
      <c r="F279" s="4">
        <v>9.2309779935597094E-2</v>
      </c>
      <c r="G279" s="4"/>
    </row>
    <row r="280" spans="1:7" x14ac:dyDescent="0.3">
      <c r="A280" t="s">
        <v>663</v>
      </c>
      <c r="B280" t="s">
        <v>293</v>
      </c>
      <c r="C280" s="4">
        <v>0.15384615384615399</v>
      </c>
      <c r="D280" s="4">
        <v>0</v>
      </c>
      <c r="E280" s="4">
        <v>7.69230769230769E-2</v>
      </c>
      <c r="F280" s="4">
        <v>4.0528826699823401E-17</v>
      </c>
      <c r="G280" s="4"/>
    </row>
    <row r="281" spans="1:7" x14ac:dyDescent="0.3">
      <c r="A281" t="s">
        <v>663</v>
      </c>
      <c r="B281" t="s">
        <v>294</v>
      </c>
      <c r="C281" s="4">
        <v>0.15384615384615399</v>
      </c>
      <c r="D281" s="4">
        <v>0</v>
      </c>
      <c r="E281" s="4">
        <v>7.69230769230769E-2</v>
      </c>
      <c r="F281" s="4">
        <v>4.5273225956579E-17</v>
      </c>
      <c r="G281" s="4"/>
    </row>
    <row r="282" spans="1:7" x14ac:dyDescent="0.3">
      <c r="A282" t="s">
        <v>663</v>
      </c>
      <c r="B282" t="s">
        <v>295</v>
      </c>
      <c r="C282" s="4">
        <v>1.07692307692308</v>
      </c>
      <c r="D282" s="4">
        <v>6.41025641025641E-3</v>
      </c>
      <c r="E282" s="4">
        <v>0.25</v>
      </c>
      <c r="F282" s="4">
        <v>0.83713576155104497</v>
      </c>
      <c r="G282" s="4"/>
    </row>
    <row r="283" spans="1:7" x14ac:dyDescent="0.3">
      <c r="A283" t="s">
        <v>663</v>
      </c>
      <c r="B283" t="s">
        <v>296</v>
      </c>
      <c r="C283" s="4">
        <v>0.61538461538461497</v>
      </c>
      <c r="D283" s="4">
        <v>4.6367521367521397E-2</v>
      </c>
      <c r="E283" s="4">
        <v>0.27083333333333298</v>
      </c>
      <c r="F283" s="4">
        <v>0.145465960922014</v>
      </c>
      <c r="G283" s="4"/>
    </row>
    <row r="284" spans="1:7" x14ac:dyDescent="0.3">
      <c r="A284" t="s">
        <v>663</v>
      </c>
      <c r="B284" t="s">
        <v>297</v>
      </c>
      <c r="C284" s="4">
        <v>0.61538461538461497</v>
      </c>
      <c r="D284" s="4">
        <v>4.6367521367521397E-2</v>
      </c>
      <c r="E284" s="4">
        <v>0.27083333333333298</v>
      </c>
      <c r="F284" s="4">
        <v>0.145465960922014</v>
      </c>
      <c r="G284" s="4"/>
    </row>
    <row r="285" spans="1:7" x14ac:dyDescent="0.3">
      <c r="A285" t="s">
        <v>663</v>
      </c>
      <c r="B285" t="s">
        <v>298</v>
      </c>
      <c r="C285" s="4">
        <v>0.15384615384615399</v>
      </c>
      <c r="D285" s="4">
        <v>0</v>
      </c>
      <c r="E285" s="4">
        <v>0.240740740740741</v>
      </c>
      <c r="F285" s="4">
        <v>5.9987775210739502E-2</v>
      </c>
      <c r="G285" s="4"/>
    </row>
    <row r="286" spans="1:7" x14ac:dyDescent="0.3">
      <c r="A286" t="s">
        <v>663</v>
      </c>
      <c r="B286" t="s">
        <v>299</v>
      </c>
      <c r="C286" s="4">
        <v>0.61538461538461497</v>
      </c>
      <c r="D286" s="4">
        <v>0.111538461538462</v>
      </c>
      <c r="E286" s="4">
        <v>0.27659574468085102</v>
      </c>
      <c r="F286" s="4">
        <v>0.19052854903915101</v>
      </c>
      <c r="G286" s="4"/>
    </row>
    <row r="287" spans="1:7" x14ac:dyDescent="0.3">
      <c r="A287" t="s">
        <v>663</v>
      </c>
      <c r="B287" t="s">
        <v>300</v>
      </c>
      <c r="C287" s="4">
        <v>0.30769230769230799</v>
      </c>
      <c r="D287" s="4">
        <v>0</v>
      </c>
      <c r="E287" s="4">
        <v>0.245283018867925</v>
      </c>
      <c r="F287" s="4">
        <v>0.16042359898033001</v>
      </c>
      <c r="G287" s="4"/>
    </row>
    <row r="288" spans="1:7" x14ac:dyDescent="0.3">
      <c r="A288" t="s">
        <v>664</v>
      </c>
      <c r="B288" t="s">
        <v>302</v>
      </c>
      <c r="C288" s="4">
        <v>2</v>
      </c>
      <c r="D288" s="4">
        <v>0</v>
      </c>
      <c r="E288" s="4">
        <v>0.44444444444444398</v>
      </c>
      <c r="F288" s="4">
        <v>1</v>
      </c>
      <c r="G288" s="4"/>
    </row>
    <row r="289" spans="1:7" x14ac:dyDescent="0.3">
      <c r="A289" t="s">
        <v>664</v>
      </c>
      <c r="B289" t="s">
        <v>303</v>
      </c>
      <c r="C289" s="4">
        <v>1</v>
      </c>
      <c r="D289" s="4">
        <v>0</v>
      </c>
      <c r="E289" s="4">
        <v>0.4</v>
      </c>
      <c r="F289" s="4">
        <v>0.46203707670192201</v>
      </c>
      <c r="G289" s="4"/>
    </row>
    <row r="290" spans="1:7" x14ac:dyDescent="0.3">
      <c r="A290" t="s">
        <v>664</v>
      </c>
      <c r="B290" t="s">
        <v>267</v>
      </c>
      <c r="C290" s="4">
        <v>2</v>
      </c>
      <c r="D290" s="4">
        <v>0.33333333333333298</v>
      </c>
      <c r="E290" s="4">
        <v>0.5</v>
      </c>
      <c r="F290" s="4">
        <v>0.96406043082997095</v>
      </c>
      <c r="G290" s="4"/>
    </row>
    <row r="291" spans="1:7" x14ac:dyDescent="0.3">
      <c r="A291" t="s">
        <v>664</v>
      </c>
      <c r="B291" t="s">
        <v>305</v>
      </c>
      <c r="C291" s="4">
        <v>1.5</v>
      </c>
      <c r="D291" s="4">
        <v>0</v>
      </c>
      <c r="E291" s="4">
        <v>0.5</v>
      </c>
      <c r="F291" s="4">
        <v>0.50448143521806499</v>
      </c>
      <c r="G291" s="4"/>
    </row>
    <row r="292" spans="1:7" x14ac:dyDescent="0.3">
      <c r="A292" t="s">
        <v>664</v>
      </c>
      <c r="B292" t="s">
        <v>232</v>
      </c>
      <c r="C292" s="4">
        <v>1.5</v>
      </c>
      <c r="D292" s="4">
        <v>0.25</v>
      </c>
      <c r="E292" s="4">
        <v>0.57142857142857095</v>
      </c>
      <c r="F292" s="4">
        <v>0.400092167716463</v>
      </c>
      <c r="G292" s="4"/>
    </row>
    <row r="293" spans="1:7" x14ac:dyDescent="0.3">
      <c r="A293" t="s">
        <v>665</v>
      </c>
      <c r="B293" t="s">
        <v>307</v>
      </c>
      <c r="C293" s="4">
        <v>1.1111111111111101</v>
      </c>
      <c r="D293" s="4">
        <v>7.6388888888888895E-2</v>
      </c>
      <c r="E293" s="4">
        <v>0.33333333333333298</v>
      </c>
      <c r="F293" s="4">
        <v>0.68078474513314302</v>
      </c>
      <c r="G293" s="4"/>
    </row>
    <row r="294" spans="1:7" x14ac:dyDescent="0.3">
      <c r="A294" t="s">
        <v>665</v>
      </c>
      <c r="B294" t="s">
        <v>168</v>
      </c>
      <c r="C294" s="4">
        <v>1.55555555555556</v>
      </c>
      <c r="D294" s="4">
        <v>5.7870370370370398E-2</v>
      </c>
      <c r="E294" s="4">
        <v>0.36</v>
      </c>
      <c r="F294" s="4">
        <v>0.88699304273590596</v>
      </c>
      <c r="G294" s="4"/>
    </row>
    <row r="295" spans="1:7" x14ac:dyDescent="0.3">
      <c r="A295" t="s">
        <v>665</v>
      </c>
      <c r="B295" t="s">
        <v>54</v>
      </c>
      <c r="C295" s="4">
        <v>1.7777777777777799</v>
      </c>
      <c r="D295" s="4">
        <v>0.26388888888888901</v>
      </c>
      <c r="E295" s="4">
        <v>0.39130434782608697</v>
      </c>
      <c r="F295" s="4">
        <v>1</v>
      </c>
      <c r="G295" s="4"/>
    </row>
    <row r="296" spans="1:7" x14ac:dyDescent="0.3">
      <c r="A296" t="s">
        <v>665</v>
      </c>
      <c r="B296" t="s">
        <v>197</v>
      </c>
      <c r="C296" s="4">
        <v>0</v>
      </c>
      <c r="D296" s="4">
        <v>0</v>
      </c>
      <c r="E296" s="4">
        <v>0.1</v>
      </c>
      <c r="F296" s="4">
        <v>0</v>
      </c>
      <c r="G296" s="4"/>
    </row>
    <row r="297" spans="1:7" x14ac:dyDescent="0.3">
      <c r="A297" t="s">
        <v>665</v>
      </c>
      <c r="B297" t="s">
        <v>309</v>
      </c>
      <c r="C297" s="4">
        <v>0.88888888888888895</v>
      </c>
      <c r="D297" s="4">
        <v>0</v>
      </c>
      <c r="E297" s="4">
        <v>0.3</v>
      </c>
      <c r="F297" s="4">
        <v>0.27620196624966498</v>
      </c>
      <c r="G297" s="4"/>
    </row>
    <row r="298" spans="1:7" x14ac:dyDescent="0.3">
      <c r="A298" t="s">
        <v>665</v>
      </c>
      <c r="B298" t="s">
        <v>310</v>
      </c>
      <c r="C298" s="4">
        <v>0.44444444444444398</v>
      </c>
      <c r="D298" s="4">
        <v>3.4722222222222203E-2</v>
      </c>
      <c r="E298" s="4">
        <v>0.33333333333333298</v>
      </c>
      <c r="F298" s="4">
        <v>5.0943220616632798E-2</v>
      </c>
      <c r="G298" s="4"/>
    </row>
    <row r="299" spans="1:7" x14ac:dyDescent="0.3">
      <c r="A299" t="s">
        <v>665</v>
      </c>
      <c r="B299" t="s">
        <v>312</v>
      </c>
      <c r="C299" s="4">
        <v>1.3333333333333299</v>
      </c>
      <c r="D299" s="4">
        <v>8.7962962962963007E-2</v>
      </c>
      <c r="E299" s="4">
        <v>0.34615384615384598</v>
      </c>
      <c r="F299" s="4">
        <v>0.59414139280215195</v>
      </c>
      <c r="G299" s="4"/>
    </row>
    <row r="300" spans="1:7" x14ac:dyDescent="0.3">
      <c r="A300" t="s">
        <v>665</v>
      </c>
      <c r="B300" t="s">
        <v>84</v>
      </c>
      <c r="C300" s="4">
        <v>0.66666666666666696</v>
      </c>
      <c r="D300" s="4">
        <v>0.101851851851852</v>
      </c>
      <c r="E300" s="4">
        <v>0.36</v>
      </c>
      <c r="F300" s="4">
        <v>7.928843670947E-2</v>
      </c>
      <c r="G300" s="4"/>
    </row>
    <row r="301" spans="1:7" x14ac:dyDescent="0.3">
      <c r="A301" t="s">
        <v>665</v>
      </c>
      <c r="B301" t="s">
        <v>313</v>
      </c>
      <c r="C301" s="4">
        <v>0.66666666666666696</v>
      </c>
      <c r="D301" s="4">
        <v>0.180555555555556</v>
      </c>
      <c r="E301" s="4">
        <v>0.375</v>
      </c>
      <c r="F301" s="4">
        <v>8.2057257237367898E-2</v>
      </c>
      <c r="G301" s="4"/>
    </row>
    <row r="302" spans="1:7" x14ac:dyDescent="0.3">
      <c r="A302" t="s">
        <v>665</v>
      </c>
      <c r="B302" t="s">
        <v>314</v>
      </c>
      <c r="C302" s="4">
        <v>0.44444444444444398</v>
      </c>
      <c r="D302" s="4">
        <v>0</v>
      </c>
      <c r="E302" s="4">
        <v>0.31034482758620702</v>
      </c>
      <c r="F302" s="4">
        <v>8.8646958028771594E-2</v>
      </c>
      <c r="G302" s="4"/>
    </row>
    <row r="303" spans="1:7" x14ac:dyDescent="0.3">
      <c r="A303" t="s">
        <v>666</v>
      </c>
      <c r="B303" t="s">
        <v>115</v>
      </c>
      <c r="G303" s="4"/>
    </row>
    <row r="304" spans="1:7" x14ac:dyDescent="0.3">
      <c r="A304" t="s">
        <v>666</v>
      </c>
      <c r="B304" t="s">
        <v>117</v>
      </c>
      <c r="G304" s="4"/>
    </row>
    <row r="305" spans="1:7" x14ac:dyDescent="0.3">
      <c r="A305" t="s">
        <v>667</v>
      </c>
      <c r="B305" t="s">
        <v>115</v>
      </c>
      <c r="C305" s="4">
        <v>1.6666666666666701</v>
      </c>
      <c r="D305" s="4">
        <v>0</v>
      </c>
      <c r="E305" s="4">
        <v>0.12765957446808501</v>
      </c>
      <c r="F305" s="4">
        <v>0.95661262941960301</v>
      </c>
      <c r="G305" s="4"/>
    </row>
    <row r="306" spans="1:7" x14ac:dyDescent="0.3">
      <c r="A306" t="s">
        <v>667</v>
      </c>
      <c r="B306" t="s">
        <v>117</v>
      </c>
      <c r="C306" s="4">
        <v>1.3333333333333299</v>
      </c>
      <c r="D306" s="4">
        <v>0</v>
      </c>
      <c r="E306" s="4">
        <v>0.11764705882352899</v>
      </c>
      <c r="F306" s="4">
        <v>1</v>
      </c>
      <c r="G306" s="4"/>
    </row>
    <row r="307" spans="1:7" x14ac:dyDescent="0.3">
      <c r="A307" t="s">
        <v>667</v>
      </c>
      <c r="B307" t="s">
        <v>319</v>
      </c>
      <c r="C307" s="4">
        <v>2</v>
      </c>
      <c r="D307" s="4">
        <v>5.5555555555555601E-2</v>
      </c>
      <c r="E307" s="4">
        <v>0.25</v>
      </c>
      <c r="F307" s="4">
        <v>0.95222085104804999</v>
      </c>
      <c r="G307" s="4"/>
    </row>
    <row r="308" spans="1:7" x14ac:dyDescent="0.3">
      <c r="A308" t="s">
        <v>667</v>
      </c>
      <c r="B308" t="s">
        <v>232</v>
      </c>
      <c r="C308" s="4">
        <v>2</v>
      </c>
      <c r="D308" s="4">
        <v>0</v>
      </c>
      <c r="E308" s="4">
        <v>0.230769230769231</v>
      </c>
      <c r="F308" s="4">
        <v>0.87113382517415705</v>
      </c>
      <c r="G308" s="4"/>
    </row>
    <row r="309" spans="1:7" x14ac:dyDescent="0.3">
      <c r="A309" t="s">
        <v>667</v>
      </c>
      <c r="B309" t="s">
        <v>320</v>
      </c>
      <c r="C309" s="4">
        <v>2</v>
      </c>
      <c r="D309" s="4">
        <v>0.53333333333333299</v>
      </c>
      <c r="E309" s="4">
        <v>0.28571428571428598</v>
      </c>
      <c r="F309" s="4">
        <v>0.67807182041540304</v>
      </c>
      <c r="G309" s="4"/>
    </row>
    <row r="310" spans="1:7" x14ac:dyDescent="0.3">
      <c r="A310" t="s">
        <v>667</v>
      </c>
      <c r="B310" t="s">
        <v>256</v>
      </c>
      <c r="C310" s="4">
        <v>1.6666666666666701</v>
      </c>
      <c r="D310" s="4">
        <v>0</v>
      </c>
      <c r="E310" s="4">
        <v>0.1875</v>
      </c>
      <c r="F310" s="4">
        <v>0.37870162876688301</v>
      </c>
      <c r="G310" s="4"/>
    </row>
    <row r="311" spans="1:7" x14ac:dyDescent="0.3">
      <c r="A311" t="s">
        <v>667</v>
      </c>
      <c r="B311" t="s">
        <v>321</v>
      </c>
      <c r="C311" s="4">
        <v>1.3333333333333299</v>
      </c>
      <c r="D311" s="4">
        <v>0.51111111111111096</v>
      </c>
      <c r="E311" s="4">
        <v>0.28571428571428598</v>
      </c>
      <c r="F311" s="4">
        <v>9.4801868264653699E-2</v>
      </c>
      <c r="G311" s="4"/>
    </row>
    <row r="312" spans="1:7" x14ac:dyDescent="0.3">
      <c r="A312" t="s">
        <v>668</v>
      </c>
      <c r="B312" t="s">
        <v>115</v>
      </c>
      <c r="G312" s="4"/>
    </row>
    <row r="313" spans="1:7" x14ac:dyDescent="0.3">
      <c r="A313" t="s">
        <v>668</v>
      </c>
      <c r="B313" t="s">
        <v>323</v>
      </c>
      <c r="G313" s="4"/>
    </row>
    <row r="314" spans="1:7" x14ac:dyDescent="0.3">
      <c r="A314" t="s">
        <v>668</v>
      </c>
      <c r="B314" t="s">
        <v>325</v>
      </c>
      <c r="G314" s="4"/>
    </row>
    <row r="315" spans="1:7" x14ac:dyDescent="0.3">
      <c r="A315" t="s">
        <v>669</v>
      </c>
      <c r="B315" t="s">
        <v>56</v>
      </c>
      <c r="C315" s="4">
        <v>1.71428571428571</v>
      </c>
      <c r="D315" s="4">
        <v>0.119047619047619</v>
      </c>
      <c r="E315" s="4">
        <v>0.5</v>
      </c>
      <c r="F315" s="4">
        <v>0.92679401514459703</v>
      </c>
      <c r="G315" s="4"/>
    </row>
    <row r="316" spans="1:7" x14ac:dyDescent="0.3">
      <c r="A316" t="s">
        <v>669</v>
      </c>
      <c r="B316" t="s">
        <v>85</v>
      </c>
      <c r="C316" s="4">
        <v>2</v>
      </c>
      <c r="D316" s="4">
        <v>0.15079365079365101</v>
      </c>
      <c r="E316" s="4">
        <v>0.53846153846153799</v>
      </c>
      <c r="F316" s="4">
        <v>1</v>
      </c>
      <c r="G316" s="4"/>
    </row>
    <row r="317" spans="1:7" x14ac:dyDescent="0.3">
      <c r="A317" t="s">
        <v>669</v>
      </c>
      <c r="B317" t="s">
        <v>327</v>
      </c>
      <c r="C317" s="4">
        <v>0.57142857142857095</v>
      </c>
      <c r="D317" s="4">
        <v>2.3809523809523801E-2</v>
      </c>
      <c r="E317" s="4">
        <v>0.41176470588235298</v>
      </c>
      <c r="F317" s="4">
        <v>0.102434267109328</v>
      </c>
      <c r="G317" s="4"/>
    </row>
    <row r="318" spans="1:7" x14ac:dyDescent="0.3">
      <c r="A318" t="s">
        <v>669</v>
      </c>
      <c r="B318" t="s">
        <v>328</v>
      </c>
      <c r="C318" s="4">
        <v>0.85714285714285698</v>
      </c>
      <c r="D318" s="4">
        <v>0</v>
      </c>
      <c r="E318" s="4">
        <v>0.38888888888888901</v>
      </c>
      <c r="F318" s="4">
        <v>0.26679899506945498</v>
      </c>
      <c r="G318" s="4"/>
    </row>
    <row r="319" spans="1:7" x14ac:dyDescent="0.3">
      <c r="A319" t="s">
        <v>669</v>
      </c>
      <c r="B319" t="s">
        <v>329</v>
      </c>
      <c r="C319" s="4">
        <v>1.71428571428571</v>
      </c>
      <c r="D319" s="4">
        <v>0.40476190476190499</v>
      </c>
      <c r="E319" s="4">
        <v>0.58333333333333304</v>
      </c>
      <c r="F319" s="4">
        <v>0.58245763204958501</v>
      </c>
      <c r="G319" s="4"/>
    </row>
    <row r="320" spans="1:7" x14ac:dyDescent="0.3">
      <c r="A320" t="s">
        <v>669</v>
      </c>
      <c r="B320" t="s">
        <v>330</v>
      </c>
      <c r="C320" s="4">
        <v>0.85714285714285698</v>
      </c>
      <c r="D320" s="4">
        <v>0.317460317460317</v>
      </c>
      <c r="E320" s="4">
        <v>0.58333333333333304</v>
      </c>
      <c r="F320" s="4">
        <v>0.13339949753472699</v>
      </c>
      <c r="G320" s="4"/>
    </row>
    <row r="321" spans="1:7" x14ac:dyDescent="0.3">
      <c r="A321" t="s">
        <v>669</v>
      </c>
      <c r="B321" t="s">
        <v>152</v>
      </c>
      <c r="C321" s="4">
        <v>0.85714285714285698</v>
      </c>
      <c r="D321" s="4">
        <v>0</v>
      </c>
      <c r="E321" s="4">
        <v>0.38888888888888901</v>
      </c>
      <c r="F321" s="4">
        <v>0.44459415307636202</v>
      </c>
      <c r="G321" s="4"/>
    </row>
    <row r="322" spans="1:7" x14ac:dyDescent="0.3">
      <c r="A322" t="s">
        <v>669</v>
      </c>
      <c r="B322" t="s">
        <v>331</v>
      </c>
      <c r="C322" s="4">
        <v>0.57142857142857095</v>
      </c>
      <c r="D322" s="4">
        <v>0</v>
      </c>
      <c r="E322" s="4">
        <v>0.4375</v>
      </c>
      <c r="F322" s="4">
        <v>0.137291351748379</v>
      </c>
      <c r="G322" s="4"/>
    </row>
    <row r="323" spans="1:7" x14ac:dyDescent="0.3">
      <c r="A323" t="s">
        <v>670</v>
      </c>
      <c r="B323" t="s">
        <v>333</v>
      </c>
      <c r="C323" s="4">
        <v>0.72727272727272696</v>
      </c>
      <c r="D323" s="4">
        <v>0.118181818181818</v>
      </c>
      <c r="E323" s="4">
        <v>0.36666666666666697</v>
      </c>
      <c r="F323" s="4">
        <v>0.11230244846644601</v>
      </c>
      <c r="G323" s="4"/>
    </row>
    <row r="324" spans="1:7" x14ac:dyDescent="0.3">
      <c r="A324" t="s">
        <v>670</v>
      </c>
      <c r="B324" t="s">
        <v>334</v>
      </c>
      <c r="C324" s="4">
        <v>0.36363636363636398</v>
      </c>
      <c r="D324" s="4">
        <v>2.27272727272727E-2</v>
      </c>
      <c r="E324" s="4">
        <v>0.35483870967741898</v>
      </c>
      <c r="F324" s="4">
        <v>4.05085057459025E-2</v>
      </c>
      <c r="G324" s="4"/>
    </row>
    <row r="325" spans="1:7" x14ac:dyDescent="0.3">
      <c r="A325" t="s">
        <v>670</v>
      </c>
      <c r="B325" t="s">
        <v>335</v>
      </c>
      <c r="C325" s="4">
        <v>1.8181818181818199</v>
      </c>
      <c r="D325" s="4">
        <v>0.49545454545454498</v>
      </c>
      <c r="E325" s="4">
        <v>0.44</v>
      </c>
      <c r="F325" s="4">
        <v>0.99658329577265603</v>
      </c>
      <c r="G325" s="4"/>
    </row>
    <row r="326" spans="1:7" x14ac:dyDescent="0.3">
      <c r="A326" t="s">
        <v>670</v>
      </c>
      <c r="B326" t="s">
        <v>337</v>
      </c>
      <c r="C326" s="4">
        <v>0.36363636363636398</v>
      </c>
      <c r="D326" s="4">
        <v>2.27272727272727E-2</v>
      </c>
      <c r="E326" s="4">
        <v>0.35483870967741898</v>
      </c>
      <c r="F326" s="4">
        <v>4.05085057459025E-2</v>
      </c>
      <c r="G326" s="4"/>
    </row>
    <row r="327" spans="1:7" x14ac:dyDescent="0.3">
      <c r="A327" t="s">
        <v>670</v>
      </c>
      <c r="B327" t="s">
        <v>339</v>
      </c>
      <c r="C327" s="4">
        <v>1.4545454545454499</v>
      </c>
      <c r="D327" s="4">
        <v>0.35</v>
      </c>
      <c r="E327" s="4">
        <v>0.407407407407407</v>
      </c>
      <c r="F327" s="4">
        <v>1</v>
      </c>
      <c r="G327" s="4"/>
    </row>
    <row r="328" spans="1:7" x14ac:dyDescent="0.3">
      <c r="A328" t="s">
        <v>670</v>
      </c>
      <c r="B328" t="s">
        <v>341</v>
      </c>
      <c r="C328" s="4">
        <v>0.36363636363636398</v>
      </c>
      <c r="D328" s="4">
        <v>0</v>
      </c>
      <c r="E328" s="4">
        <v>0.2</v>
      </c>
      <c r="F328" s="4">
        <v>0.29187211658206402</v>
      </c>
      <c r="G328" s="4"/>
    </row>
    <row r="329" spans="1:7" x14ac:dyDescent="0.3">
      <c r="A329" t="s">
        <v>670</v>
      </c>
      <c r="B329" t="s">
        <v>309</v>
      </c>
      <c r="C329" s="4">
        <v>0.18181818181818199</v>
      </c>
      <c r="D329" s="4">
        <v>0</v>
      </c>
      <c r="E329" s="4">
        <v>0.23404255319148901</v>
      </c>
      <c r="F329" s="4">
        <v>7.3061640401371905E-2</v>
      </c>
      <c r="G329" s="4"/>
    </row>
    <row r="330" spans="1:7" x14ac:dyDescent="0.3">
      <c r="A330" t="s">
        <v>670</v>
      </c>
      <c r="B330" t="s">
        <v>342</v>
      </c>
      <c r="C330" s="4">
        <v>0.36363636363636398</v>
      </c>
      <c r="D330" s="4">
        <v>0</v>
      </c>
      <c r="E330" s="4">
        <v>0.25581395348837199</v>
      </c>
      <c r="F330" s="4">
        <v>0.18240447098781401</v>
      </c>
      <c r="G330" s="4"/>
    </row>
    <row r="331" spans="1:7" x14ac:dyDescent="0.3">
      <c r="A331" t="s">
        <v>670</v>
      </c>
      <c r="B331" t="s">
        <v>343</v>
      </c>
      <c r="C331" s="4">
        <v>0.36363636363636398</v>
      </c>
      <c r="D331" s="4">
        <v>9.0909090909090898E-2</v>
      </c>
      <c r="E331" s="4">
        <v>0.39285714285714302</v>
      </c>
      <c r="F331" s="4">
        <v>7.2936825393563803E-2</v>
      </c>
      <c r="G331" s="4"/>
    </row>
    <row r="332" spans="1:7" x14ac:dyDescent="0.3">
      <c r="A332" t="s">
        <v>670</v>
      </c>
      <c r="B332" t="s">
        <v>344</v>
      </c>
      <c r="C332" s="4">
        <v>0.18181818181818199</v>
      </c>
      <c r="D332" s="4">
        <v>0</v>
      </c>
      <c r="E332" s="4">
        <v>0.314285714285714</v>
      </c>
      <c r="F332" s="4">
        <v>3.6406005192877899E-2</v>
      </c>
      <c r="G332" s="4"/>
    </row>
    <row r="333" spans="1:7" x14ac:dyDescent="0.3">
      <c r="A333" t="s">
        <v>670</v>
      </c>
      <c r="B333" t="s">
        <v>346</v>
      </c>
      <c r="C333" s="4">
        <v>0.36363636363636398</v>
      </c>
      <c r="D333" s="4">
        <v>0</v>
      </c>
      <c r="E333" s="4">
        <v>0.32352941176470601</v>
      </c>
      <c r="F333" s="4">
        <v>0.10934283058644199</v>
      </c>
      <c r="G333" s="4"/>
    </row>
    <row r="334" spans="1:7" x14ac:dyDescent="0.3">
      <c r="A334" t="s">
        <v>670</v>
      </c>
      <c r="B334" t="s">
        <v>347</v>
      </c>
      <c r="C334" s="4">
        <v>0.36363636363636398</v>
      </c>
      <c r="D334" s="4">
        <v>0</v>
      </c>
      <c r="E334" s="4">
        <v>0.14864864864864899</v>
      </c>
      <c r="F334" s="4">
        <v>0.401090132160697</v>
      </c>
      <c r="G334" s="4"/>
    </row>
    <row r="335" spans="1:7" x14ac:dyDescent="0.3">
      <c r="A335" t="s">
        <v>671</v>
      </c>
      <c r="B335" t="s">
        <v>349</v>
      </c>
      <c r="C335" s="4">
        <v>2</v>
      </c>
      <c r="D335" s="4">
        <v>0.4</v>
      </c>
      <c r="E335" s="4">
        <v>0.33333333333333298</v>
      </c>
      <c r="F335" s="4">
        <v>1</v>
      </c>
      <c r="G335" s="4"/>
    </row>
    <row r="336" spans="1:7" x14ac:dyDescent="0.3">
      <c r="A336" t="s">
        <v>671</v>
      </c>
      <c r="B336" t="s">
        <v>350</v>
      </c>
      <c r="C336" s="4">
        <v>0.4</v>
      </c>
      <c r="D336" s="4">
        <v>0</v>
      </c>
      <c r="E336" s="4">
        <v>0.26315789473684198</v>
      </c>
      <c r="F336" s="4">
        <v>5.3215731250487702E-2</v>
      </c>
      <c r="G336" s="4"/>
    </row>
    <row r="337" spans="1:7" x14ac:dyDescent="0.3">
      <c r="A337" t="s">
        <v>671</v>
      </c>
      <c r="B337" t="s">
        <v>351</v>
      </c>
      <c r="C337" s="4">
        <v>1.2</v>
      </c>
      <c r="D337" s="4">
        <v>0</v>
      </c>
      <c r="E337" s="4">
        <v>0.217391304347826</v>
      </c>
      <c r="F337" s="4">
        <v>0.79493345639628898</v>
      </c>
      <c r="G337" s="4"/>
    </row>
    <row r="338" spans="1:7" x14ac:dyDescent="0.3">
      <c r="A338" t="s">
        <v>671</v>
      </c>
      <c r="B338" t="s">
        <v>352</v>
      </c>
      <c r="C338" s="4">
        <v>1.6</v>
      </c>
      <c r="D338" s="4">
        <v>0.2</v>
      </c>
      <c r="E338" s="4">
        <v>0.29411764705882398</v>
      </c>
      <c r="F338" s="4">
        <v>0.85354916609651099</v>
      </c>
      <c r="G338" s="4"/>
    </row>
    <row r="339" spans="1:7" x14ac:dyDescent="0.3">
      <c r="A339" t="s">
        <v>671</v>
      </c>
      <c r="B339" t="s">
        <v>353</v>
      </c>
      <c r="C339" s="4">
        <v>1.2</v>
      </c>
      <c r="D339" s="4">
        <v>0.4</v>
      </c>
      <c r="E339" s="4">
        <v>0.33333333333333298</v>
      </c>
      <c r="F339" s="4">
        <v>0.33509761017081602</v>
      </c>
      <c r="G339" s="4"/>
    </row>
    <row r="340" spans="1:7" x14ac:dyDescent="0.3">
      <c r="A340" t="s">
        <v>671</v>
      </c>
      <c r="B340" t="s">
        <v>354</v>
      </c>
      <c r="C340" s="4">
        <v>0.8</v>
      </c>
      <c r="D340" s="4">
        <v>0.2</v>
      </c>
      <c r="E340" s="4">
        <v>0.29411764705882398</v>
      </c>
      <c r="F340" s="4">
        <v>0.19727594856511499</v>
      </c>
      <c r="G340" s="4"/>
    </row>
    <row r="341" spans="1:7" x14ac:dyDescent="0.3">
      <c r="A341" t="s">
        <v>672</v>
      </c>
      <c r="B341" t="s">
        <v>356</v>
      </c>
      <c r="C341" s="4">
        <v>0.91666666666666696</v>
      </c>
      <c r="D341" s="4">
        <v>8.4194559466298599E-2</v>
      </c>
      <c r="E341" s="4">
        <v>0.42857142857142899</v>
      </c>
      <c r="F341" s="4">
        <v>0.63811100899106199</v>
      </c>
      <c r="G341" s="4"/>
    </row>
    <row r="342" spans="1:7" x14ac:dyDescent="0.3">
      <c r="A342" t="s">
        <v>672</v>
      </c>
      <c r="B342" t="s">
        <v>594</v>
      </c>
      <c r="C342" s="4">
        <v>1.0833333333333299</v>
      </c>
      <c r="D342" s="4">
        <v>0.14272271106510201</v>
      </c>
      <c r="E342" s="4">
        <v>0.46153846153846201</v>
      </c>
      <c r="F342" s="4">
        <v>0.96755371858738204</v>
      </c>
      <c r="G342" s="4"/>
    </row>
    <row r="343" spans="1:7" x14ac:dyDescent="0.3">
      <c r="A343" t="s">
        <v>672</v>
      </c>
      <c r="B343" t="s">
        <v>595</v>
      </c>
      <c r="C343" s="4">
        <v>1.5833333333333299</v>
      </c>
      <c r="D343" s="4">
        <v>0.51665947780078203</v>
      </c>
      <c r="E343" s="4">
        <v>0.57142857142857095</v>
      </c>
      <c r="F343" s="4">
        <v>1</v>
      </c>
      <c r="G343" s="4"/>
    </row>
    <row r="344" spans="1:7" x14ac:dyDescent="0.3">
      <c r="A344" t="s">
        <v>672</v>
      </c>
      <c r="B344" t="s">
        <v>358</v>
      </c>
      <c r="C344" s="4">
        <v>0.58333333333333304</v>
      </c>
      <c r="D344" s="4">
        <v>6.9760754543363196E-2</v>
      </c>
      <c r="E344" s="4">
        <v>0.34782608695652201</v>
      </c>
      <c r="F344" s="4">
        <v>0.265179101006282</v>
      </c>
      <c r="G344" s="4"/>
    </row>
    <row r="345" spans="1:7" x14ac:dyDescent="0.3">
      <c r="A345" t="s">
        <v>672</v>
      </c>
      <c r="B345" t="s">
        <v>359</v>
      </c>
      <c r="C345" s="4">
        <v>0.5</v>
      </c>
      <c r="D345" s="4">
        <v>2.1128076834598601E-2</v>
      </c>
      <c r="E345" s="4">
        <v>0.28571428571428598</v>
      </c>
      <c r="F345" s="4">
        <v>0.25548775811783703</v>
      </c>
      <c r="G345" s="4"/>
    </row>
    <row r="346" spans="1:7" x14ac:dyDescent="0.3">
      <c r="A346" t="s">
        <v>672</v>
      </c>
      <c r="B346" t="s">
        <v>360</v>
      </c>
      <c r="C346" s="4">
        <v>0.16666666666666699</v>
      </c>
      <c r="D346" s="4">
        <v>8.6697722567287798E-3</v>
      </c>
      <c r="E346" s="4">
        <v>0.266666666666667</v>
      </c>
      <c r="F346" s="4">
        <v>6.0060240748399099E-3</v>
      </c>
      <c r="G346" s="4"/>
    </row>
    <row r="347" spans="1:7" x14ac:dyDescent="0.3">
      <c r="A347" t="s">
        <v>672</v>
      </c>
      <c r="B347" t="s">
        <v>608</v>
      </c>
      <c r="C347" s="4">
        <v>0.16666666666666699</v>
      </c>
      <c r="D347" s="4">
        <v>7.8821601104209799E-2</v>
      </c>
      <c r="E347" s="4">
        <v>0.40677966101694901</v>
      </c>
      <c r="F347" s="4">
        <v>1.4594161326900701E-2</v>
      </c>
      <c r="G347" s="4"/>
    </row>
    <row r="348" spans="1:7" x14ac:dyDescent="0.3">
      <c r="A348" t="s">
        <v>672</v>
      </c>
      <c r="B348" t="s">
        <v>596</v>
      </c>
      <c r="C348" s="4">
        <v>8.3333333333333301E-2</v>
      </c>
      <c r="D348" s="4">
        <v>0</v>
      </c>
      <c r="E348" s="4">
        <v>0.36923076923076897</v>
      </c>
      <c r="F348" s="4">
        <v>1.15352532422429E-2</v>
      </c>
      <c r="G348" s="4"/>
    </row>
    <row r="349" spans="1:7" x14ac:dyDescent="0.3">
      <c r="A349" t="s">
        <v>672</v>
      </c>
      <c r="B349" t="s">
        <v>363</v>
      </c>
      <c r="C349" s="4">
        <v>0.25</v>
      </c>
      <c r="D349" s="4">
        <v>0</v>
      </c>
      <c r="E349" s="4">
        <v>0.233009708737864</v>
      </c>
      <c r="F349" s="4">
        <v>5.2623831951248597E-2</v>
      </c>
      <c r="G349" s="4"/>
    </row>
    <row r="350" spans="1:7" x14ac:dyDescent="0.3">
      <c r="A350" t="s">
        <v>672</v>
      </c>
      <c r="B350" t="s">
        <v>364</v>
      </c>
      <c r="C350" s="4">
        <v>0.25</v>
      </c>
      <c r="D350" s="4">
        <v>1.1214630779848201E-3</v>
      </c>
      <c r="E350" s="4">
        <v>0.36363636363636398</v>
      </c>
      <c r="F350" s="4">
        <v>4.1592255739240198E-2</v>
      </c>
      <c r="G350" s="4"/>
    </row>
    <row r="351" spans="1:7" x14ac:dyDescent="0.3">
      <c r="A351" t="s">
        <v>672</v>
      </c>
      <c r="B351" t="s">
        <v>365</v>
      </c>
      <c r="C351" s="4">
        <v>0.25</v>
      </c>
      <c r="D351" s="4">
        <v>7.1325051759834293E-2</v>
      </c>
      <c r="E351" s="4">
        <v>0.4</v>
      </c>
      <c r="F351" s="4">
        <v>1.8796943947652502E-2</v>
      </c>
      <c r="G351" s="4"/>
    </row>
    <row r="352" spans="1:7" x14ac:dyDescent="0.3">
      <c r="A352" t="s">
        <v>672</v>
      </c>
      <c r="B352" t="s">
        <v>366</v>
      </c>
      <c r="C352" s="4">
        <v>0.66666666666666696</v>
      </c>
      <c r="D352" s="4">
        <v>8.9447463768115895E-2</v>
      </c>
      <c r="E352" s="4">
        <v>0.38095238095238099</v>
      </c>
      <c r="F352" s="4">
        <v>2.38568401680475E-2</v>
      </c>
      <c r="G352" s="4"/>
    </row>
    <row r="353" spans="1:7" x14ac:dyDescent="0.3">
      <c r="A353" t="s">
        <v>672</v>
      </c>
      <c r="B353" t="s">
        <v>367</v>
      </c>
      <c r="C353" s="4">
        <v>0.33333333333333298</v>
      </c>
      <c r="D353" s="4">
        <v>1.8115942028985501E-3</v>
      </c>
      <c r="E353" s="4">
        <v>0.34782608695652201</v>
      </c>
      <c r="F353" s="4">
        <v>4.2457017268458401E-4</v>
      </c>
      <c r="G353" s="4"/>
    </row>
    <row r="354" spans="1:7" x14ac:dyDescent="0.3">
      <c r="A354" t="s">
        <v>672</v>
      </c>
      <c r="B354" t="s">
        <v>368</v>
      </c>
      <c r="C354" s="4">
        <v>0.33333333333333298</v>
      </c>
      <c r="D354" s="4">
        <v>1.8115942028985501E-3</v>
      </c>
      <c r="E354" s="4">
        <v>0.34782608695652201</v>
      </c>
      <c r="F354" s="4">
        <v>4.2457017268464998E-4</v>
      </c>
      <c r="G354" s="4"/>
    </row>
    <row r="355" spans="1:7" x14ac:dyDescent="0.3">
      <c r="A355" t="s">
        <v>672</v>
      </c>
      <c r="B355" t="s">
        <v>369</v>
      </c>
      <c r="C355" s="4">
        <v>0.33333333333333298</v>
      </c>
      <c r="D355" s="4">
        <v>1.8115942028985501E-3</v>
      </c>
      <c r="E355" s="4">
        <v>0.34782608695652201</v>
      </c>
      <c r="F355" s="4">
        <v>4.24570172684562E-4</v>
      </c>
      <c r="G355" s="4"/>
    </row>
    <row r="356" spans="1:7" x14ac:dyDescent="0.3">
      <c r="A356" t="s">
        <v>672</v>
      </c>
      <c r="B356" t="s">
        <v>370</v>
      </c>
      <c r="C356" s="4">
        <v>0.41666666666666702</v>
      </c>
      <c r="D356" s="4">
        <v>0.14492753623188401</v>
      </c>
      <c r="E356" s="4">
        <v>0.42105263157894701</v>
      </c>
      <c r="F356" s="4">
        <v>1.21003352014222E-2</v>
      </c>
      <c r="G356" s="4"/>
    </row>
    <row r="357" spans="1:7" x14ac:dyDescent="0.3">
      <c r="A357" t="s">
        <v>672</v>
      </c>
      <c r="B357" t="s">
        <v>371</v>
      </c>
      <c r="C357" s="4">
        <v>0.25</v>
      </c>
      <c r="D357" s="4">
        <v>1.24532723717506E-2</v>
      </c>
      <c r="E357" s="4">
        <v>0.42105263157894701</v>
      </c>
      <c r="F357" s="4">
        <v>1.19482743050577E-2</v>
      </c>
      <c r="G357" s="4"/>
    </row>
    <row r="358" spans="1:7" x14ac:dyDescent="0.3">
      <c r="A358" t="s">
        <v>672</v>
      </c>
      <c r="B358" t="s">
        <v>372</v>
      </c>
      <c r="C358" s="4">
        <v>0.25</v>
      </c>
      <c r="D358" s="4">
        <v>1.24532723717506E-2</v>
      </c>
      <c r="E358" s="4">
        <v>0.42105263157894701</v>
      </c>
      <c r="F358" s="4">
        <v>1.19482743050577E-2</v>
      </c>
      <c r="G358" s="4"/>
    </row>
    <row r="359" spans="1:7" x14ac:dyDescent="0.3">
      <c r="A359" t="s">
        <v>672</v>
      </c>
      <c r="B359" t="s">
        <v>373</v>
      </c>
      <c r="C359" s="4">
        <v>0.58333333333333304</v>
      </c>
      <c r="D359" s="4">
        <v>1.4783183804922899E-2</v>
      </c>
      <c r="E359" s="4">
        <v>0.46153846153846201</v>
      </c>
      <c r="F359" s="4">
        <v>3.1510949632662502E-2</v>
      </c>
      <c r="G359" s="4"/>
    </row>
    <row r="360" spans="1:7" x14ac:dyDescent="0.3">
      <c r="A360" t="s">
        <v>672</v>
      </c>
      <c r="B360" t="s">
        <v>374</v>
      </c>
      <c r="C360" s="4">
        <v>0.58333333333333304</v>
      </c>
      <c r="D360" s="4">
        <v>1.4783183804922899E-2</v>
      </c>
      <c r="E360" s="4">
        <v>0.46153846153846201</v>
      </c>
      <c r="F360" s="4">
        <v>3.1510949632662599E-2</v>
      </c>
      <c r="G360" s="4"/>
    </row>
    <row r="361" spans="1:7" x14ac:dyDescent="0.3">
      <c r="A361" t="s">
        <v>672</v>
      </c>
      <c r="B361" t="s">
        <v>375</v>
      </c>
      <c r="C361" s="4">
        <v>0.58333333333333304</v>
      </c>
      <c r="D361" s="4">
        <v>1.4783183804922899E-2</v>
      </c>
      <c r="E361" s="4">
        <v>0.46153846153846201</v>
      </c>
      <c r="F361" s="4">
        <v>3.1510949632662599E-2</v>
      </c>
      <c r="G361" s="4"/>
    </row>
    <row r="362" spans="1:7" x14ac:dyDescent="0.3">
      <c r="A362" t="s">
        <v>672</v>
      </c>
      <c r="B362" t="s">
        <v>376</v>
      </c>
      <c r="C362" s="4">
        <v>0.58333333333333304</v>
      </c>
      <c r="D362" s="4">
        <v>1.4783183804922899E-2</v>
      </c>
      <c r="E362" s="4">
        <v>0.46153846153846201</v>
      </c>
      <c r="F362" s="4">
        <v>3.1510949632662502E-2</v>
      </c>
      <c r="G362" s="4"/>
    </row>
    <row r="363" spans="1:7" x14ac:dyDescent="0.3">
      <c r="A363" t="s">
        <v>672</v>
      </c>
      <c r="B363" t="s">
        <v>377</v>
      </c>
      <c r="C363" s="4">
        <v>0.58333333333333304</v>
      </c>
      <c r="D363" s="4">
        <v>1.4783183804922899E-2</v>
      </c>
      <c r="E363" s="4">
        <v>0.46153846153846201</v>
      </c>
      <c r="F363" s="4">
        <v>3.1510949632662599E-2</v>
      </c>
      <c r="G363" s="4"/>
    </row>
    <row r="364" spans="1:7" x14ac:dyDescent="0.3">
      <c r="A364" t="s">
        <v>672</v>
      </c>
      <c r="B364" t="s">
        <v>378</v>
      </c>
      <c r="C364" s="4">
        <v>0.16666666666666699</v>
      </c>
      <c r="D364" s="4">
        <v>6.1860190936277896E-3</v>
      </c>
      <c r="E364" s="4">
        <v>0.41379310344827602</v>
      </c>
      <c r="F364" s="4">
        <v>2.2696230411622199E-2</v>
      </c>
      <c r="G364" s="4"/>
    </row>
    <row r="365" spans="1:7" x14ac:dyDescent="0.3">
      <c r="A365" t="s">
        <v>672</v>
      </c>
      <c r="B365" t="s">
        <v>379</v>
      </c>
      <c r="C365" s="4">
        <v>0.16666666666666699</v>
      </c>
      <c r="D365" s="4">
        <v>0</v>
      </c>
      <c r="E365" s="4">
        <v>0.296296296296296</v>
      </c>
      <c r="F365" s="4">
        <v>4.5392460823244503E-2</v>
      </c>
      <c r="G365" s="4"/>
    </row>
    <row r="366" spans="1:7" x14ac:dyDescent="0.3">
      <c r="A366" t="s">
        <v>673</v>
      </c>
      <c r="B366" t="s">
        <v>598</v>
      </c>
      <c r="G366" s="4"/>
    </row>
    <row r="367" spans="1:7" x14ac:dyDescent="0.3">
      <c r="A367" t="s">
        <v>673</v>
      </c>
      <c r="B367" t="s">
        <v>599</v>
      </c>
      <c r="G367" s="4"/>
    </row>
    <row r="368" spans="1:7" x14ac:dyDescent="0.3">
      <c r="A368" t="s">
        <v>673</v>
      </c>
      <c r="B368" t="s">
        <v>60</v>
      </c>
      <c r="G368" s="4"/>
    </row>
    <row r="369" spans="1:7" x14ac:dyDescent="0.3">
      <c r="A369" t="s">
        <v>674</v>
      </c>
      <c r="B369" t="s">
        <v>381</v>
      </c>
      <c r="C369" s="4">
        <v>2</v>
      </c>
      <c r="D369" s="4">
        <v>0.52752525252525295</v>
      </c>
      <c r="E369" s="4">
        <v>0.375</v>
      </c>
      <c r="F369" s="4">
        <v>1</v>
      </c>
      <c r="G369" s="4"/>
    </row>
    <row r="370" spans="1:7" x14ac:dyDescent="0.3">
      <c r="A370" t="s">
        <v>674</v>
      </c>
      <c r="B370" t="s">
        <v>382</v>
      </c>
      <c r="C370" s="4">
        <v>1.5</v>
      </c>
      <c r="D370" s="4">
        <v>5.5303030303030298E-2</v>
      </c>
      <c r="E370" s="4">
        <v>0.22222222222222199</v>
      </c>
      <c r="F370" s="4">
        <v>0.99170278756153496</v>
      </c>
      <c r="G370" s="4"/>
    </row>
    <row r="371" spans="1:7" x14ac:dyDescent="0.3">
      <c r="A371" t="s">
        <v>674</v>
      </c>
      <c r="B371" t="s">
        <v>383</v>
      </c>
      <c r="C371" s="4">
        <v>1.3333333333333299</v>
      </c>
      <c r="D371" s="4">
        <v>0.117676767676768</v>
      </c>
      <c r="E371" s="4">
        <v>0.27906976744186002</v>
      </c>
      <c r="F371" s="4">
        <v>0.70018176391376896</v>
      </c>
      <c r="G371" s="4"/>
    </row>
    <row r="372" spans="1:7" x14ac:dyDescent="0.3">
      <c r="A372" t="s">
        <v>674</v>
      </c>
      <c r="B372" t="s">
        <v>385</v>
      </c>
      <c r="C372" s="4">
        <v>0.5</v>
      </c>
      <c r="D372" s="4">
        <v>2.5757575757575799E-2</v>
      </c>
      <c r="E372" s="4">
        <v>0.21052631578947401</v>
      </c>
      <c r="F372" s="4">
        <v>0.22666581876425701</v>
      </c>
      <c r="G372" s="4"/>
    </row>
    <row r="373" spans="1:7" x14ac:dyDescent="0.3">
      <c r="A373" t="s">
        <v>674</v>
      </c>
      <c r="B373" t="s">
        <v>387</v>
      </c>
      <c r="C373" s="4">
        <v>1.1666666666666701</v>
      </c>
      <c r="D373" s="4">
        <v>3.8383838383838402E-2</v>
      </c>
      <c r="E373" s="4">
        <v>0.27906976744186002</v>
      </c>
      <c r="F373" s="4">
        <v>0.48045950198083498</v>
      </c>
      <c r="G373" s="4"/>
    </row>
    <row r="374" spans="1:7" x14ac:dyDescent="0.3">
      <c r="A374" t="s">
        <v>674</v>
      </c>
      <c r="B374" t="s">
        <v>56</v>
      </c>
      <c r="C374" s="4">
        <v>0.83333333333333304</v>
      </c>
      <c r="D374" s="4">
        <v>0.114646464646465</v>
      </c>
      <c r="E374" s="4">
        <v>0.33333333333333298</v>
      </c>
      <c r="F374" s="4">
        <v>0.28987206203439903</v>
      </c>
      <c r="G374" s="4"/>
    </row>
    <row r="375" spans="1:7" x14ac:dyDescent="0.3">
      <c r="A375" t="s">
        <v>674</v>
      </c>
      <c r="B375" t="s">
        <v>388</v>
      </c>
      <c r="C375" s="4">
        <v>0.83333333333333304</v>
      </c>
      <c r="D375" s="4">
        <v>3.03030303030303E-2</v>
      </c>
      <c r="E375" s="4">
        <v>0.22222222222222199</v>
      </c>
      <c r="F375" s="4">
        <v>0.51888118596430899</v>
      </c>
      <c r="G375" s="4"/>
    </row>
    <row r="376" spans="1:7" x14ac:dyDescent="0.3">
      <c r="A376" t="s">
        <v>674</v>
      </c>
      <c r="B376" t="s">
        <v>149</v>
      </c>
      <c r="C376" s="4">
        <v>0.5</v>
      </c>
      <c r="D376" s="4">
        <v>0</v>
      </c>
      <c r="E376" s="4">
        <v>0.1875</v>
      </c>
      <c r="F376" s="4">
        <v>0.31141074098357902</v>
      </c>
      <c r="G376" s="4"/>
    </row>
    <row r="377" spans="1:7" x14ac:dyDescent="0.3">
      <c r="A377" t="s">
        <v>674</v>
      </c>
      <c r="B377" t="s">
        <v>390</v>
      </c>
      <c r="C377" s="4">
        <v>0.83333333333333304</v>
      </c>
      <c r="D377" s="4">
        <v>5.8080808080808101E-2</v>
      </c>
      <c r="E377" s="4">
        <v>0.230769230769231</v>
      </c>
      <c r="F377" s="4">
        <v>0.33027665177238302</v>
      </c>
      <c r="G377" s="4"/>
    </row>
    <row r="378" spans="1:7" x14ac:dyDescent="0.3">
      <c r="A378" t="s">
        <v>674</v>
      </c>
      <c r="B378" t="s">
        <v>391</v>
      </c>
      <c r="C378" s="4">
        <v>0.33333333333333298</v>
      </c>
      <c r="D378" s="4">
        <v>7.6010101010101E-2</v>
      </c>
      <c r="E378" s="4">
        <v>0.30769230769230799</v>
      </c>
      <c r="F378" s="4">
        <v>4.6012104942066603E-2</v>
      </c>
      <c r="G378" s="4"/>
    </row>
    <row r="379" spans="1:7" x14ac:dyDescent="0.3">
      <c r="A379" t="s">
        <v>674</v>
      </c>
      <c r="B379" t="s">
        <v>392</v>
      </c>
      <c r="C379" s="4">
        <v>0.33333333333333298</v>
      </c>
      <c r="D379" s="4">
        <v>7.6010101010101E-2</v>
      </c>
      <c r="E379" s="4">
        <v>0.30769230769230799</v>
      </c>
      <c r="F379" s="4">
        <v>4.6012104942066499E-2</v>
      </c>
      <c r="G379" s="4"/>
    </row>
    <row r="380" spans="1:7" x14ac:dyDescent="0.3">
      <c r="A380" t="s">
        <v>674</v>
      </c>
      <c r="B380" t="s">
        <v>394</v>
      </c>
      <c r="C380" s="4">
        <v>0.66666666666666696</v>
      </c>
      <c r="D380" s="4">
        <v>0.115656565656566</v>
      </c>
      <c r="E380" s="4">
        <v>0.3</v>
      </c>
      <c r="F380" s="4">
        <v>0.18873202389641</v>
      </c>
      <c r="G380" s="4"/>
    </row>
    <row r="381" spans="1:7" x14ac:dyDescent="0.3">
      <c r="A381" t="s">
        <v>674</v>
      </c>
      <c r="B381" t="s">
        <v>396</v>
      </c>
      <c r="C381" s="4">
        <v>0.16666666666666699</v>
      </c>
      <c r="D381" s="4">
        <v>0</v>
      </c>
      <c r="E381" s="4">
        <v>0.27906976744186002</v>
      </c>
      <c r="F381" s="4">
        <v>2.7063050503581501E-2</v>
      </c>
      <c r="G381" s="4"/>
    </row>
    <row r="382" spans="1:7" x14ac:dyDescent="0.3">
      <c r="A382" t="s">
        <v>675</v>
      </c>
      <c r="B382" t="s">
        <v>398</v>
      </c>
      <c r="C382" s="4">
        <v>1.1428571428571399</v>
      </c>
      <c r="D382" s="4">
        <v>4.7619047619047603E-2</v>
      </c>
      <c r="E382" s="4">
        <v>0.41176470588235298</v>
      </c>
      <c r="F382" s="4">
        <v>0.47837768827359201</v>
      </c>
      <c r="G382" s="4"/>
    </row>
    <row r="383" spans="1:7" x14ac:dyDescent="0.3">
      <c r="A383" t="s">
        <v>675</v>
      </c>
      <c r="B383" t="s">
        <v>85</v>
      </c>
      <c r="C383" s="4">
        <v>2</v>
      </c>
      <c r="D383" s="4">
        <v>0.22222222222222199</v>
      </c>
      <c r="E383" s="4">
        <v>0.53846153846153799</v>
      </c>
      <c r="F383" s="4">
        <v>1</v>
      </c>
      <c r="G383" s="4"/>
    </row>
    <row r="384" spans="1:7" x14ac:dyDescent="0.3">
      <c r="A384" t="s">
        <v>675</v>
      </c>
      <c r="B384" t="s">
        <v>399</v>
      </c>
      <c r="C384" s="4">
        <v>0.85714285714285698</v>
      </c>
      <c r="D384" s="4">
        <v>0.158730158730159</v>
      </c>
      <c r="E384" s="4">
        <v>0.5</v>
      </c>
      <c r="F384" s="4">
        <v>0.18107133974885001</v>
      </c>
      <c r="G384" s="4"/>
    </row>
    <row r="385" spans="1:7" x14ac:dyDescent="0.3">
      <c r="A385" t="s">
        <v>675</v>
      </c>
      <c r="B385" t="s">
        <v>56</v>
      </c>
      <c r="C385" s="4">
        <v>2</v>
      </c>
      <c r="D385" s="4">
        <v>0.25396825396825401</v>
      </c>
      <c r="E385" s="4">
        <v>0.53846153846153799</v>
      </c>
      <c r="F385" s="4">
        <v>0.95738655250610305</v>
      </c>
      <c r="G385" s="4"/>
    </row>
    <row r="386" spans="1:7" x14ac:dyDescent="0.3">
      <c r="A386" t="s">
        <v>675</v>
      </c>
      <c r="B386" t="s">
        <v>400</v>
      </c>
      <c r="C386" s="4">
        <v>0.57142857142857095</v>
      </c>
      <c r="D386" s="4">
        <v>0</v>
      </c>
      <c r="E386" s="4">
        <v>0.30434782608695699</v>
      </c>
      <c r="F386" s="4">
        <v>0.29101881005955599</v>
      </c>
      <c r="G386" s="4"/>
    </row>
    <row r="387" spans="1:7" x14ac:dyDescent="0.3">
      <c r="A387" t="s">
        <v>675</v>
      </c>
      <c r="B387" t="s">
        <v>205</v>
      </c>
      <c r="C387" s="4">
        <v>0.57142857142857095</v>
      </c>
      <c r="D387" s="4">
        <v>0</v>
      </c>
      <c r="E387" s="4">
        <v>0.24137931034482801</v>
      </c>
      <c r="F387" s="4">
        <v>0.43652821508933498</v>
      </c>
      <c r="G387" s="4"/>
    </row>
    <row r="388" spans="1:7" x14ac:dyDescent="0.3">
      <c r="A388" t="s">
        <v>675</v>
      </c>
      <c r="B388" t="s">
        <v>402</v>
      </c>
      <c r="C388" s="4">
        <v>1.1428571428571399</v>
      </c>
      <c r="D388" s="4">
        <v>4.7619047619047603E-2</v>
      </c>
      <c r="E388" s="4">
        <v>0.41176470588235298</v>
      </c>
      <c r="F388" s="4">
        <v>0.33927261075889498</v>
      </c>
      <c r="G388" s="4"/>
    </row>
    <row r="389" spans="1:7" x14ac:dyDescent="0.3">
      <c r="A389" t="s">
        <v>675</v>
      </c>
      <c r="B389" t="s">
        <v>404</v>
      </c>
      <c r="C389" s="4">
        <v>0.85714285714285698</v>
      </c>
      <c r="D389" s="4">
        <v>0.119047619047619</v>
      </c>
      <c r="E389" s="4">
        <v>0.5</v>
      </c>
      <c r="F389" s="4">
        <v>0.17073046096848399</v>
      </c>
      <c r="G389" s="4"/>
    </row>
    <row r="390" spans="1:7" x14ac:dyDescent="0.3">
      <c r="A390" t="s">
        <v>676</v>
      </c>
      <c r="B390" t="s">
        <v>258</v>
      </c>
      <c r="C390" s="4">
        <v>2</v>
      </c>
      <c r="D390" s="4">
        <v>0.4</v>
      </c>
      <c r="E390" s="4">
        <v>0.55555555555555602</v>
      </c>
      <c r="F390" s="4">
        <v>0.77702982441856205</v>
      </c>
      <c r="G390" s="4"/>
    </row>
    <row r="391" spans="1:7" x14ac:dyDescent="0.3">
      <c r="A391" t="s">
        <v>676</v>
      </c>
      <c r="B391" t="s">
        <v>155</v>
      </c>
      <c r="C391" s="4">
        <v>2</v>
      </c>
      <c r="D391" s="4">
        <v>0.1</v>
      </c>
      <c r="E391" s="4">
        <v>0.45454545454545497</v>
      </c>
      <c r="F391" s="4">
        <v>1</v>
      </c>
      <c r="G391" s="4"/>
    </row>
    <row r="392" spans="1:7" x14ac:dyDescent="0.3">
      <c r="A392" t="s">
        <v>676</v>
      </c>
      <c r="B392" t="s">
        <v>406</v>
      </c>
      <c r="C392" s="4">
        <v>1.2</v>
      </c>
      <c r="D392" s="4">
        <v>0.4</v>
      </c>
      <c r="E392" s="4">
        <v>0.55555555555555602</v>
      </c>
      <c r="F392" s="4">
        <v>0.16654704276367199</v>
      </c>
      <c r="G392" s="4"/>
    </row>
    <row r="393" spans="1:7" x14ac:dyDescent="0.3">
      <c r="A393" t="s">
        <v>676</v>
      </c>
      <c r="B393" t="s">
        <v>312</v>
      </c>
      <c r="C393" s="4">
        <v>1.6</v>
      </c>
      <c r="D393" s="4">
        <v>0</v>
      </c>
      <c r="E393" s="4">
        <v>0.35714285714285698</v>
      </c>
      <c r="F393" s="4">
        <v>0.85433040660473902</v>
      </c>
      <c r="G393" s="4"/>
    </row>
    <row r="394" spans="1:7" x14ac:dyDescent="0.3">
      <c r="A394" t="s">
        <v>676</v>
      </c>
      <c r="B394" t="s">
        <v>205</v>
      </c>
      <c r="C394" s="4">
        <v>0.8</v>
      </c>
      <c r="D394" s="4">
        <v>0.1</v>
      </c>
      <c r="E394" s="4">
        <v>0.45454545454545497</v>
      </c>
      <c r="F394" s="4">
        <v>8.4906864357060297E-2</v>
      </c>
      <c r="G394" s="4"/>
    </row>
    <row r="395" spans="1:7" x14ac:dyDescent="0.3">
      <c r="A395" t="s">
        <v>676</v>
      </c>
      <c r="B395" t="s">
        <v>407</v>
      </c>
      <c r="C395" s="4">
        <v>1.2</v>
      </c>
      <c r="D395" s="4">
        <v>0</v>
      </c>
      <c r="E395" s="4">
        <v>0.35714285714285698</v>
      </c>
      <c r="F395" s="4">
        <v>0.44257476100925203</v>
      </c>
      <c r="G395" s="4"/>
    </row>
    <row r="396" spans="1:7" x14ac:dyDescent="0.3">
      <c r="A396" t="s">
        <v>677</v>
      </c>
      <c r="B396" t="s">
        <v>117</v>
      </c>
      <c r="C396" s="4">
        <v>1.6666666666666701</v>
      </c>
      <c r="D396" s="4">
        <v>0.33333333333333298</v>
      </c>
      <c r="E396" s="4">
        <v>0.66666666666666696</v>
      </c>
      <c r="F396" s="4">
        <v>1</v>
      </c>
      <c r="G396" s="4"/>
    </row>
    <row r="397" spans="1:7" x14ac:dyDescent="0.3">
      <c r="A397" t="s">
        <v>677</v>
      </c>
      <c r="B397" t="s">
        <v>115</v>
      </c>
      <c r="C397" s="4">
        <v>1.3333333333333299</v>
      </c>
      <c r="D397" s="4">
        <v>0</v>
      </c>
      <c r="E397" s="4">
        <v>0.54545454545454497</v>
      </c>
      <c r="F397" s="4">
        <v>0.96261356875522597</v>
      </c>
      <c r="G397" s="4"/>
    </row>
    <row r="398" spans="1:7" x14ac:dyDescent="0.3">
      <c r="A398" t="s">
        <v>677</v>
      </c>
      <c r="B398" t="s">
        <v>407</v>
      </c>
      <c r="C398" s="4">
        <v>1.3333333333333299</v>
      </c>
      <c r="D398" s="4">
        <v>0</v>
      </c>
      <c r="E398" s="4">
        <v>0.54545454545454497</v>
      </c>
      <c r="F398" s="4">
        <v>0.64191747675994204</v>
      </c>
      <c r="G398" s="4"/>
    </row>
    <row r="399" spans="1:7" x14ac:dyDescent="0.3">
      <c r="A399" t="s">
        <v>677</v>
      </c>
      <c r="B399" t="s">
        <v>409</v>
      </c>
      <c r="C399" s="4">
        <v>0.33333333333333298</v>
      </c>
      <c r="D399" s="4">
        <v>0</v>
      </c>
      <c r="E399" s="4">
        <v>0.42857142857142899</v>
      </c>
      <c r="F399" s="4">
        <v>3.3992095868854003E-2</v>
      </c>
      <c r="G399" s="4"/>
    </row>
    <row r="400" spans="1:7" x14ac:dyDescent="0.3">
      <c r="A400" t="s">
        <v>677</v>
      </c>
      <c r="B400" t="s">
        <v>410</v>
      </c>
      <c r="C400" s="4">
        <v>1.3333333333333299</v>
      </c>
      <c r="D400" s="4">
        <v>0.16666666666666699</v>
      </c>
      <c r="E400" s="4">
        <v>0.75</v>
      </c>
      <c r="F400" s="4">
        <v>9.1652411912467494E-2</v>
      </c>
      <c r="G400" s="4"/>
    </row>
    <row r="401" spans="1:7" x14ac:dyDescent="0.3">
      <c r="A401" t="s">
        <v>677</v>
      </c>
      <c r="B401" t="s">
        <v>411</v>
      </c>
      <c r="C401" s="4">
        <v>1.6666666666666701</v>
      </c>
      <c r="D401" s="4">
        <v>0.5</v>
      </c>
      <c r="E401" s="4">
        <v>0.85714285714285698</v>
      </c>
      <c r="F401" s="4">
        <v>9.1754945971641397E-2</v>
      </c>
      <c r="G401" s="4"/>
    </row>
    <row r="402" spans="1:7" x14ac:dyDescent="0.3">
      <c r="A402" t="s">
        <v>677</v>
      </c>
      <c r="B402" t="s">
        <v>205</v>
      </c>
      <c r="C402" s="4">
        <v>0.33333333333333298</v>
      </c>
      <c r="D402" s="4">
        <v>0</v>
      </c>
      <c r="E402" s="4">
        <v>0.5</v>
      </c>
      <c r="F402" s="4">
        <v>3.1189429199095799E-3</v>
      </c>
      <c r="G402" s="4"/>
    </row>
    <row r="403" spans="1:7" x14ac:dyDescent="0.3">
      <c r="A403" t="s">
        <v>840</v>
      </c>
      <c r="B403" t="s">
        <v>841</v>
      </c>
      <c r="C403" s="4">
        <v>1.55555555555556</v>
      </c>
      <c r="D403" s="4">
        <v>6.9444444444444406E-2</v>
      </c>
      <c r="E403" s="4">
        <v>0.39130434782608697</v>
      </c>
      <c r="F403" s="4">
        <v>0.68723480271770299</v>
      </c>
      <c r="G403" s="4"/>
    </row>
    <row r="404" spans="1:7" x14ac:dyDescent="0.3">
      <c r="A404" t="s">
        <v>840</v>
      </c>
      <c r="B404" t="s">
        <v>842</v>
      </c>
      <c r="C404" s="4">
        <v>1.55555555555556</v>
      </c>
      <c r="D404" s="4">
        <v>0.33055555555555499</v>
      </c>
      <c r="E404" s="4">
        <v>0.47368421052631599</v>
      </c>
      <c r="F404" s="4">
        <v>0.811734277068903</v>
      </c>
      <c r="G404" s="4"/>
    </row>
    <row r="405" spans="1:7" x14ac:dyDescent="0.3">
      <c r="A405" t="s">
        <v>840</v>
      </c>
      <c r="B405" t="s">
        <v>843</v>
      </c>
      <c r="C405" s="4">
        <v>1.55555555555556</v>
      </c>
      <c r="D405" s="4">
        <v>0.20092592592592601</v>
      </c>
      <c r="E405" s="4">
        <v>0.42857142857142899</v>
      </c>
      <c r="F405" s="4">
        <v>1</v>
      </c>
      <c r="G405" s="4"/>
    </row>
    <row r="406" spans="1:7" x14ac:dyDescent="0.3">
      <c r="A406" t="s">
        <v>840</v>
      </c>
      <c r="B406" t="s">
        <v>844</v>
      </c>
      <c r="C406" s="4">
        <v>2</v>
      </c>
      <c r="D406" s="4">
        <v>9.0740740740740705E-2</v>
      </c>
      <c r="E406" s="4">
        <v>0.39130434782608697</v>
      </c>
      <c r="F406" s="4">
        <v>0.96558739483465805</v>
      </c>
      <c r="G406" s="4"/>
    </row>
    <row r="407" spans="1:7" x14ac:dyDescent="0.3">
      <c r="A407" t="s">
        <v>840</v>
      </c>
      <c r="B407" t="s">
        <v>845</v>
      </c>
      <c r="C407" s="4">
        <v>0.88888888888888895</v>
      </c>
      <c r="D407" s="4">
        <v>4.1666666666666699E-2</v>
      </c>
      <c r="E407" s="4">
        <v>0.36</v>
      </c>
      <c r="F407" s="4">
        <v>0.44119177254382003</v>
      </c>
      <c r="G407" s="4"/>
    </row>
    <row r="408" spans="1:7" x14ac:dyDescent="0.3">
      <c r="A408" t="s">
        <v>840</v>
      </c>
      <c r="B408" t="s">
        <v>846</v>
      </c>
      <c r="C408" s="4">
        <v>0.44444444444444398</v>
      </c>
      <c r="D408" s="4">
        <v>0</v>
      </c>
      <c r="E408" s="4">
        <v>0.25714285714285701</v>
      </c>
      <c r="F408" s="4">
        <v>0.113415250393356</v>
      </c>
      <c r="G408" s="4"/>
    </row>
    <row r="409" spans="1:7" x14ac:dyDescent="0.3">
      <c r="A409" t="s">
        <v>840</v>
      </c>
      <c r="B409" t="s">
        <v>847</v>
      </c>
      <c r="C409" s="4">
        <v>0.88888888888888895</v>
      </c>
      <c r="D409" s="4">
        <v>0.483333333333333</v>
      </c>
      <c r="E409" s="4">
        <v>0.52941176470588203</v>
      </c>
      <c r="F409" s="4">
        <v>9.9953210196523798E-2</v>
      </c>
      <c r="G409" s="4"/>
    </row>
    <row r="410" spans="1:7" x14ac:dyDescent="0.3">
      <c r="A410" t="s">
        <v>840</v>
      </c>
      <c r="B410" t="s">
        <v>848</v>
      </c>
      <c r="C410" s="4">
        <v>1.3333333333333299</v>
      </c>
      <c r="D410" s="4">
        <v>1.94444444444444E-2</v>
      </c>
      <c r="E410" s="4">
        <v>0.29032258064516098</v>
      </c>
      <c r="F410" s="4">
        <v>0.65431990766178705</v>
      </c>
      <c r="G410" s="4"/>
    </row>
    <row r="411" spans="1:7" x14ac:dyDescent="0.3">
      <c r="A411" t="s">
        <v>840</v>
      </c>
      <c r="B411" t="s">
        <v>849</v>
      </c>
      <c r="C411" s="4">
        <v>1.1111111111111101</v>
      </c>
      <c r="D411" s="4">
        <v>0.181018518518518</v>
      </c>
      <c r="E411" s="4">
        <v>0.39130434782608697</v>
      </c>
      <c r="F411" s="4">
        <v>0.38444313996726798</v>
      </c>
      <c r="G411" s="4"/>
    </row>
    <row r="412" spans="1:7" x14ac:dyDescent="0.3">
      <c r="A412" t="s">
        <v>840</v>
      </c>
      <c r="B412" t="s">
        <v>850</v>
      </c>
      <c r="C412" s="4">
        <v>0.66666666666666696</v>
      </c>
      <c r="D412" s="4">
        <v>4.8611111111111098E-2</v>
      </c>
      <c r="E412" s="4">
        <v>0.31034482758620702</v>
      </c>
      <c r="F412" s="4">
        <v>0.16027544071918401</v>
      </c>
      <c r="G412" s="4"/>
    </row>
    <row r="413" spans="1:7" x14ac:dyDescent="0.3">
      <c r="A413" t="s">
        <v>678</v>
      </c>
      <c r="B413" t="s">
        <v>115</v>
      </c>
      <c r="C413" s="4">
        <v>2</v>
      </c>
      <c r="D413" s="4">
        <v>0</v>
      </c>
      <c r="E413" s="4">
        <v>0.5</v>
      </c>
      <c r="F413" s="4">
        <v>1</v>
      </c>
      <c r="G413" s="4"/>
    </row>
    <row r="414" spans="1:7" x14ac:dyDescent="0.3">
      <c r="A414" t="s">
        <v>678</v>
      </c>
      <c r="B414" t="s">
        <v>413</v>
      </c>
      <c r="C414" s="4">
        <v>2</v>
      </c>
      <c r="D414" s="4">
        <v>0</v>
      </c>
      <c r="E414" s="4">
        <v>0.5</v>
      </c>
      <c r="F414" s="4">
        <v>0.97376888933608796</v>
      </c>
      <c r="G414" s="4"/>
    </row>
    <row r="415" spans="1:7" x14ac:dyDescent="0.3">
      <c r="A415" t="s">
        <v>678</v>
      </c>
      <c r="B415" t="s">
        <v>415</v>
      </c>
      <c r="C415" s="4">
        <v>2</v>
      </c>
      <c r="D415" s="4">
        <v>0</v>
      </c>
      <c r="E415" s="4">
        <v>0.375</v>
      </c>
      <c r="F415" s="4">
        <v>0.76755963250737502</v>
      </c>
      <c r="G415" s="4"/>
    </row>
    <row r="416" spans="1:7" x14ac:dyDescent="0.3">
      <c r="A416" t="s">
        <v>678</v>
      </c>
      <c r="B416" t="s">
        <v>416</v>
      </c>
      <c r="C416" s="4">
        <v>2</v>
      </c>
      <c r="D416" s="4">
        <v>1</v>
      </c>
      <c r="E416" s="4">
        <v>0.75</v>
      </c>
      <c r="F416" s="4">
        <v>0.203279190560956</v>
      </c>
      <c r="G416" s="4"/>
    </row>
    <row r="417" spans="1:7" x14ac:dyDescent="0.3">
      <c r="A417" t="s">
        <v>681</v>
      </c>
      <c r="B417" t="s">
        <v>115</v>
      </c>
      <c r="C417" s="4">
        <v>2</v>
      </c>
      <c r="D417" s="4">
        <v>0.3</v>
      </c>
      <c r="E417" s="4">
        <v>0.3125</v>
      </c>
      <c r="F417" s="4">
        <v>1</v>
      </c>
      <c r="G417" s="4"/>
    </row>
    <row r="418" spans="1:7" x14ac:dyDescent="0.3">
      <c r="A418" t="s">
        <v>681</v>
      </c>
      <c r="B418" t="s">
        <v>85</v>
      </c>
      <c r="C418" s="4">
        <v>2</v>
      </c>
      <c r="D418" s="4">
        <v>0</v>
      </c>
      <c r="E418" s="4">
        <v>0.29411764705882398</v>
      </c>
      <c r="F418" s="4">
        <v>0.98923123871989205</v>
      </c>
      <c r="G418" s="4"/>
    </row>
    <row r="419" spans="1:7" x14ac:dyDescent="0.3">
      <c r="A419" t="s">
        <v>681</v>
      </c>
      <c r="B419" t="s">
        <v>432</v>
      </c>
      <c r="C419" s="4">
        <v>0.8</v>
      </c>
      <c r="D419" s="4">
        <v>0.1</v>
      </c>
      <c r="E419" s="4">
        <v>0.27777777777777801</v>
      </c>
      <c r="F419" s="4">
        <v>0.12875531469443099</v>
      </c>
      <c r="G419" s="4"/>
    </row>
    <row r="420" spans="1:7" x14ac:dyDescent="0.3">
      <c r="A420" t="s">
        <v>681</v>
      </c>
      <c r="B420" t="s">
        <v>734</v>
      </c>
      <c r="C420" s="4">
        <v>1.6</v>
      </c>
      <c r="D420" s="4">
        <v>0.25</v>
      </c>
      <c r="E420" s="4">
        <v>0.35714285714285698</v>
      </c>
      <c r="F420" s="4">
        <v>0.345080753859143</v>
      </c>
      <c r="G420" s="4"/>
    </row>
    <row r="421" spans="1:7" x14ac:dyDescent="0.3">
      <c r="A421" t="s">
        <v>681</v>
      </c>
      <c r="B421" t="s">
        <v>433</v>
      </c>
      <c r="C421" s="4">
        <v>1.6</v>
      </c>
      <c r="D421" s="4">
        <v>0</v>
      </c>
      <c r="E421" s="4">
        <v>0.238095238095238</v>
      </c>
      <c r="F421" s="4">
        <v>0.56093514929539601</v>
      </c>
      <c r="G421" s="4"/>
    </row>
    <row r="422" spans="1:7" x14ac:dyDescent="0.3">
      <c r="A422" t="s">
        <v>681</v>
      </c>
      <c r="B422" t="s">
        <v>435</v>
      </c>
      <c r="C422" s="4">
        <v>1.6</v>
      </c>
      <c r="D422" s="4">
        <v>0</v>
      </c>
      <c r="E422" s="4">
        <v>0.27777777777777801</v>
      </c>
      <c r="F422" s="4">
        <v>0.44654867864479197</v>
      </c>
      <c r="G422" s="4"/>
    </row>
    <row r="423" spans="1:7" x14ac:dyDescent="0.3">
      <c r="A423" t="s">
        <v>679</v>
      </c>
      <c r="B423" t="s">
        <v>115</v>
      </c>
      <c r="C423" s="4">
        <v>2</v>
      </c>
      <c r="D423" s="4">
        <v>0.58796296296296302</v>
      </c>
      <c r="E423" s="4">
        <v>0.47368421052631599</v>
      </c>
      <c r="F423" s="4">
        <v>1</v>
      </c>
      <c r="G423" s="4"/>
    </row>
    <row r="424" spans="1:7" x14ac:dyDescent="0.3">
      <c r="A424" t="s">
        <v>679</v>
      </c>
      <c r="B424" t="s">
        <v>85</v>
      </c>
      <c r="C424" s="4">
        <v>0.66666666666666696</v>
      </c>
      <c r="D424" s="4">
        <v>4.6296296296296301E-2</v>
      </c>
      <c r="E424" s="4">
        <v>0.33333333333333298</v>
      </c>
      <c r="F424" s="4">
        <v>0.577589939030275</v>
      </c>
      <c r="G424" s="4"/>
    </row>
    <row r="425" spans="1:7" x14ac:dyDescent="0.3">
      <c r="A425" t="s">
        <v>679</v>
      </c>
      <c r="B425" t="s">
        <v>419</v>
      </c>
      <c r="C425" s="4">
        <v>1.1111111111111101</v>
      </c>
      <c r="D425" s="4">
        <v>0.29166666666666702</v>
      </c>
      <c r="E425" s="4">
        <v>0.39130434782608697</v>
      </c>
      <c r="F425" s="4">
        <v>0.53929299768885397</v>
      </c>
      <c r="G425" s="4"/>
    </row>
    <row r="426" spans="1:7" x14ac:dyDescent="0.3">
      <c r="A426" t="s">
        <v>679</v>
      </c>
      <c r="B426" t="s">
        <v>420</v>
      </c>
      <c r="C426" s="4">
        <v>1.1111111111111101</v>
      </c>
      <c r="D426" s="4">
        <v>0.148148148148148</v>
      </c>
      <c r="E426" s="4">
        <v>0.39130434782608697</v>
      </c>
      <c r="F426" s="4">
        <v>0.66598735349279603</v>
      </c>
      <c r="G426" s="4"/>
    </row>
    <row r="427" spans="1:7" x14ac:dyDescent="0.3">
      <c r="A427" t="s">
        <v>679</v>
      </c>
      <c r="B427" t="s">
        <v>421</v>
      </c>
      <c r="C427" s="4">
        <v>0.66666666666666696</v>
      </c>
      <c r="D427" s="4">
        <v>0.50925925925925897</v>
      </c>
      <c r="E427" s="4">
        <v>0.47368421052631599</v>
      </c>
      <c r="F427" s="4">
        <v>8.3770092636581001E-2</v>
      </c>
      <c r="G427" s="4"/>
    </row>
    <row r="428" spans="1:7" x14ac:dyDescent="0.3">
      <c r="A428" t="s">
        <v>679</v>
      </c>
      <c r="B428" t="s">
        <v>289</v>
      </c>
      <c r="C428" s="4">
        <v>0.22222222222222199</v>
      </c>
      <c r="D428" s="4">
        <v>0</v>
      </c>
      <c r="E428" s="4">
        <v>0.33333333333333298</v>
      </c>
      <c r="F428" s="4">
        <v>3.7986142030284102E-2</v>
      </c>
      <c r="G428" s="4"/>
    </row>
    <row r="429" spans="1:7" x14ac:dyDescent="0.3">
      <c r="A429" t="s">
        <v>679</v>
      </c>
      <c r="B429" t="s">
        <v>422</v>
      </c>
      <c r="C429" s="4">
        <v>0.44444444444444398</v>
      </c>
      <c r="D429" s="4">
        <v>0</v>
      </c>
      <c r="E429" s="4">
        <v>0.27272727272727298</v>
      </c>
      <c r="F429" s="4">
        <v>8.2218620448337401E-2</v>
      </c>
      <c r="G429" s="4"/>
    </row>
    <row r="430" spans="1:7" x14ac:dyDescent="0.3">
      <c r="A430" t="s">
        <v>679</v>
      </c>
      <c r="B430" t="s">
        <v>423</v>
      </c>
      <c r="C430" s="4">
        <v>0.44444444444444398</v>
      </c>
      <c r="D430" s="4">
        <v>0</v>
      </c>
      <c r="E430" s="4">
        <v>0.27272727272727298</v>
      </c>
      <c r="F430" s="4">
        <v>8.2218620448337304E-2</v>
      </c>
      <c r="G430" s="4"/>
    </row>
    <row r="431" spans="1:7" x14ac:dyDescent="0.3">
      <c r="A431" t="s">
        <v>679</v>
      </c>
      <c r="B431" t="s">
        <v>424</v>
      </c>
      <c r="C431" s="4">
        <v>0.44444444444444398</v>
      </c>
      <c r="D431" s="4">
        <v>0</v>
      </c>
      <c r="E431" s="4">
        <v>0.230769230769231</v>
      </c>
      <c r="F431" s="4">
        <v>0.26888817299399798</v>
      </c>
      <c r="G431" s="4"/>
    </row>
    <row r="432" spans="1:7" x14ac:dyDescent="0.3">
      <c r="A432" t="s">
        <v>679</v>
      </c>
      <c r="B432" t="s">
        <v>425</v>
      </c>
      <c r="C432" s="4">
        <v>0.44444444444444398</v>
      </c>
      <c r="D432" s="4">
        <v>0</v>
      </c>
      <c r="E432" s="4">
        <v>0.29032258064516098</v>
      </c>
      <c r="F432" s="4">
        <v>0.12656886446086901</v>
      </c>
      <c r="G432" s="4"/>
    </row>
    <row r="433" spans="1:7" x14ac:dyDescent="0.3">
      <c r="A433" t="s">
        <v>680</v>
      </c>
      <c r="B433" t="s">
        <v>115</v>
      </c>
      <c r="C433" s="4">
        <v>1.6666666666666701</v>
      </c>
      <c r="D433" s="4">
        <v>0.43333333333333302</v>
      </c>
      <c r="E433" s="4">
        <v>0.6</v>
      </c>
      <c r="F433" s="4">
        <v>1</v>
      </c>
      <c r="G433" s="4"/>
    </row>
    <row r="434" spans="1:7" x14ac:dyDescent="0.3">
      <c r="A434" t="s">
        <v>680</v>
      </c>
      <c r="B434" t="s">
        <v>85</v>
      </c>
      <c r="C434" s="4">
        <v>1.3333333333333299</v>
      </c>
      <c r="D434" s="4">
        <v>0.1</v>
      </c>
      <c r="E434" s="4">
        <v>0.5</v>
      </c>
      <c r="F434" s="4">
        <v>0.94780937787963404</v>
      </c>
      <c r="G434" s="4"/>
    </row>
    <row r="435" spans="1:7" x14ac:dyDescent="0.3">
      <c r="A435" t="s">
        <v>680</v>
      </c>
      <c r="B435" t="s">
        <v>427</v>
      </c>
      <c r="C435" s="4">
        <v>1</v>
      </c>
      <c r="D435" s="4">
        <v>0</v>
      </c>
      <c r="E435" s="4">
        <v>0.31578947368421101</v>
      </c>
      <c r="F435" s="4">
        <v>0.88284932783126602</v>
      </c>
      <c r="G435" s="4"/>
    </row>
    <row r="436" spans="1:7" x14ac:dyDescent="0.3">
      <c r="A436" t="s">
        <v>680</v>
      </c>
      <c r="B436" t="s">
        <v>152</v>
      </c>
      <c r="C436" s="4">
        <v>1.3333333333333299</v>
      </c>
      <c r="D436" s="4">
        <v>0.66666666666666696</v>
      </c>
      <c r="E436" s="4">
        <v>0.66666666666666696</v>
      </c>
      <c r="F436" s="4">
        <v>0.114936789177064</v>
      </c>
      <c r="G436" s="4"/>
    </row>
    <row r="437" spans="1:7" x14ac:dyDescent="0.3">
      <c r="A437" t="s">
        <v>680</v>
      </c>
      <c r="B437" t="s">
        <v>428</v>
      </c>
      <c r="C437" s="4">
        <v>0.33333333333333298</v>
      </c>
      <c r="D437" s="4">
        <v>0</v>
      </c>
      <c r="E437" s="4">
        <v>0.42857142857142899</v>
      </c>
      <c r="F437" s="4">
        <v>3.55400726737818E-3</v>
      </c>
      <c r="G437" s="4"/>
    </row>
    <row r="438" spans="1:7" x14ac:dyDescent="0.3">
      <c r="A438" t="s">
        <v>680</v>
      </c>
      <c r="B438" t="s">
        <v>429</v>
      </c>
      <c r="C438" s="4">
        <v>0.66666666666666696</v>
      </c>
      <c r="D438" s="4">
        <v>6.6666666666666693E-2</v>
      </c>
      <c r="E438" s="4">
        <v>0.46153846153846201</v>
      </c>
      <c r="F438" s="4">
        <v>6.0229007039575899E-2</v>
      </c>
      <c r="G438" s="4"/>
    </row>
    <row r="439" spans="1:7" x14ac:dyDescent="0.3">
      <c r="A439" t="s">
        <v>680</v>
      </c>
      <c r="B439" t="s">
        <v>430</v>
      </c>
      <c r="C439" s="4">
        <v>0.33333333333333298</v>
      </c>
      <c r="D439" s="4">
        <v>0</v>
      </c>
      <c r="E439" s="4">
        <v>0.4</v>
      </c>
      <c r="F439" s="4">
        <v>3.09214072606738E-2</v>
      </c>
      <c r="G439" s="4"/>
    </row>
    <row r="440" spans="1:7" x14ac:dyDescent="0.3">
      <c r="A440" t="s">
        <v>682</v>
      </c>
      <c r="B440" t="s">
        <v>115</v>
      </c>
      <c r="C440" s="4">
        <v>2</v>
      </c>
      <c r="D440" s="4">
        <v>0</v>
      </c>
      <c r="E440" s="4">
        <v>0.57142857142857095</v>
      </c>
      <c r="F440" s="4">
        <v>1</v>
      </c>
      <c r="G440" s="4"/>
    </row>
    <row r="441" spans="1:7" x14ac:dyDescent="0.3">
      <c r="A441" t="s">
        <v>682</v>
      </c>
      <c r="B441" t="s">
        <v>229</v>
      </c>
      <c r="C441" s="4">
        <v>1.5</v>
      </c>
      <c r="D441" s="4">
        <v>0</v>
      </c>
      <c r="E441" s="4">
        <v>0.5</v>
      </c>
      <c r="F441" s="4">
        <v>0.91119618750437403</v>
      </c>
      <c r="G441" s="4"/>
    </row>
    <row r="442" spans="1:7" x14ac:dyDescent="0.3">
      <c r="A442" t="s">
        <v>682</v>
      </c>
      <c r="B442" t="s">
        <v>437</v>
      </c>
      <c r="C442" s="4">
        <v>1.5</v>
      </c>
      <c r="D442" s="4">
        <v>0.33333333333333298</v>
      </c>
      <c r="E442" s="4">
        <v>0.66666666666666696</v>
      </c>
      <c r="F442" s="4">
        <v>0.26212957968259598</v>
      </c>
      <c r="G442" s="4"/>
    </row>
    <row r="443" spans="1:7" x14ac:dyDescent="0.3">
      <c r="A443" t="s">
        <v>682</v>
      </c>
      <c r="B443" t="s">
        <v>289</v>
      </c>
      <c r="C443" s="4">
        <v>1.5</v>
      </c>
      <c r="D443" s="4">
        <v>0.33333333333333298</v>
      </c>
      <c r="E443" s="4">
        <v>0.66666666666666696</v>
      </c>
      <c r="F443" s="4">
        <v>0.34672333816259299</v>
      </c>
      <c r="G443" s="4"/>
    </row>
    <row r="444" spans="1:7" x14ac:dyDescent="0.3">
      <c r="A444" t="s">
        <v>682</v>
      </c>
      <c r="B444" t="s">
        <v>438</v>
      </c>
      <c r="C444" s="4">
        <v>1.5</v>
      </c>
      <c r="D444" s="4">
        <v>0</v>
      </c>
      <c r="E444" s="4">
        <v>0.36363636363636398</v>
      </c>
      <c r="F444" s="4">
        <v>0.86222985510054095</v>
      </c>
      <c r="G444" s="4"/>
    </row>
    <row r="445" spans="1:7" x14ac:dyDescent="0.3">
      <c r="A445" t="s">
        <v>683</v>
      </c>
      <c r="B445" t="s">
        <v>115</v>
      </c>
      <c r="C445" s="4">
        <v>2</v>
      </c>
      <c r="D445" s="4">
        <v>0.65</v>
      </c>
      <c r="E445" s="4">
        <v>0.38461538461538503</v>
      </c>
      <c r="F445" s="4">
        <v>0.91789203004382203</v>
      </c>
      <c r="G445" s="4"/>
    </row>
    <row r="446" spans="1:7" x14ac:dyDescent="0.3">
      <c r="A446" t="s">
        <v>683</v>
      </c>
      <c r="B446" t="s">
        <v>117</v>
      </c>
      <c r="C446" s="4">
        <v>2</v>
      </c>
      <c r="D446" s="4">
        <v>0</v>
      </c>
      <c r="E446" s="4">
        <v>0.26315789473684198</v>
      </c>
      <c r="F446" s="4">
        <v>1</v>
      </c>
      <c r="G446" s="4"/>
    </row>
    <row r="447" spans="1:7" x14ac:dyDescent="0.3">
      <c r="A447" t="s">
        <v>683</v>
      </c>
      <c r="B447" t="s">
        <v>440</v>
      </c>
      <c r="C447" s="4">
        <v>0.8</v>
      </c>
      <c r="D447" s="4">
        <v>0</v>
      </c>
      <c r="E447" s="4">
        <v>0.12195121951219499</v>
      </c>
      <c r="F447" s="4">
        <v>0.77147114603007705</v>
      </c>
      <c r="G447" s="4"/>
    </row>
    <row r="448" spans="1:7" x14ac:dyDescent="0.3">
      <c r="A448" t="s">
        <v>683</v>
      </c>
      <c r="B448" t="s">
        <v>441</v>
      </c>
      <c r="C448" s="4">
        <v>1.2</v>
      </c>
      <c r="D448" s="4">
        <v>0</v>
      </c>
      <c r="E448" s="4">
        <v>0.25</v>
      </c>
      <c r="F448" s="4">
        <v>0.31461619084110198</v>
      </c>
      <c r="G448" s="4"/>
    </row>
    <row r="449" spans="1:7" x14ac:dyDescent="0.3">
      <c r="A449" t="s">
        <v>683</v>
      </c>
      <c r="B449" t="s">
        <v>442</v>
      </c>
      <c r="C449" s="4">
        <v>1.2</v>
      </c>
      <c r="D449" s="4">
        <v>0</v>
      </c>
      <c r="E449" s="4">
        <v>0.3125</v>
      </c>
      <c r="F449" s="4">
        <v>0.22741781155799601</v>
      </c>
      <c r="G449" s="4"/>
    </row>
    <row r="450" spans="1:7" x14ac:dyDescent="0.3">
      <c r="A450" t="s">
        <v>683</v>
      </c>
      <c r="B450" t="s">
        <v>443</v>
      </c>
      <c r="C450" s="4">
        <v>0.8</v>
      </c>
      <c r="D450" s="4">
        <v>0.25</v>
      </c>
      <c r="E450" s="4">
        <v>0.33333333333333298</v>
      </c>
      <c r="F450" s="4">
        <v>9.5920579422089605E-2</v>
      </c>
      <c r="G450" s="4"/>
    </row>
    <row r="451" spans="1:7" x14ac:dyDescent="0.3">
      <c r="A451" t="s">
        <v>684</v>
      </c>
      <c r="B451" t="s">
        <v>446</v>
      </c>
      <c r="C451" s="4">
        <v>2</v>
      </c>
      <c r="D451" s="4">
        <v>0.33333333333333298</v>
      </c>
      <c r="E451" s="4">
        <v>0.3</v>
      </c>
      <c r="F451" s="4">
        <v>0.96417092020800998</v>
      </c>
      <c r="G451" s="4"/>
    </row>
    <row r="452" spans="1:7" x14ac:dyDescent="0.3">
      <c r="A452" t="s">
        <v>684</v>
      </c>
      <c r="B452" t="s">
        <v>117</v>
      </c>
      <c r="C452" s="4">
        <v>2</v>
      </c>
      <c r="D452" s="4">
        <v>0</v>
      </c>
      <c r="E452" s="4">
        <v>0.230769230769231</v>
      </c>
      <c r="F452" s="4">
        <v>1</v>
      </c>
      <c r="G452" s="4"/>
    </row>
    <row r="453" spans="1:7" x14ac:dyDescent="0.3">
      <c r="A453" t="s">
        <v>684</v>
      </c>
      <c r="B453" t="s">
        <v>447</v>
      </c>
      <c r="C453" s="4">
        <v>1.3333333333333299</v>
      </c>
      <c r="D453" s="4">
        <v>0.33333333333333298</v>
      </c>
      <c r="E453" s="4">
        <v>0.3</v>
      </c>
      <c r="F453" s="4">
        <v>0.177660242290957</v>
      </c>
      <c r="G453" s="4"/>
    </row>
    <row r="454" spans="1:7" x14ac:dyDescent="0.3">
      <c r="A454" t="s">
        <v>684</v>
      </c>
      <c r="B454" t="s">
        <v>448</v>
      </c>
      <c r="C454" s="4">
        <v>1.3333333333333299</v>
      </c>
      <c r="D454" s="4">
        <v>0</v>
      </c>
      <c r="E454" s="4">
        <v>0.17647058823529399</v>
      </c>
      <c r="F454" s="4">
        <v>0.49099623494289202</v>
      </c>
      <c r="G454" s="4"/>
    </row>
    <row r="455" spans="1:7" x14ac:dyDescent="0.3">
      <c r="A455" t="s">
        <v>685</v>
      </c>
      <c r="B455" t="s">
        <v>411</v>
      </c>
      <c r="C455" s="4">
        <v>1.6666666666666701</v>
      </c>
      <c r="D455" s="4">
        <v>0.266666666666667</v>
      </c>
      <c r="E455" s="4">
        <v>0.26086956521739102</v>
      </c>
      <c r="F455" s="4">
        <v>0.98310577465358695</v>
      </c>
      <c r="G455" s="4"/>
    </row>
    <row r="456" spans="1:7" x14ac:dyDescent="0.3">
      <c r="A456" t="s">
        <v>685</v>
      </c>
      <c r="B456" t="s">
        <v>56</v>
      </c>
      <c r="C456" s="4">
        <v>2</v>
      </c>
      <c r="D456" s="4">
        <v>0.4</v>
      </c>
      <c r="E456" s="4">
        <v>0.3</v>
      </c>
      <c r="F456" s="4">
        <v>1</v>
      </c>
      <c r="G456" s="4"/>
    </row>
    <row r="457" spans="1:7" x14ac:dyDescent="0.3">
      <c r="A457" t="s">
        <v>685</v>
      </c>
      <c r="B457" t="s">
        <v>450</v>
      </c>
      <c r="C457" s="4">
        <v>1</v>
      </c>
      <c r="D457" s="4">
        <v>0</v>
      </c>
      <c r="E457" s="4">
        <v>0.17142857142857101</v>
      </c>
      <c r="F457" s="4">
        <v>0.58393144868476099</v>
      </c>
      <c r="G457" s="4"/>
    </row>
    <row r="458" spans="1:7" x14ac:dyDescent="0.3">
      <c r="A458" t="s">
        <v>685</v>
      </c>
      <c r="B458" t="s">
        <v>451</v>
      </c>
      <c r="C458" s="4">
        <v>0.33333333333333298</v>
      </c>
      <c r="D458" s="4">
        <v>0</v>
      </c>
      <c r="E458" s="4">
        <v>0.2</v>
      </c>
      <c r="F458" s="4">
        <v>4.4644943960943498E-2</v>
      </c>
      <c r="G458" s="4"/>
    </row>
    <row r="459" spans="1:7" x14ac:dyDescent="0.3">
      <c r="A459" t="s">
        <v>685</v>
      </c>
      <c r="B459" t="s">
        <v>443</v>
      </c>
      <c r="C459" s="4">
        <v>0.66666666666666696</v>
      </c>
      <c r="D459" s="4">
        <v>0.133333333333333</v>
      </c>
      <c r="E459" s="4">
        <v>0.25</v>
      </c>
      <c r="F459" s="4">
        <v>8.8912767049959804E-2</v>
      </c>
      <c r="G459" s="4"/>
    </row>
    <row r="460" spans="1:7" x14ac:dyDescent="0.3">
      <c r="A460" t="s">
        <v>685</v>
      </c>
      <c r="B460" t="s">
        <v>452</v>
      </c>
      <c r="C460" s="4">
        <v>1</v>
      </c>
      <c r="D460" s="4">
        <v>0.33333333333333298</v>
      </c>
      <c r="E460" s="4">
        <v>0.24</v>
      </c>
      <c r="F460" s="4">
        <v>0.18081840717915701</v>
      </c>
      <c r="G460" s="4"/>
    </row>
    <row r="461" spans="1:7" x14ac:dyDescent="0.3">
      <c r="A461" t="s">
        <v>685</v>
      </c>
      <c r="B461" t="s">
        <v>453</v>
      </c>
      <c r="C461" s="4">
        <v>0.66666666666666696</v>
      </c>
      <c r="D461" s="4">
        <v>0</v>
      </c>
      <c r="E461" s="4">
        <v>0.22222222222222199</v>
      </c>
      <c r="F461" s="4">
        <v>0.11085811815850501</v>
      </c>
      <c r="G461" s="4"/>
    </row>
    <row r="462" spans="1:7" x14ac:dyDescent="0.3">
      <c r="A462" t="s">
        <v>686</v>
      </c>
      <c r="B462" t="s">
        <v>49</v>
      </c>
      <c r="C462" s="4">
        <v>1.2</v>
      </c>
      <c r="D462" s="4">
        <v>0</v>
      </c>
      <c r="E462" s="4">
        <v>0.12195121951219499</v>
      </c>
      <c r="F462" s="4">
        <v>0.86660102782214898</v>
      </c>
      <c r="G462" s="4"/>
    </row>
    <row r="463" spans="1:7" x14ac:dyDescent="0.3">
      <c r="A463" t="s">
        <v>686</v>
      </c>
      <c r="B463" t="s">
        <v>54</v>
      </c>
      <c r="C463" s="4">
        <v>1.6</v>
      </c>
      <c r="D463" s="4">
        <v>0.1</v>
      </c>
      <c r="E463" s="4">
        <v>0.27777777777777801</v>
      </c>
      <c r="F463" s="4">
        <v>0.86875827609624301</v>
      </c>
      <c r="G463" s="4"/>
    </row>
    <row r="464" spans="1:7" x14ac:dyDescent="0.3">
      <c r="A464" t="s">
        <v>686</v>
      </c>
      <c r="B464" t="s">
        <v>155</v>
      </c>
      <c r="C464" s="4">
        <v>1.6</v>
      </c>
      <c r="D464" s="4">
        <v>0.15</v>
      </c>
      <c r="E464" s="4">
        <v>0.29411764705882398</v>
      </c>
      <c r="F464" s="4">
        <v>0.90345687342862402</v>
      </c>
      <c r="G464" s="4"/>
    </row>
    <row r="465" spans="1:7" x14ac:dyDescent="0.3">
      <c r="A465" t="s">
        <v>686</v>
      </c>
      <c r="B465" t="s">
        <v>56</v>
      </c>
      <c r="C465" s="4">
        <v>2</v>
      </c>
      <c r="D465" s="4">
        <v>0.4</v>
      </c>
      <c r="E465" s="4">
        <v>0.33333333333333298</v>
      </c>
      <c r="F465" s="4">
        <v>1</v>
      </c>
      <c r="G465" s="4"/>
    </row>
    <row r="466" spans="1:7" x14ac:dyDescent="0.3">
      <c r="A466" t="s">
        <v>686</v>
      </c>
      <c r="B466" t="s">
        <v>455</v>
      </c>
      <c r="C466" s="4">
        <v>0.8</v>
      </c>
      <c r="D466" s="4">
        <v>0.35</v>
      </c>
      <c r="E466" s="4">
        <v>0.33333333333333298</v>
      </c>
      <c r="F466" s="4">
        <v>7.4055764941341307E-2</v>
      </c>
      <c r="G466" s="4"/>
    </row>
    <row r="467" spans="1:7" x14ac:dyDescent="0.3">
      <c r="A467" t="s">
        <v>686</v>
      </c>
      <c r="B467" t="s">
        <v>456</v>
      </c>
      <c r="C467" s="4">
        <v>0.8</v>
      </c>
      <c r="D467" s="4">
        <v>0.3</v>
      </c>
      <c r="E467" s="4">
        <v>0.3125</v>
      </c>
      <c r="F467" s="4">
        <v>7.2705783650085301E-2</v>
      </c>
      <c r="G467" s="4"/>
    </row>
    <row r="468" spans="1:7" x14ac:dyDescent="0.3">
      <c r="A468" t="s">
        <v>687</v>
      </c>
      <c r="B468" t="s">
        <v>458</v>
      </c>
      <c r="C468" s="4">
        <v>1.5</v>
      </c>
      <c r="D468" s="4">
        <v>0.42857142857142899</v>
      </c>
      <c r="E468" s="4">
        <v>0.42105263157894701</v>
      </c>
      <c r="F468" s="4">
        <v>0.979312096629257</v>
      </c>
      <c r="G468" s="4"/>
    </row>
    <row r="469" spans="1:7" x14ac:dyDescent="0.3">
      <c r="A469" t="s">
        <v>687</v>
      </c>
      <c r="B469" t="s">
        <v>459</v>
      </c>
      <c r="C469" s="4">
        <v>0.75</v>
      </c>
      <c r="D469" s="4">
        <v>0.107142857142857</v>
      </c>
      <c r="E469" s="4">
        <v>0.4</v>
      </c>
      <c r="F469" s="4">
        <v>0.116909047627392</v>
      </c>
      <c r="G469" s="4"/>
    </row>
    <row r="470" spans="1:7" x14ac:dyDescent="0.3">
      <c r="A470" t="s">
        <v>687</v>
      </c>
      <c r="B470" t="s">
        <v>460</v>
      </c>
      <c r="C470" s="4">
        <v>0.75</v>
      </c>
      <c r="D470" s="4">
        <v>0</v>
      </c>
      <c r="E470" s="4">
        <v>0.34782608695652201</v>
      </c>
      <c r="F470" s="4">
        <v>0.147888950359849</v>
      </c>
      <c r="G470" s="4"/>
    </row>
    <row r="471" spans="1:7" x14ac:dyDescent="0.3">
      <c r="A471" t="s">
        <v>687</v>
      </c>
      <c r="B471" t="s">
        <v>461</v>
      </c>
      <c r="C471" s="4">
        <v>1.75</v>
      </c>
      <c r="D471" s="4">
        <v>0.42857142857142899</v>
      </c>
      <c r="E471" s="4">
        <v>0.38095238095238099</v>
      </c>
      <c r="F471" s="4">
        <v>1</v>
      </c>
      <c r="G471" s="4"/>
    </row>
    <row r="472" spans="1:7" x14ac:dyDescent="0.3">
      <c r="A472" t="s">
        <v>687</v>
      </c>
      <c r="B472" t="s">
        <v>462</v>
      </c>
      <c r="C472" s="4">
        <v>0.5</v>
      </c>
      <c r="D472" s="4">
        <v>0</v>
      </c>
      <c r="E472" s="4">
        <v>0.24242424242424199</v>
      </c>
      <c r="F472" s="4">
        <v>0.10375008095898</v>
      </c>
      <c r="G472" s="4"/>
    </row>
    <row r="473" spans="1:7" x14ac:dyDescent="0.3">
      <c r="A473" t="s">
        <v>687</v>
      </c>
      <c r="B473" t="s">
        <v>205</v>
      </c>
      <c r="C473" s="4">
        <v>0.5</v>
      </c>
      <c r="D473" s="4">
        <v>0.25</v>
      </c>
      <c r="E473" s="4">
        <v>0.30769230769230799</v>
      </c>
      <c r="F473" s="4">
        <v>3.7697681684529097E-2</v>
      </c>
      <c r="G473" s="4"/>
    </row>
    <row r="474" spans="1:7" x14ac:dyDescent="0.3">
      <c r="A474" t="s">
        <v>687</v>
      </c>
      <c r="B474" t="s">
        <v>123</v>
      </c>
      <c r="C474" s="4">
        <v>0.75</v>
      </c>
      <c r="D474" s="4">
        <v>0</v>
      </c>
      <c r="E474" s="4">
        <v>0.25</v>
      </c>
      <c r="F474" s="4">
        <v>0.31297245224541198</v>
      </c>
      <c r="G474" s="4"/>
    </row>
    <row r="475" spans="1:7" x14ac:dyDescent="0.3">
      <c r="A475" t="s">
        <v>687</v>
      </c>
      <c r="B475" t="s">
        <v>463</v>
      </c>
      <c r="C475" s="4">
        <v>0.75</v>
      </c>
      <c r="D475" s="4">
        <v>0.35714285714285698</v>
      </c>
      <c r="E475" s="4">
        <v>0.44444444444444398</v>
      </c>
      <c r="F475" s="4">
        <v>0.12313460552687901</v>
      </c>
      <c r="G475" s="4"/>
    </row>
    <row r="476" spans="1:7" x14ac:dyDescent="0.3">
      <c r="A476" t="s">
        <v>687</v>
      </c>
      <c r="B476" t="s">
        <v>337</v>
      </c>
      <c r="C476" s="4">
        <v>0.25</v>
      </c>
      <c r="D476" s="4">
        <v>0</v>
      </c>
      <c r="E476" s="4">
        <v>0.30769230769230799</v>
      </c>
      <c r="F476" s="4">
        <v>3.3447604059483202E-2</v>
      </c>
      <c r="G476" s="4"/>
    </row>
    <row r="477" spans="1:7" x14ac:dyDescent="0.3">
      <c r="A477" t="s">
        <v>688</v>
      </c>
      <c r="B477" t="s">
        <v>465</v>
      </c>
      <c r="C477" s="4">
        <v>1.1428571428571399</v>
      </c>
      <c r="D477" s="4">
        <v>0.476190476190476</v>
      </c>
      <c r="E477" s="4">
        <v>0.28000000000000003</v>
      </c>
      <c r="F477" s="4">
        <v>1</v>
      </c>
      <c r="G477" s="4"/>
    </row>
    <row r="478" spans="1:7" x14ac:dyDescent="0.3">
      <c r="A478" t="s">
        <v>688</v>
      </c>
      <c r="B478" t="s">
        <v>466</v>
      </c>
      <c r="C478" s="4">
        <v>0.57142857142857095</v>
      </c>
      <c r="D478" s="4">
        <v>0</v>
      </c>
      <c r="E478" s="4">
        <v>0.2</v>
      </c>
      <c r="F478" s="4">
        <v>0.19612003075071399</v>
      </c>
      <c r="G478" s="4"/>
    </row>
    <row r="479" spans="1:7" x14ac:dyDescent="0.3">
      <c r="A479" t="s">
        <v>688</v>
      </c>
      <c r="B479" t="s">
        <v>467</v>
      </c>
      <c r="C479" s="4">
        <v>0.57142857142857095</v>
      </c>
      <c r="D479" s="4">
        <v>0</v>
      </c>
      <c r="E479" s="4">
        <v>0.2</v>
      </c>
      <c r="F479" s="4">
        <v>0.19612003075071399</v>
      </c>
      <c r="G479" s="4"/>
    </row>
    <row r="480" spans="1:7" x14ac:dyDescent="0.3">
      <c r="A480" t="s">
        <v>688</v>
      </c>
      <c r="B480" t="s">
        <v>468</v>
      </c>
      <c r="C480" s="4">
        <v>1.4285714285714299</v>
      </c>
      <c r="D480" s="4">
        <v>0.57142857142857095</v>
      </c>
      <c r="E480" s="4">
        <v>0.33333333333333298</v>
      </c>
      <c r="F480" s="4">
        <v>0.97859293433193695</v>
      </c>
      <c r="G480" s="4"/>
    </row>
    <row r="481" spans="1:7" x14ac:dyDescent="0.3">
      <c r="A481" t="s">
        <v>688</v>
      </c>
      <c r="B481" t="s">
        <v>469</v>
      </c>
      <c r="C481" s="4">
        <v>0.85714285714285698</v>
      </c>
      <c r="D481" s="4">
        <v>0</v>
      </c>
      <c r="E481" s="4">
        <v>0.28000000000000003</v>
      </c>
      <c r="F481" s="4">
        <v>9.5960838186805605E-2</v>
      </c>
      <c r="G481" s="4"/>
    </row>
    <row r="482" spans="1:7" x14ac:dyDescent="0.3">
      <c r="A482" t="s">
        <v>688</v>
      </c>
      <c r="B482" t="s">
        <v>470</v>
      </c>
      <c r="C482" s="4">
        <v>0.85714285714285698</v>
      </c>
      <c r="D482" s="4">
        <v>0</v>
      </c>
      <c r="E482" s="4">
        <v>0.28000000000000003</v>
      </c>
      <c r="F482" s="4">
        <v>9.5960838186805703E-2</v>
      </c>
      <c r="G482" s="4"/>
    </row>
    <row r="483" spans="1:7" x14ac:dyDescent="0.3">
      <c r="A483" t="s">
        <v>688</v>
      </c>
      <c r="B483" t="s">
        <v>471</v>
      </c>
      <c r="C483" s="4">
        <v>0.85714285714285698</v>
      </c>
      <c r="D483" s="4">
        <v>0</v>
      </c>
      <c r="E483" s="4">
        <v>0.28000000000000003</v>
      </c>
      <c r="F483" s="4">
        <v>9.59608381868058E-2</v>
      </c>
      <c r="G483" s="4"/>
    </row>
    <row r="484" spans="1:7" x14ac:dyDescent="0.3">
      <c r="A484" t="s">
        <v>688</v>
      </c>
      <c r="B484" t="s">
        <v>473</v>
      </c>
      <c r="C484" s="4">
        <v>0.57142857142857095</v>
      </c>
      <c r="D484" s="4">
        <v>0.57142857142857095</v>
      </c>
      <c r="E484" s="4">
        <v>0.33333333333333298</v>
      </c>
      <c r="F484" s="4">
        <v>0.324417029351796</v>
      </c>
      <c r="G484" s="4"/>
    </row>
    <row r="485" spans="1:7" x14ac:dyDescent="0.3">
      <c r="A485" t="s">
        <v>689</v>
      </c>
      <c r="B485" t="s">
        <v>476</v>
      </c>
      <c r="C485" s="4">
        <v>0.4</v>
      </c>
      <c r="D485" s="4">
        <v>0</v>
      </c>
      <c r="E485" s="4">
        <v>0.45454545454545497</v>
      </c>
      <c r="F485" s="4">
        <v>5.6313443279017203E-2</v>
      </c>
      <c r="G485" s="4"/>
    </row>
    <row r="486" spans="1:7" x14ac:dyDescent="0.3">
      <c r="A486" t="s">
        <v>689</v>
      </c>
      <c r="B486" t="s">
        <v>477</v>
      </c>
      <c r="C486" s="4">
        <v>2</v>
      </c>
      <c r="D486" s="4">
        <v>0.9</v>
      </c>
      <c r="E486" s="4">
        <v>0.71428571428571397</v>
      </c>
      <c r="F486" s="4">
        <v>0.943623203090448</v>
      </c>
      <c r="G486" s="4"/>
    </row>
    <row r="487" spans="1:7" x14ac:dyDescent="0.3">
      <c r="A487" t="s">
        <v>689</v>
      </c>
      <c r="B487" t="s">
        <v>478</v>
      </c>
      <c r="C487" s="4">
        <v>1.2</v>
      </c>
      <c r="D487" s="4">
        <v>0</v>
      </c>
      <c r="E487" s="4">
        <v>0.38461538461538503</v>
      </c>
      <c r="F487" s="4">
        <v>1</v>
      </c>
      <c r="G487" s="4"/>
    </row>
    <row r="488" spans="1:7" x14ac:dyDescent="0.3">
      <c r="A488" t="s">
        <v>689</v>
      </c>
      <c r="B488" t="s">
        <v>480</v>
      </c>
      <c r="C488" s="4">
        <v>0.8</v>
      </c>
      <c r="D488" s="4">
        <v>0</v>
      </c>
      <c r="E488" s="4">
        <v>0.45454545454545497</v>
      </c>
      <c r="F488" s="4">
        <v>0.41438079322072602</v>
      </c>
      <c r="G488" s="4"/>
    </row>
    <row r="489" spans="1:7" x14ac:dyDescent="0.3">
      <c r="A489" t="s">
        <v>689</v>
      </c>
      <c r="B489" t="s">
        <v>56</v>
      </c>
      <c r="C489" s="4">
        <v>0.4</v>
      </c>
      <c r="D489" s="4">
        <v>0</v>
      </c>
      <c r="E489" s="4">
        <v>0.33333333333333298</v>
      </c>
      <c r="F489" s="4">
        <v>0.112626886558034</v>
      </c>
      <c r="G489" s="4"/>
    </row>
    <row r="490" spans="1:7" x14ac:dyDescent="0.3">
      <c r="A490" t="s">
        <v>689</v>
      </c>
      <c r="B490" t="s">
        <v>481</v>
      </c>
      <c r="C490" s="4">
        <v>0.8</v>
      </c>
      <c r="D490" s="4">
        <v>0.4</v>
      </c>
      <c r="E490" s="4">
        <v>0.55555555555555602</v>
      </c>
      <c r="F490" s="4">
        <v>0.115991334935969</v>
      </c>
      <c r="G490" s="4"/>
    </row>
    <row r="491" spans="1:7" x14ac:dyDescent="0.3">
      <c r="A491" t="s">
        <v>690</v>
      </c>
      <c r="B491" t="s">
        <v>483</v>
      </c>
      <c r="C491" s="4">
        <v>2</v>
      </c>
      <c r="D491" s="4">
        <v>0.11111111111111099</v>
      </c>
      <c r="E491" s="4">
        <v>0.269230769230769</v>
      </c>
      <c r="F491" s="4">
        <v>1</v>
      </c>
      <c r="G491" s="4"/>
    </row>
    <row r="492" spans="1:7" x14ac:dyDescent="0.3">
      <c r="A492" t="s">
        <v>690</v>
      </c>
      <c r="B492" t="s">
        <v>484</v>
      </c>
      <c r="C492" s="4">
        <v>2</v>
      </c>
      <c r="D492" s="4">
        <v>3.1746031746031703E-2</v>
      </c>
      <c r="E492" s="4">
        <v>0.233333333333333</v>
      </c>
      <c r="F492" s="4">
        <v>0.83169000866847098</v>
      </c>
      <c r="G492" s="4"/>
    </row>
    <row r="493" spans="1:7" x14ac:dyDescent="0.3">
      <c r="A493" t="s">
        <v>690</v>
      </c>
      <c r="B493" t="s">
        <v>106</v>
      </c>
      <c r="C493" s="4">
        <v>1.4285714285714299</v>
      </c>
      <c r="D493" s="4">
        <v>0</v>
      </c>
      <c r="E493" s="4">
        <v>0.116666666666667</v>
      </c>
      <c r="F493" s="4">
        <v>0.739252769085332</v>
      </c>
      <c r="G493" s="4"/>
    </row>
    <row r="494" spans="1:7" x14ac:dyDescent="0.3">
      <c r="A494" t="s">
        <v>690</v>
      </c>
      <c r="B494" t="s">
        <v>100</v>
      </c>
      <c r="C494" s="4">
        <v>2</v>
      </c>
      <c r="D494" s="4">
        <v>0.11111111111111099</v>
      </c>
      <c r="E494" s="4">
        <v>0.269230769230769</v>
      </c>
      <c r="F494" s="4">
        <v>0.77204975762844896</v>
      </c>
      <c r="G494" s="4"/>
    </row>
    <row r="495" spans="1:7" x14ac:dyDescent="0.3">
      <c r="A495" t="s">
        <v>690</v>
      </c>
      <c r="B495" t="s">
        <v>205</v>
      </c>
      <c r="C495" s="4">
        <v>0.85714285714285698</v>
      </c>
      <c r="D495" s="4">
        <v>0.182539682539683</v>
      </c>
      <c r="E495" s="4">
        <v>0.25</v>
      </c>
      <c r="F495" s="4">
        <v>2.3894815022153799E-2</v>
      </c>
      <c r="G495" s="4"/>
    </row>
    <row r="496" spans="1:7" x14ac:dyDescent="0.3">
      <c r="A496" t="s">
        <v>690</v>
      </c>
      <c r="B496" t="s">
        <v>51</v>
      </c>
      <c r="C496" s="4">
        <v>1.4285714285714299</v>
      </c>
      <c r="D496" s="4">
        <v>0.28571428571428598</v>
      </c>
      <c r="E496" s="4">
        <v>0.194444444444444</v>
      </c>
      <c r="F496" s="4">
        <v>0.19775098609363001</v>
      </c>
      <c r="G496" s="4"/>
    </row>
    <row r="497" spans="1:7" x14ac:dyDescent="0.3">
      <c r="A497" t="s">
        <v>690</v>
      </c>
      <c r="B497" t="s">
        <v>486</v>
      </c>
      <c r="C497" s="4">
        <v>1.71428571428571</v>
      </c>
      <c r="D497" s="4">
        <v>0.34920634920634902</v>
      </c>
      <c r="E497" s="4">
        <v>0.233333333333333</v>
      </c>
      <c r="F497" s="4">
        <v>0.59838906358420996</v>
      </c>
      <c r="G497" s="4"/>
    </row>
    <row r="498" spans="1:7" x14ac:dyDescent="0.3">
      <c r="A498" t="s">
        <v>690</v>
      </c>
      <c r="B498" t="s">
        <v>149</v>
      </c>
      <c r="C498" s="4">
        <v>1.1428571428571399</v>
      </c>
      <c r="D498" s="4">
        <v>0.46825396825396798</v>
      </c>
      <c r="E498" s="4">
        <v>0.29166666666666702</v>
      </c>
      <c r="F498" s="4">
        <v>5.5634294847443901E-2</v>
      </c>
      <c r="G498" s="4"/>
    </row>
    <row r="499" spans="1:7" x14ac:dyDescent="0.3">
      <c r="A499" t="s">
        <v>691</v>
      </c>
      <c r="B499" t="s">
        <v>115</v>
      </c>
      <c r="C499" s="4">
        <v>2</v>
      </c>
      <c r="D499" s="4">
        <v>0</v>
      </c>
      <c r="E499" s="4">
        <v>0.29411764705882398</v>
      </c>
      <c r="F499" s="4">
        <v>1</v>
      </c>
      <c r="G499" s="4"/>
    </row>
    <row r="500" spans="1:7" x14ac:dyDescent="0.3">
      <c r="A500" t="s">
        <v>691</v>
      </c>
      <c r="B500" t="s">
        <v>51</v>
      </c>
      <c r="C500" s="4">
        <v>2</v>
      </c>
      <c r="D500" s="4">
        <v>0</v>
      </c>
      <c r="E500" s="4">
        <v>0.41666666666666702</v>
      </c>
      <c r="F500" s="4">
        <v>0.74076625529934303</v>
      </c>
      <c r="G500" s="4"/>
    </row>
    <row r="501" spans="1:7" x14ac:dyDescent="0.3">
      <c r="A501" t="s">
        <v>691</v>
      </c>
      <c r="B501" t="s">
        <v>488</v>
      </c>
      <c r="C501" s="4">
        <v>1.2</v>
      </c>
      <c r="D501" s="4">
        <v>0.15</v>
      </c>
      <c r="E501" s="4">
        <v>0.41666666666666702</v>
      </c>
      <c r="F501" s="4">
        <v>0.39059917548970902</v>
      </c>
      <c r="G501" s="4"/>
    </row>
    <row r="502" spans="1:7" x14ac:dyDescent="0.3">
      <c r="A502" t="s">
        <v>691</v>
      </c>
      <c r="B502" t="s">
        <v>489</v>
      </c>
      <c r="C502" s="4">
        <v>2</v>
      </c>
      <c r="D502" s="4">
        <v>0.25</v>
      </c>
      <c r="E502" s="4">
        <v>0.5</v>
      </c>
      <c r="F502" s="4">
        <v>0.735962824898442</v>
      </c>
      <c r="G502" s="4"/>
    </row>
    <row r="503" spans="1:7" x14ac:dyDescent="0.3">
      <c r="A503" t="s">
        <v>691</v>
      </c>
      <c r="B503" t="s">
        <v>490</v>
      </c>
      <c r="C503" s="4">
        <v>1.6</v>
      </c>
      <c r="D503" s="4">
        <v>0.05</v>
      </c>
      <c r="E503" s="4">
        <v>0.45454545454545497</v>
      </c>
      <c r="F503" s="4">
        <v>0.50120521923078298</v>
      </c>
      <c r="G503" s="4"/>
    </row>
    <row r="504" spans="1:7" x14ac:dyDescent="0.3">
      <c r="A504" t="s">
        <v>691</v>
      </c>
      <c r="B504" t="s">
        <v>85</v>
      </c>
      <c r="C504" s="4">
        <v>1.6</v>
      </c>
      <c r="D504" s="4">
        <v>0</v>
      </c>
      <c r="E504" s="4">
        <v>0.41666666666666702</v>
      </c>
      <c r="F504" s="4">
        <v>0.56931726303234798</v>
      </c>
      <c r="G504" s="4"/>
    </row>
    <row r="505" spans="1:7" x14ac:dyDescent="0.3">
      <c r="A505" t="s">
        <v>692</v>
      </c>
      <c r="B505" t="s">
        <v>85</v>
      </c>
      <c r="C505" s="4">
        <v>2</v>
      </c>
      <c r="D505" s="4">
        <v>0.16666666666666699</v>
      </c>
      <c r="E505" s="4">
        <v>0.44444444444444398</v>
      </c>
      <c r="F505" s="4">
        <v>1</v>
      </c>
      <c r="G505" s="4"/>
    </row>
    <row r="506" spans="1:7" x14ac:dyDescent="0.3">
      <c r="A506" t="s">
        <v>692</v>
      </c>
      <c r="B506" t="s">
        <v>115</v>
      </c>
      <c r="C506" s="4">
        <v>2</v>
      </c>
      <c r="D506" s="4">
        <v>0.16666666666666699</v>
      </c>
      <c r="E506" s="4">
        <v>0.44444444444444398</v>
      </c>
      <c r="F506" s="4">
        <v>0.78652875862854299</v>
      </c>
      <c r="G506" s="4"/>
    </row>
    <row r="507" spans="1:7" x14ac:dyDescent="0.3">
      <c r="A507" t="s">
        <v>692</v>
      </c>
      <c r="B507" t="s">
        <v>492</v>
      </c>
      <c r="C507" s="4">
        <v>1.5</v>
      </c>
      <c r="D507" s="4">
        <v>0</v>
      </c>
      <c r="E507" s="4">
        <v>0.266666666666667</v>
      </c>
      <c r="F507" s="4">
        <v>0.93947963678087598</v>
      </c>
      <c r="G507" s="4"/>
    </row>
    <row r="508" spans="1:7" x14ac:dyDescent="0.3">
      <c r="A508" t="s">
        <v>692</v>
      </c>
      <c r="B508" t="s">
        <v>493</v>
      </c>
      <c r="C508" s="4">
        <v>1.5</v>
      </c>
      <c r="D508" s="4">
        <v>0.5</v>
      </c>
      <c r="E508" s="4">
        <v>0.44444444444444398</v>
      </c>
      <c r="F508" s="4">
        <v>0.22521804258280201</v>
      </c>
      <c r="G508" s="4"/>
    </row>
    <row r="509" spans="1:7" x14ac:dyDescent="0.3">
      <c r="A509" t="s">
        <v>692</v>
      </c>
      <c r="B509" t="s">
        <v>100</v>
      </c>
      <c r="C509" s="4">
        <v>1</v>
      </c>
      <c r="D509" s="4">
        <v>0.16666666666666699</v>
      </c>
      <c r="E509" s="4">
        <v>0.4</v>
      </c>
      <c r="F509" s="4">
        <v>7.3799939632206296E-2</v>
      </c>
      <c r="G509" s="4"/>
    </row>
    <row r="510" spans="1:7" x14ac:dyDescent="0.3">
      <c r="A510" t="s">
        <v>693</v>
      </c>
      <c r="B510" t="s">
        <v>56</v>
      </c>
      <c r="C510" s="4">
        <v>0.33333333333333298</v>
      </c>
      <c r="D510" s="4">
        <v>0</v>
      </c>
      <c r="E510" s="4">
        <v>0.26086956521739102</v>
      </c>
      <c r="F510" s="4">
        <v>0.58180079134140095</v>
      </c>
      <c r="G510" s="4"/>
    </row>
    <row r="511" spans="1:7" x14ac:dyDescent="0.3">
      <c r="A511" t="s">
        <v>693</v>
      </c>
      <c r="B511" t="s">
        <v>496</v>
      </c>
      <c r="C511" s="4">
        <v>1.6666666666666701</v>
      </c>
      <c r="D511" s="4">
        <v>0.174242424242424</v>
      </c>
      <c r="E511" s="4">
        <v>0.33333333333333298</v>
      </c>
      <c r="F511" s="4">
        <v>1</v>
      </c>
      <c r="G511" s="4"/>
    </row>
    <row r="512" spans="1:7" x14ac:dyDescent="0.3">
      <c r="A512" t="s">
        <v>693</v>
      </c>
      <c r="B512" t="s">
        <v>497</v>
      </c>
      <c r="C512" s="4">
        <v>0.66666666666666696</v>
      </c>
      <c r="D512" s="4">
        <v>7.5757575757575801E-2</v>
      </c>
      <c r="E512" s="4">
        <v>0.375</v>
      </c>
      <c r="F512" s="4">
        <v>0.25966705918486499</v>
      </c>
      <c r="G512" s="4"/>
    </row>
    <row r="513" spans="1:7" x14ac:dyDescent="0.3">
      <c r="A513" t="s">
        <v>693</v>
      </c>
      <c r="B513" t="s">
        <v>255</v>
      </c>
      <c r="C513" s="4">
        <v>1.3333333333333299</v>
      </c>
      <c r="D513" s="4">
        <v>0.54545454545454497</v>
      </c>
      <c r="E513" s="4">
        <v>0.5</v>
      </c>
      <c r="F513" s="4">
        <v>0.61955072261073696</v>
      </c>
      <c r="G513" s="4"/>
    </row>
    <row r="514" spans="1:7" x14ac:dyDescent="0.3">
      <c r="A514" t="s">
        <v>693</v>
      </c>
      <c r="B514" t="s">
        <v>498</v>
      </c>
      <c r="C514" s="4">
        <v>0.16666666666666699</v>
      </c>
      <c r="D514" s="4">
        <v>0</v>
      </c>
      <c r="E514" s="4">
        <v>0.34285714285714303</v>
      </c>
      <c r="F514" s="4">
        <v>1.9762766371668E-2</v>
      </c>
      <c r="G514" s="4"/>
    </row>
    <row r="515" spans="1:7" x14ac:dyDescent="0.3">
      <c r="A515" t="s">
        <v>693</v>
      </c>
      <c r="B515" t="s">
        <v>499</v>
      </c>
      <c r="C515" s="4">
        <v>0.66666666666666696</v>
      </c>
      <c r="D515" s="4">
        <v>0.11363636363636399</v>
      </c>
      <c r="E515" s="4">
        <v>0.38709677419354799</v>
      </c>
      <c r="F515" s="4">
        <v>0.12399173468724201</v>
      </c>
      <c r="G515" s="4"/>
    </row>
    <row r="516" spans="1:7" x14ac:dyDescent="0.3">
      <c r="A516" t="s">
        <v>693</v>
      </c>
      <c r="B516" t="s">
        <v>500</v>
      </c>
      <c r="C516" s="4">
        <v>0.66666666666666696</v>
      </c>
      <c r="D516" s="4">
        <v>2.5252525252525301E-2</v>
      </c>
      <c r="E516" s="4">
        <v>0.38709677419354799</v>
      </c>
      <c r="F516" s="4">
        <v>0.23995819381793601</v>
      </c>
      <c r="G516" s="4"/>
    </row>
    <row r="517" spans="1:7" x14ac:dyDescent="0.3">
      <c r="A517" t="s">
        <v>693</v>
      </c>
      <c r="B517" t="s">
        <v>502</v>
      </c>
      <c r="C517" s="4">
        <v>0.83333333333333304</v>
      </c>
      <c r="D517" s="4">
        <v>2.27272727272727E-2</v>
      </c>
      <c r="E517" s="4">
        <v>0.30769230769230799</v>
      </c>
      <c r="F517" s="4">
        <v>0.40048964481880001</v>
      </c>
      <c r="G517" s="4"/>
    </row>
    <row r="518" spans="1:7" x14ac:dyDescent="0.3">
      <c r="A518" t="s">
        <v>693</v>
      </c>
      <c r="B518" t="s">
        <v>503</v>
      </c>
      <c r="C518" s="4">
        <v>0.16666666666666699</v>
      </c>
      <c r="D518" s="4">
        <v>0</v>
      </c>
      <c r="E518" s="4">
        <v>0.25531914893617003</v>
      </c>
      <c r="F518" s="4">
        <v>3.1898544623415598E-2</v>
      </c>
      <c r="G518" s="4"/>
    </row>
    <row r="519" spans="1:7" x14ac:dyDescent="0.3">
      <c r="A519" t="s">
        <v>693</v>
      </c>
      <c r="B519" t="s">
        <v>504</v>
      </c>
      <c r="C519" s="4">
        <v>0.33333333333333298</v>
      </c>
      <c r="D519" s="4">
        <v>1.5151515151515201E-2</v>
      </c>
      <c r="E519" s="4">
        <v>0.34285714285714303</v>
      </c>
      <c r="F519" s="4">
        <v>3.8564869156755999E-2</v>
      </c>
      <c r="G519" s="4"/>
    </row>
    <row r="520" spans="1:7" x14ac:dyDescent="0.3">
      <c r="A520" t="s">
        <v>693</v>
      </c>
      <c r="B520" t="s">
        <v>100</v>
      </c>
      <c r="C520" s="4">
        <v>1</v>
      </c>
      <c r="D520" s="4">
        <v>0.26767676767676801</v>
      </c>
      <c r="E520" s="4">
        <v>0.46153846153846201</v>
      </c>
      <c r="F520" s="4">
        <v>0.40800593561455401</v>
      </c>
      <c r="G520" s="4"/>
    </row>
    <row r="521" spans="1:7" x14ac:dyDescent="0.3">
      <c r="A521" t="s">
        <v>693</v>
      </c>
      <c r="B521" t="s">
        <v>505</v>
      </c>
      <c r="C521" s="4">
        <v>0.5</v>
      </c>
      <c r="D521" s="4">
        <v>4.5454545454545497E-2</v>
      </c>
      <c r="E521" s="4">
        <v>0.32432432432432401</v>
      </c>
      <c r="F521" s="4">
        <v>0.10260171714093801</v>
      </c>
      <c r="G521" s="4"/>
    </row>
    <row r="522" spans="1:7" x14ac:dyDescent="0.3">
      <c r="A522" t="s">
        <v>693</v>
      </c>
      <c r="B522" t="s">
        <v>197</v>
      </c>
      <c r="C522" s="4">
        <v>0.33333333333333298</v>
      </c>
      <c r="D522" s="4">
        <v>0.12121212121212099</v>
      </c>
      <c r="E522" s="4">
        <v>0.38709677419354799</v>
      </c>
      <c r="F522" s="4">
        <v>8.3559855618499199E-2</v>
      </c>
      <c r="G522" s="4"/>
    </row>
    <row r="523" spans="1:7" x14ac:dyDescent="0.3">
      <c r="A523" t="s">
        <v>694</v>
      </c>
      <c r="B523" t="s">
        <v>115</v>
      </c>
      <c r="G523" s="4"/>
    </row>
    <row r="524" spans="1:7" x14ac:dyDescent="0.3">
      <c r="A524" t="s">
        <v>694</v>
      </c>
      <c r="B524" t="s">
        <v>323</v>
      </c>
      <c r="G524" s="4"/>
    </row>
    <row r="525" spans="1:7" x14ac:dyDescent="0.3">
      <c r="A525" t="s">
        <v>695</v>
      </c>
      <c r="B525" t="s">
        <v>508</v>
      </c>
      <c r="C525" s="4">
        <v>1</v>
      </c>
      <c r="D525" s="4">
        <v>0.5</v>
      </c>
      <c r="E525" s="4">
        <v>0.133333333333333</v>
      </c>
      <c r="F525" s="4">
        <v>1</v>
      </c>
      <c r="G525" s="4"/>
    </row>
    <row r="526" spans="1:7" x14ac:dyDescent="0.3">
      <c r="A526" t="s">
        <v>695</v>
      </c>
      <c r="B526" t="s">
        <v>509</v>
      </c>
      <c r="C526" s="4">
        <v>0.5</v>
      </c>
      <c r="D526" s="4">
        <v>0</v>
      </c>
      <c r="E526" s="4">
        <v>0.102564102564103</v>
      </c>
      <c r="F526" s="4">
        <v>0.33993198216549397</v>
      </c>
      <c r="G526" s="4"/>
    </row>
    <row r="527" spans="1:7" x14ac:dyDescent="0.3">
      <c r="A527" t="s">
        <v>695</v>
      </c>
      <c r="B527" t="s">
        <v>510</v>
      </c>
      <c r="C527" s="4">
        <v>1.5</v>
      </c>
      <c r="D527" s="4">
        <v>0.66666666666666696</v>
      </c>
      <c r="E527" s="4">
        <v>0.18181818181818199</v>
      </c>
      <c r="F527" s="4">
        <v>0.97568737339759604</v>
      </c>
      <c r="G527" s="4"/>
    </row>
    <row r="528" spans="1:7" x14ac:dyDescent="0.3">
      <c r="A528" t="s">
        <v>695</v>
      </c>
      <c r="B528" t="s">
        <v>511</v>
      </c>
      <c r="C528" s="4">
        <v>1</v>
      </c>
      <c r="D528" s="4">
        <v>0.25</v>
      </c>
      <c r="E528" s="4">
        <v>0.173913043478261</v>
      </c>
      <c r="F528" s="4">
        <v>0.13737386314941699</v>
      </c>
      <c r="G528" s="4"/>
    </row>
    <row r="529" spans="1:7" x14ac:dyDescent="0.3">
      <c r="A529" t="s">
        <v>695</v>
      </c>
      <c r="B529" t="s">
        <v>513</v>
      </c>
      <c r="C529" s="4">
        <v>1</v>
      </c>
      <c r="D529" s="4">
        <v>0</v>
      </c>
      <c r="E529" s="4">
        <v>0.15384615384615399</v>
      </c>
      <c r="F529" s="4">
        <v>0.23667748507462999</v>
      </c>
      <c r="G529" s="4"/>
    </row>
    <row r="530" spans="1:7" x14ac:dyDescent="0.3">
      <c r="A530" t="s">
        <v>696</v>
      </c>
      <c r="B530" t="s">
        <v>333</v>
      </c>
      <c r="C530" s="4">
        <v>0.8</v>
      </c>
      <c r="D530" s="4">
        <v>0</v>
      </c>
      <c r="E530" s="4">
        <v>0.26315789473684198</v>
      </c>
      <c r="F530" s="4">
        <v>0.38297489003732998</v>
      </c>
      <c r="G530" s="4"/>
    </row>
    <row r="531" spans="1:7" x14ac:dyDescent="0.3">
      <c r="A531" t="s">
        <v>696</v>
      </c>
      <c r="B531" t="s">
        <v>155</v>
      </c>
      <c r="C531" s="4">
        <v>2</v>
      </c>
      <c r="D531" s="4">
        <v>0.4</v>
      </c>
      <c r="E531" s="4">
        <v>0.55555555555555602</v>
      </c>
      <c r="F531" s="4">
        <v>0.90094010786408596</v>
      </c>
      <c r="G531" s="4"/>
    </row>
    <row r="532" spans="1:7" x14ac:dyDescent="0.3">
      <c r="A532" t="s">
        <v>696</v>
      </c>
      <c r="B532" t="s">
        <v>516</v>
      </c>
      <c r="C532" s="4">
        <v>0.8</v>
      </c>
      <c r="D532" s="4">
        <v>0</v>
      </c>
      <c r="E532" s="4">
        <v>0.41666666666666702</v>
      </c>
      <c r="F532" s="4">
        <v>0.19481364584081901</v>
      </c>
      <c r="G532" s="4"/>
    </row>
    <row r="533" spans="1:7" x14ac:dyDescent="0.3">
      <c r="A533" t="s">
        <v>696</v>
      </c>
      <c r="B533" t="s">
        <v>517</v>
      </c>
      <c r="C533" s="4">
        <v>2</v>
      </c>
      <c r="D533" s="4">
        <v>0.1</v>
      </c>
      <c r="E533" s="4">
        <v>0.5</v>
      </c>
      <c r="F533" s="4">
        <v>1</v>
      </c>
      <c r="G533" s="4"/>
    </row>
    <row r="534" spans="1:7" x14ac:dyDescent="0.3">
      <c r="A534" t="s">
        <v>696</v>
      </c>
      <c r="B534" t="s">
        <v>518</v>
      </c>
      <c r="C534" s="4">
        <v>1.2</v>
      </c>
      <c r="D534" s="4">
        <v>0</v>
      </c>
      <c r="E534" s="4">
        <v>0.38461538461538503</v>
      </c>
      <c r="F534" s="4">
        <v>0.72393701245144604</v>
      </c>
      <c r="G534" s="4"/>
    </row>
    <row r="535" spans="1:7" x14ac:dyDescent="0.3">
      <c r="A535" t="s">
        <v>696</v>
      </c>
      <c r="B535" t="s">
        <v>520</v>
      </c>
      <c r="C535" s="4">
        <v>1.2</v>
      </c>
      <c r="D535" s="4">
        <v>0.5</v>
      </c>
      <c r="E535" s="4">
        <v>0.55555555555555602</v>
      </c>
      <c r="F535" s="4">
        <v>0.17627453952137201</v>
      </c>
      <c r="G535" s="4"/>
    </row>
    <row r="536" spans="1:7" x14ac:dyDescent="0.3">
      <c r="A536" t="s">
        <v>697</v>
      </c>
      <c r="B536" t="s">
        <v>56</v>
      </c>
      <c r="C536" s="4">
        <v>1.5</v>
      </c>
      <c r="D536" s="4">
        <v>0.32142857142857101</v>
      </c>
      <c r="E536" s="4">
        <v>0.42105263157894701</v>
      </c>
      <c r="F536" s="4">
        <v>1</v>
      </c>
      <c r="G536" s="4"/>
    </row>
    <row r="537" spans="1:7" x14ac:dyDescent="0.3">
      <c r="A537" t="s">
        <v>697</v>
      </c>
      <c r="B537" t="s">
        <v>100</v>
      </c>
      <c r="C537" s="4">
        <v>0.25</v>
      </c>
      <c r="D537" s="4">
        <v>0</v>
      </c>
      <c r="E537" s="4">
        <v>0.32</v>
      </c>
      <c r="F537" s="4">
        <v>7.8383965115572801E-2</v>
      </c>
      <c r="G537" s="4"/>
    </row>
    <row r="538" spans="1:7" x14ac:dyDescent="0.3">
      <c r="A538" t="s">
        <v>697</v>
      </c>
      <c r="B538" t="s">
        <v>106</v>
      </c>
      <c r="C538" s="4">
        <v>1.25</v>
      </c>
      <c r="D538" s="4">
        <v>0.107142857142857</v>
      </c>
      <c r="E538" s="4">
        <v>0.38095238095238099</v>
      </c>
      <c r="F538" s="4">
        <v>0.99683395754702397</v>
      </c>
      <c r="G538" s="4"/>
    </row>
    <row r="539" spans="1:7" x14ac:dyDescent="0.3">
      <c r="A539" t="s">
        <v>697</v>
      </c>
      <c r="B539" t="s">
        <v>258</v>
      </c>
      <c r="C539" s="4">
        <v>1</v>
      </c>
      <c r="D539" s="4">
        <v>1.7857142857142901E-2</v>
      </c>
      <c r="E539" s="4">
        <v>0.38095238095238099</v>
      </c>
      <c r="F539" s="4">
        <v>0.185618845489193</v>
      </c>
      <c r="G539" s="4"/>
    </row>
    <row r="540" spans="1:7" x14ac:dyDescent="0.3">
      <c r="A540" t="s">
        <v>697</v>
      </c>
      <c r="B540" t="s">
        <v>407</v>
      </c>
      <c r="C540" s="4">
        <v>1</v>
      </c>
      <c r="D540" s="4">
        <v>1.7857142857142901E-2</v>
      </c>
      <c r="E540" s="4">
        <v>0.38095238095238099</v>
      </c>
      <c r="F540" s="4">
        <v>0.185618845489192</v>
      </c>
      <c r="G540" s="4"/>
    </row>
    <row r="541" spans="1:7" x14ac:dyDescent="0.3">
      <c r="A541" t="s">
        <v>697</v>
      </c>
      <c r="B541" t="s">
        <v>85</v>
      </c>
      <c r="C541" s="4">
        <v>1</v>
      </c>
      <c r="D541" s="4">
        <v>1.7857142857142901E-2</v>
      </c>
      <c r="E541" s="4">
        <v>0.38095238095238099</v>
      </c>
      <c r="F541" s="4">
        <v>0.185618845489193</v>
      </c>
      <c r="G541" s="4"/>
    </row>
    <row r="542" spans="1:7" x14ac:dyDescent="0.3">
      <c r="A542" t="s">
        <v>697</v>
      </c>
      <c r="B542" t="s">
        <v>256</v>
      </c>
      <c r="C542" s="4">
        <v>0.75</v>
      </c>
      <c r="D542" s="4">
        <v>0.23214285714285701</v>
      </c>
      <c r="E542" s="4">
        <v>0.38095238095238099</v>
      </c>
      <c r="F542" s="4">
        <v>0.16046333982659999</v>
      </c>
      <c r="G542" s="4"/>
    </row>
    <row r="543" spans="1:7" x14ac:dyDescent="0.3">
      <c r="A543" t="s">
        <v>697</v>
      </c>
      <c r="B543" t="s">
        <v>289</v>
      </c>
      <c r="C543" s="4">
        <v>0.25</v>
      </c>
      <c r="D543" s="4">
        <v>0</v>
      </c>
      <c r="E543" s="4">
        <v>0.24242424242424199</v>
      </c>
      <c r="F543" s="4">
        <v>2.5155505662592999E-2</v>
      </c>
      <c r="G543" s="4"/>
    </row>
    <row r="544" spans="1:7" x14ac:dyDescent="0.3">
      <c r="A544" t="s">
        <v>697</v>
      </c>
      <c r="B544" t="s">
        <v>511</v>
      </c>
      <c r="C544" s="4">
        <v>0</v>
      </c>
      <c r="D544" s="4">
        <v>0</v>
      </c>
      <c r="E544" s="4">
        <v>0.11111111111111099</v>
      </c>
      <c r="F544" s="4">
        <v>1.10144031914012E-17</v>
      </c>
      <c r="G544" s="4"/>
    </row>
    <row r="545" spans="1:7" x14ac:dyDescent="0.3">
      <c r="A545" t="s">
        <v>698</v>
      </c>
      <c r="B545" t="s">
        <v>523</v>
      </c>
      <c r="C545" s="4">
        <v>2</v>
      </c>
      <c r="D545" s="4">
        <v>0.16666666666666699</v>
      </c>
      <c r="E545" s="4">
        <v>0.75</v>
      </c>
      <c r="F545" s="4">
        <v>1</v>
      </c>
      <c r="G545" s="4"/>
    </row>
    <row r="546" spans="1:7" x14ac:dyDescent="0.3">
      <c r="A546" t="s">
        <v>698</v>
      </c>
      <c r="B546" t="s">
        <v>524</v>
      </c>
      <c r="C546" s="4">
        <v>2</v>
      </c>
      <c r="D546" s="4">
        <v>0.16666666666666699</v>
      </c>
      <c r="E546" s="4">
        <v>0.75</v>
      </c>
      <c r="F546" s="4">
        <v>1</v>
      </c>
      <c r="G546" s="4"/>
    </row>
    <row r="547" spans="1:7" x14ac:dyDescent="0.3">
      <c r="A547" t="s">
        <v>698</v>
      </c>
      <c r="B547" t="s">
        <v>423</v>
      </c>
      <c r="C547" s="4">
        <v>1.3333333333333299</v>
      </c>
      <c r="D547" s="4">
        <v>0.16666666666666699</v>
      </c>
      <c r="E547" s="4">
        <v>0.75</v>
      </c>
      <c r="F547" s="4">
        <v>0.140054944640259</v>
      </c>
      <c r="G547" s="4"/>
    </row>
    <row r="548" spans="1:7" x14ac:dyDescent="0.3">
      <c r="A548" t="s">
        <v>698</v>
      </c>
      <c r="B548" t="s">
        <v>525</v>
      </c>
      <c r="C548" s="4">
        <v>1.3333333333333299</v>
      </c>
      <c r="D548" s="4">
        <v>0.16666666666666699</v>
      </c>
      <c r="E548" s="4">
        <v>0.75</v>
      </c>
      <c r="F548" s="4">
        <v>0.140054944640259</v>
      </c>
      <c r="G548" s="4"/>
    </row>
    <row r="549" spans="1:7" x14ac:dyDescent="0.3">
      <c r="A549" t="s">
        <v>699</v>
      </c>
      <c r="B549" t="s">
        <v>115</v>
      </c>
      <c r="C549" s="4">
        <v>2</v>
      </c>
      <c r="D549" s="4">
        <v>0.25</v>
      </c>
      <c r="E549" s="4">
        <v>0.33333333333333298</v>
      </c>
      <c r="F549" s="4">
        <v>1</v>
      </c>
      <c r="G549" s="4"/>
    </row>
    <row r="550" spans="1:7" x14ac:dyDescent="0.3">
      <c r="A550" t="s">
        <v>699</v>
      </c>
      <c r="B550" t="s">
        <v>85</v>
      </c>
      <c r="C550" s="4">
        <v>2</v>
      </c>
      <c r="D550" s="4">
        <v>0.25</v>
      </c>
      <c r="E550" s="4">
        <v>0.33333333333333298</v>
      </c>
      <c r="F550" s="4">
        <v>1</v>
      </c>
      <c r="G550" s="4"/>
    </row>
    <row r="551" spans="1:7" x14ac:dyDescent="0.3">
      <c r="A551" t="s">
        <v>699</v>
      </c>
      <c r="B551" t="s">
        <v>527</v>
      </c>
      <c r="C551" s="4">
        <v>1</v>
      </c>
      <c r="D551" s="4">
        <v>0.16666666666666699</v>
      </c>
      <c r="E551" s="4">
        <v>0.30769230769230799</v>
      </c>
      <c r="F551" s="4">
        <v>0.11111111111111099</v>
      </c>
      <c r="G551" s="4"/>
    </row>
    <row r="552" spans="1:7" x14ac:dyDescent="0.3">
      <c r="A552" t="s">
        <v>699</v>
      </c>
      <c r="B552" t="s">
        <v>528</v>
      </c>
      <c r="C552" s="4">
        <v>1</v>
      </c>
      <c r="D552" s="4">
        <v>0</v>
      </c>
      <c r="E552" s="4">
        <v>0.25</v>
      </c>
      <c r="F552" s="4">
        <v>0.22222222222222199</v>
      </c>
      <c r="G552" s="4"/>
    </row>
    <row r="553" spans="1:7" x14ac:dyDescent="0.3">
      <c r="A553" t="s">
        <v>699</v>
      </c>
      <c r="B553" t="s">
        <v>529</v>
      </c>
      <c r="C553" s="4">
        <v>1</v>
      </c>
      <c r="D553" s="4">
        <v>0</v>
      </c>
      <c r="E553" s="4">
        <v>0.12903225806451599</v>
      </c>
      <c r="F553" s="4">
        <v>0.77777777777777801</v>
      </c>
      <c r="G553" s="4"/>
    </row>
    <row r="554" spans="1:7" x14ac:dyDescent="0.3">
      <c r="A554" t="s">
        <v>700</v>
      </c>
      <c r="B554" t="s">
        <v>532</v>
      </c>
      <c r="C554" s="4">
        <v>0.57142857142857095</v>
      </c>
      <c r="D554" s="4">
        <v>3.1135531135531101E-2</v>
      </c>
      <c r="E554" s="4">
        <v>0.32558139534883701</v>
      </c>
      <c r="F554" s="4">
        <v>0.156569428317231</v>
      </c>
      <c r="G554" s="4"/>
    </row>
    <row r="555" spans="1:7" x14ac:dyDescent="0.3">
      <c r="A555" t="s">
        <v>700</v>
      </c>
      <c r="B555" t="s">
        <v>533</v>
      </c>
      <c r="C555" s="4">
        <v>0.71428571428571397</v>
      </c>
      <c r="D555" s="4">
        <v>3.1135531135531101E-2</v>
      </c>
      <c r="E555" s="4">
        <v>0.32558139534883701</v>
      </c>
      <c r="F555" s="4">
        <v>0.18408291566361601</v>
      </c>
      <c r="G555" s="4"/>
    </row>
    <row r="556" spans="1:7" x14ac:dyDescent="0.3">
      <c r="A556" t="s">
        <v>700</v>
      </c>
      <c r="B556" t="s">
        <v>534</v>
      </c>
      <c r="C556" s="4">
        <v>1.28571428571429</v>
      </c>
      <c r="D556" s="4">
        <v>0.55311355311355304</v>
      </c>
      <c r="E556" s="4">
        <v>0.51851851851851805</v>
      </c>
      <c r="F556" s="4">
        <v>0.85061628254505495</v>
      </c>
      <c r="G556" s="4"/>
    </row>
    <row r="557" spans="1:7" x14ac:dyDescent="0.3">
      <c r="A557" t="s">
        <v>700</v>
      </c>
      <c r="B557" t="s">
        <v>535</v>
      </c>
      <c r="C557" s="4">
        <v>1.5714285714285701</v>
      </c>
      <c r="D557" s="4">
        <v>0.33516483516483497</v>
      </c>
      <c r="E557" s="4">
        <v>0.42424242424242398</v>
      </c>
      <c r="F557" s="4">
        <v>1</v>
      </c>
      <c r="G557" s="4"/>
    </row>
    <row r="558" spans="1:7" x14ac:dyDescent="0.3">
      <c r="A558" t="s">
        <v>700</v>
      </c>
      <c r="B558" t="s">
        <v>536</v>
      </c>
      <c r="C558" s="4">
        <v>0.28571428571428598</v>
      </c>
      <c r="D558" s="4">
        <v>0</v>
      </c>
      <c r="E558" s="4">
        <v>0.30434782608695699</v>
      </c>
      <c r="F558" s="4">
        <v>4.9947428029942301E-2</v>
      </c>
      <c r="G558" s="4"/>
    </row>
    <row r="559" spans="1:7" x14ac:dyDescent="0.3">
      <c r="A559" t="s">
        <v>700</v>
      </c>
      <c r="B559" t="s">
        <v>537</v>
      </c>
      <c r="C559" s="4">
        <v>1</v>
      </c>
      <c r="D559" s="4">
        <v>7.1428571428571397E-2</v>
      </c>
      <c r="E559" s="4">
        <v>0.37837837837837801</v>
      </c>
      <c r="F559" s="4">
        <v>0.89999606847065805</v>
      </c>
      <c r="G559" s="4"/>
    </row>
    <row r="560" spans="1:7" x14ac:dyDescent="0.3">
      <c r="A560" t="s">
        <v>700</v>
      </c>
      <c r="B560" t="s">
        <v>538</v>
      </c>
      <c r="C560" s="4">
        <v>0.57142857142857095</v>
      </c>
      <c r="D560" s="4">
        <v>0.29120879120879101</v>
      </c>
      <c r="E560" s="4">
        <v>0.41176470588235298</v>
      </c>
      <c r="F560" s="4">
        <v>4.5688951793952E-2</v>
      </c>
      <c r="G560" s="4"/>
    </row>
    <row r="561" spans="1:7" x14ac:dyDescent="0.3">
      <c r="A561" t="s">
        <v>700</v>
      </c>
      <c r="B561" t="s">
        <v>539</v>
      </c>
      <c r="C561" s="4">
        <v>0.28571428571428598</v>
      </c>
      <c r="D561" s="4">
        <v>0</v>
      </c>
      <c r="E561" s="4">
        <v>0.24137931034482801</v>
      </c>
      <c r="F561" s="4">
        <v>2.4091536982672299E-3</v>
      </c>
      <c r="G561" s="4"/>
    </row>
    <row r="562" spans="1:7" x14ac:dyDescent="0.3">
      <c r="A562" t="s">
        <v>700</v>
      </c>
      <c r="B562" t="s">
        <v>540</v>
      </c>
      <c r="C562" s="4">
        <v>0.28571428571428598</v>
      </c>
      <c r="D562" s="4">
        <v>7.1428571428571397E-2</v>
      </c>
      <c r="E562" s="4">
        <v>0.31111111111111101</v>
      </c>
      <c r="F562" s="4">
        <v>1.25096772830853E-3</v>
      </c>
      <c r="G562" s="4"/>
    </row>
    <row r="563" spans="1:7" x14ac:dyDescent="0.3">
      <c r="A563" t="s">
        <v>700</v>
      </c>
      <c r="B563" t="s">
        <v>205</v>
      </c>
      <c r="C563" s="4">
        <v>0.42857142857142899</v>
      </c>
      <c r="D563" s="4">
        <v>0.305860805860806</v>
      </c>
      <c r="E563" s="4">
        <v>0.46666666666666701</v>
      </c>
      <c r="F563" s="4">
        <v>7.1539767502156806E-2</v>
      </c>
      <c r="G563" s="4"/>
    </row>
    <row r="564" spans="1:7" x14ac:dyDescent="0.3">
      <c r="A564" t="s">
        <v>700</v>
      </c>
      <c r="B564" t="s">
        <v>541</v>
      </c>
      <c r="C564" s="4">
        <v>0.57142857142857095</v>
      </c>
      <c r="D564" s="4">
        <v>0</v>
      </c>
      <c r="E564" s="4">
        <v>0.35897435897435898</v>
      </c>
      <c r="F564" s="4">
        <v>0.228192975816009</v>
      </c>
      <c r="G564" s="4"/>
    </row>
    <row r="565" spans="1:7" x14ac:dyDescent="0.3">
      <c r="A565" t="s">
        <v>700</v>
      </c>
      <c r="B565" t="s">
        <v>51</v>
      </c>
      <c r="C565" s="4">
        <v>0.57142857142857095</v>
      </c>
      <c r="D565" s="4">
        <v>0</v>
      </c>
      <c r="E565" s="4">
        <v>0.35897435897435898</v>
      </c>
      <c r="F565" s="4">
        <v>0.223122903254032</v>
      </c>
      <c r="G565" s="4"/>
    </row>
    <row r="566" spans="1:7" x14ac:dyDescent="0.3">
      <c r="A566" t="s">
        <v>700</v>
      </c>
      <c r="B566" t="s">
        <v>543</v>
      </c>
      <c r="C566" s="4">
        <v>0.42857142857142899</v>
      </c>
      <c r="D566" s="4">
        <v>0</v>
      </c>
      <c r="E566" s="4">
        <v>0.35</v>
      </c>
      <c r="F566" s="4">
        <v>0.55529958825589698</v>
      </c>
      <c r="G566" s="4"/>
    </row>
    <row r="567" spans="1:7" x14ac:dyDescent="0.3">
      <c r="A567" t="s">
        <v>700</v>
      </c>
      <c r="B567" t="s">
        <v>544</v>
      </c>
      <c r="C567" s="4">
        <v>0.28571428571428598</v>
      </c>
      <c r="D567" s="4">
        <v>4.7619047619047603E-2</v>
      </c>
      <c r="E567" s="4">
        <v>0.31818181818181801</v>
      </c>
      <c r="F567" s="4">
        <v>3.0796421189111099E-2</v>
      </c>
      <c r="G567" s="4"/>
    </row>
    <row r="568" spans="1:7" x14ac:dyDescent="0.3">
      <c r="A568" t="s">
        <v>700</v>
      </c>
      <c r="B568" t="s">
        <v>546</v>
      </c>
      <c r="C568" s="4">
        <v>0.28571428571428598</v>
      </c>
      <c r="D568" s="4">
        <v>4.7619047619047603E-2</v>
      </c>
      <c r="E568" s="4">
        <v>0.31818181818181801</v>
      </c>
      <c r="F568" s="4">
        <v>3.0080831990507002E-2</v>
      </c>
      <c r="G568" s="4"/>
    </row>
    <row r="569" spans="1:7" x14ac:dyDescent="0.3">
      <c r="B569">
        <f>COUNTA(Metrics[name])</f>
        <v>567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C3E7D-B1FF-47DD-B2C5-4AC4610FC037}">
  <dimension ref="A1:E832"/>
  <sheetViews>
    <sheetView workbookViewId="0">
      <selection activeCell="C834" sqref="C834"/>
    </sheetView>
  </sheetViews>
  <sheetFormatPr baseColWidth="10" defaultRowHeight="14.4" x14ac:dyDescent="0.3"/>
  <cols>
    <col min="1" max="1" width="39.5546875" customWidth="1"/>
    <col min="2" max="2" width="22" style="4" customWidth="1"/>
    <col min="3" max="3" width="34" customWidth="1"/>
    <col min="4" max="4" width="33.6640625" customWidth="1"/>
    <col min="5" max="5" width="33.77734375" style="4" customWidth="1"/>
  </cols>
  <sheetData>
    <row r="1" spans="1:5" x14ac:dyDescent="0.3">
      <c r="A1" t="s">
        <v>9</v>
      </c>
      <c r="B1" s="4" t="s">
        <v>615</v>
      </c>
      <c r="C1" t="s">
        <v>616</v>
      </c>
      <c r="D1" t="s">
        <v>617</v>
      </c>
      <c r="E1" s="4" t="s">
        <v>618</v>
      </c>
    </row>
    <row r="2" spans="1:5" x14ac:dyDescent="0.3">
      <c r="A2" t="s">
        <v>16</v>
      </c>
      <c r="B2" s="4">
        <v>0</v>
      </c>
      <c r="C2" s="4">
        <v>0</v>
      </c>
      <c r="D2" s="4">
        <v>0</v>
      </c>
      <c r="E2" s="4">
        <v>0</v>
      </c>
    </row>
    <row r="3" spans="1:5" x14ac:dyDescent="0.3">
      <c r="A3" t="s">
        <v>16</v>
      </c>
      <c r="B3" s="4">
        <v>0</v>
      </c>
      <c r="C3" s="4">
        <v>0</v>
      </c>
      <c r="D3" s="4">
        <v>0</v>
      </c>
      <c r="E3" s="4">
        <v>0</v>
      </c>
    </row>
    <row r="4" spans="1:5" x14ac:dyDescent="0.3">
      <c r="A4" t="s">
        <v>16</v>
      </c>
      <c r="B4" s="4">
        <v>0</v>
      </c>
      <c r="C4" s="4">
        <v>0</v>
      </c>
      <c r="D4" s="4">
        <v>0</v>
      </c>
      <c r="E4" s="4">
        <v>0</v>
      </c>
    </row>
    <row r="5" spans="1:5" x14ac:dyDescent="0.3">
      <c r="A5" t="s">
        <v>744</v>
      </c>
      <c r="B5" s="4">
        <f>AVERAGE(B2:B4)</f>
        <v>0</v>
      </c>
      <c r="C5" s="4">
        <f>AVERAGE(C2:C4)</f>
        <v>0</v>
      </c>
      <c r="D5" s="4">
        <f>AVERAGE(D2:D4)</f>
        <v>0</v>
      </c>
      <c r="E5" s="4">
        <f>AVERAGE(E2:E4)</f>
        <v>0</v>
      </c>
    </row>
    <row r="6" spans="1:5" x14ac:dyDescent="0.3">
      <c r="A6" t="s">
        <v>559</v>
      </c>
      <c r="B6" s="4">
        <v>0.44444444444444398</v>
      </c>
      <c r="C6" s="4">
        <v>0.22222222222222199</v>
      </c>
      <c r="D6" s="4">
        <v>0.40909090909090901</v>
      </c>
      <c r="E6" s="4">
        <v>3.83871767284353E-2</v>
      </c>
    </row>
    <row r="7" spans="1:5" x14ac:dyDescent="0.3">
      <c r="A7" t="s">
        <v>559</v>
      </c>
      <c r="B7" s="4">
        <v>0.22222222222222199</v>
      </c>
      <c r="C7" s="4">
        <v>0</v>
      </c>
      <c r="D7" s="4">
        <v>0.3</v>
      </c>
      <c r="E7" s="4">
        <v>1.47141028894164E-3</v>
      </c>
    </row>
    <row r="8" spans="1:5" x14ac:dyDescent="0.3">
      <c r="A8" t="s">
        <v>559</v>
      </c>
      <c r="B8" s="4">
        <v>1.7777777777777799</v>
      </c>
      <c r="C8" s="4">
        <v>0.72222222222222199</v>
      </c>
      <c r="D8" s="4">
        <v>0.5625</v>
      </c>
      <c r="E8" s="4">
        <v>1</v>
      </c>
    </row>
    <row r="9" spans="1:5" x14ac:dyDescent="0.3">
      <c r="A9" t="s">
        <v>559</v>
      </c>
      <c r="B9" s="4">
        <v>0.88888888888888895</v>
      </c>
      <c r="C9" s="4">
        <v>0</v>
      </c>
      <c r="D9" s="4">
        <v>0.34615384615384598</v>
      </c>
      <c r="E9" s="4">
        <v>0.183761782169198</v>
      </c>
    </row>
    <row r="10" spans="1:5" x14ac:dyDescent="0.3">
      <c r="A10" t="s">
        <v>559</v>
      </c>
      <c r="B10" s="4">
        <v>1.1111111111111101</v>
      </c>
      <c r="C10" s="4">
        <v>0</v>
      </c>
      <c r="D10" s="4">
        <v>0.28125</v>
      </c>
      <c r="E10" s="4">
        <v>0.72175853524477496</v>
      </c>
    </row>
    <row r="11" spans="1:5" x14ac:dyDescent="0.3">
      <c r="A11" t="s">
        <v>559</v>
      </c>
      <c r="B11" s="4">
        <v>1.1111111111111101</v>
      </c>
      <c r="C11" s="4">
        <v>0</v>
      </c>
      <c r="D11" s="4">
        <v>0.31034482758620702</v>
      </c>
      <c r="E11" s="4">
        <v>0.81643093382051901</v>
      </c>
    </row>
    <row r="12" spans="1:5" x14ac:dyDescent="0.3">
      <c r="A12" t="s">
        <v>559</v>
      </c>
      <c r="B12" s="4">
        <v>0.44444444444444398</v>
      </c>
      <c r="C12" s="4">
        <v>0.16666666666666699</v>
      </c>
      <c r="D12" s="4">
        <v>0.40909090909090901</v>
      </c>
      <c r="E12" s="4">
        <v>6.9625208024108598E-2</v>
      </c>
    </row>
    <row r="13" spans="1:5" x14ac:dyDescent="0.3">
      <c r="A13" t="s">
        <v>559</v>
      </c>
      <c r="B13" s="4">
        <v>0.44444444444444398</v>
      </c>
      <c r="C13" s="4">
        <v>0</v>
      </c>
      <c r="D13" s="4">
        <v>0.28125</v>
      </c>
      <c r="E13" s="4">
        <v>0.20183927923720699</v>
      </c>
    </row>
    <row r="14" spans="1:5" x14ac:dyDescent="0.3">
      <c r="A14" t="s">
        <v>559</v>
      </c>
      <c r="B14" s="4">
        <v>0.88888888888888895</v>
      </c>
      <c r="C14" s="4">
        <v>0.29166666666666702</v>
      </c>
      <c r="D14" s="4">
        <v>0.47368421052631599</v>
      </c>
      <c r="E14" s="4">
        <v>0.12246457943637699</v>
      </c>
    </row>
    <row r="15" spans="1:5" x14ac:dyDescent="0.3">
      <c r="A15" t="s">
        <v>559</v>
      </c>
      <c r="B15" s="4">
        <v>1.1111111111111101</v>
      </c>
      <c r="C15" s="4">
        <v>2.7777777777777801E-2</v>
      </c>
      <c r="D15" s="4">
        <v>0.375</v>
      </c>
      <c r="E15" s="4">
        <v>0.383900632830871</v>
      </c>
    </row>
    <row r="16" spans="1:5" x14ac:dyDescent="0.3">
      <c r="A16" t="s">
        <v>745</v>
      </c>
      <c r="B16" s="4">
        <f>AVERAGE(B6:B15)</f>
        <v>0.84444444444444411</v>
      </c>
      <c r="C16" s="4">
        <f>AVERAGE(C6:C15)</f>
        <v>0.14305555555555557</v>
      </c>
      <c r="D16" s="4">
        <f>AVERAGE(D6:D15)</f>
        <v>0.3748364702448187</v>
      </c>
      <c r="E16" s="4">
        <f>AVERAGE(E6:E15)</f>
        <v>0.35396395377804318</v>
      </c>
    </row>
    <row r="17" spans="1:5" x14ac:dyDescent="0.3">
      <c r="A17" t="s">
        <v>29</v>
      </c>
      <c r="B17" s="4">
        <v>1.6</v>
      </c>
      <c r="C17" s="4">
        <v>0</v>
      </c>
      <c r="D17" s="4">
        <v>0.27777777777777801</v>
      </c>
      <c r="E17" s="4">
        <v>0.45186423914524898</v>
      </c>
    </row>
    <row r="18" spans="1:5" x14ac:dyDescent="0.3">
      <c r="A18" t="s">
        <v>29</v>
      </c>
      <c r="B18" s="4">
        <v>2</v>
      </c>
      <c r="C18" s="4">
        <v>0.4</v>
      </c>
      <c r="D18" s="4">
        <v>0.35714285714285698</v>
      </c>
      <c r="E18" s="4">
        <v>0.40780303044572702</v>
      </c>
    </row>
    <row r="19" spans="1:5" x14ac:dyDescent="0.3">
      <c r="A19" t="s">
        <v>29</v>
      </c>
      <c r="B19" s="4">
        <v>2</v>
      </c>
      <c r="C19" s="4">
        <v>0.1</v>
      </c>
      <c r="D19" s="4">
        <v>0.33333333333333298</v>
      </c>
      <c r="E19" s="4">
        <v>0.68260571356004196</v>
      </c>
    </row>
    <row r="20" spans="1:5" x14ac:dyDescent="0.3">
      <c r="A20" t="s">
        <v>29</v>
      </c>
      <c r="B20" s="4">
        <v>1.6</v>
      </c>
      <c r="C20" s="4">
        <v>0</v>
      </c>
      <c r="D20" s="4">
        <v>0.22727272727272699</v>
      </c>
      <c r="E20" s="4">
        <v>0.92457227880880199</v>
      </c>
    </row>
    <row r="21" spans="1:5" x14ac:dyDescent="0.3">
      <c r="A21" t="s">
        <v>29</v>
      </c>
      <c r="B21" s="4">
        <v>2</v>
      </c>
      <c r="C21" s="4">
        <v>0</v>
      </c>
      <c r="D21" s="4">
        <v>0.27777777777777801</v>
      </c>
      <c r="E21" s="4">
        <v>1</v>
      </c>
    </row>
    <row r="22" spans="1:5" x14ac:dyDescent="0.3">
      <c r="A22" t="s">
        <v>29</v>
      </c>
      <c r="B22" s="4">
        <v>1.2</v>
      </c>
      <c r="C22" s="4">
        <v>0.4</v>
      </c>
      <c r="D22" s="4">
        <v>0.38461538461538503</v>
      </c>
      <c r="E22" s="4">
        <v>0.12404363187041401</v>
      </c>
    </row>
    <row r="23" spans="1:5" x14ac:dyDescent="0.3">
      <c r="A23" t="s">
        <v>746</v>
      </c>
      <c r="B23" s="4">
        <f>AVERAGE(B17:B22)</f>
        <v>1.7333333333333332</v>
      </c>
      <c r="C23" s="4">
        <f>AVERAGE(C17:C22)</f>
        <v>0.15</v>
      </c>
      <c r="D23" s="4">
        <f>AVERAGE(D17:D22)</f>
        <v>0.30965330965330967</v>
      </c>
      <c r="E23" s="4">
        <f>AVERAGE(E17:E22)</f>
        <v>0.59848148230503906</v>
      </c>
    </row>
    <row r="24" spans="1:5" x14ac:dyDescent="0.3">
      <c r="A24" t="s">
        <v>48</v>
      </c>
      <c r="B24" s="4">
        <v>2</v>
      </c>
      <c r="C24" s="4">
        <v>0.66666666666666696</v>
      </c>
      <c r="D24" s="4">
        <v>0.75</v>
      </c>
      <c r="E24" s="4">
        <v>1</v>
      </c>
    </row>
    <row r="25" spans="1:5" x14ac:dyDescent="0.3">
      <c r="A25" t="s">
        <v>48</v>
      </c>
      <c r="B25" s="4">
        <v>1.3333333333333299</v>
      </c>
      <c r="C25" s="4">
        <v>0.66666666666666696</v>
      </c>
      <c r="D25" s="4">
        <v>0.75</v>
      </c>
      <c r="E25" s="4">
        <v>0.53216822606869996</v>
      </c>
    </row>
    <row r="26" spans="1:5" x14ac:dyDescent="0.3">
      <c r="A26" t="s">
        <v>48</v>
      </c>
      <c r="B26" s="4">
        <v>1.3333333333333299</v>
      </c>
      <c r="C26" s="4">
        <v>0</v>
      </c>
      <c r="D26" s="4">
        <v>0.5</v>
      </c>
      <c r="E26" s="4">
        <v>0.95935180783908602</v>
      </c>
    </row>
    <row r="27" spans="1:5" x14ac:dyDescent="0.3">
      <c r="A27" t="s">
        <v>48</v>
      </c>
      <c r="B27" s="4">
        <v>0.66666666666666696</v>
      </c>
      <c r="C27" s="4">
        <v>0</v>
      </c>
      <c r="D27" s="4">
        <v>0.5</v>
      </c>
      <c r="E27" s="4">
        <v>0.27160422336589701</v>
      </c>
    </row>
    <row r="28" spans="1:5" x14ac:dyDescent="0.3">
      <c r="A28" t="s">
        <v>747</v>
      </c>
      <c r="B28" s="4">
        <f>AVERAGE(B24:B27)</f>
        <v>1.3333333333333317</v>
      </c>
      <c r="C28" s="4">
        <f>AVERAGE(C24:C27)</f>
        <v>0.33333333333333348</v>
      </c>
      <c r="D28" s="4">
        <f>AVERAGE(D24:D27)</f>
        <v>0.625</v>
      </c>
      <c r="E28" s="4">
        <f>AVERAGE(E24:E27)</f>
        <v>0.69078106431842068</v>
      </c>
    </row>
    <row r="29" spans="1:5" x14ac:dyDescent="0.3">
      <c r="A29" t="s">
        <v>83</v>
      </c>
      <c r="B29" s="4">
        <v>2</v>
      </c>
      <c r="C29" s="4">
        <v>0.16666666666666699</v>
      </c>
      <c r="D29" s="4">
        <v>0.42857142857142899</v>
      </c>
      <c r="E29" s="4">
        <v>1</v>
      </c>
    </row>
    <row r="30" spans="1:5" x14ac:dyDescent="0.3">
      <c r="A30" t="s">
        <v>83</v>
      </c>
      <c r="B30" s="4">
        <v>2</v>
      </c>
      <c r="C30" s="4">
        <v>0.16666666666666699</v>
      </c>
      <c r="D30" s="4">
        <v>0.42857142857142899</v>
      </c>
      <c r="E30" s="4">
        <v>1</v>
      </c>
    </row>
    <row r="31" spans="1:5" x14ac:dyDescent="0.3">
      <c r="A31" t="s">
        <v>83</v>
      </c>
      <c r="B31" s="4">
        <v>1.3333333333333299</v>
      </c>
      <c r="C31" s="4">
        <v>0.33333333333333298</v>
      </c>
      <c r="D31" s="4">
        <v>0.42857142857142899</v>
      </c>
      <c r="E31" s="4">
        <v>0.12414315171437</v>
      </c>
    </row>
    <row r="32" spans="1:5" x14ac:dyDescent="0.3">
      <c r="A32" t="s">
        <v>83</v>
      </c>
      <c r="B32" s="4">
        <v>1.3333333333333299</v>
      </c>
      <c r="C32" s="4">
        <v>0</v>
      </c>
      <c r="D32" s="4">
        <v>0.230769230769231</v>
      </c>
      <c r="E32" s="4">
        <v>0.496572606857482</v>
      </c>
    </row>
    <row r="33" spans="1:5" x14ac:dyDescent="0.3">
      <c r="A33" t="s">
        <v>748</v>
      </c>
      <c r="B33" s="4">
        <f>AVERAGE(B29:B32)</f>
        <v>1.6666666666666652</v>
      </c>
      <c r="C33" s="4">
        <f>AVERAGE(C29:C32)</f>
        <v>0.16666666666666674</v>
      </c>
      <c r="D33" s="4">
        <f>AVERAGE(D29:D32)</f>
        <v>0.37912087912087949</v>
      </c>
      <c r="E33" s="4">
        <f>AVERAGE(E29:E32)</f>
        <v>0.65517893964296303</v>
      </c>
    </row>
    <row r="34" spans="1:5" x14ac:dyDescent="0.3">
      <c r="A34" t="s">
        <v>90</v>
      </c>
      <c r="B34" s="4">
        <v>2</v>
      </c>
      <c r="C34" s="4">
        <v>0.133333333333333</v>
      </c>
      <c r="D34" s="4">
        <v>0.35294117647058798</v>
      </c>
      <c r="E34" s="4">
        <v>1</v>
      </c>
    </row>
    <row r="35" spans="1:5" x14ac:dyDescent="0.3">
      <c r="A35" t="s">
        <v>90</v>
      </c>
      <c r="B35" s="4">
        <v>1.6666666666666701</v>
      </c>
      <c r="C35" s="4">
        <v>0.133333333333333</v>
      </c>
      <c r="D35" s="4">
        <v>0.3</v>
      </c>
      <c r="E35" s="4">
        <v>0.76059425267780501</v>
      </c>
    </row>
    <row r="36" spans="1:5" x14ac:dyDescent="0.3">
      <c r="A36" t="s">
        <v>90</v>
      </c>
      <c r="B36" s="4">
        <v>1</v>
      </c>
      <c r="C36" s="4">
        <v>0.2</v>
      </c>
      <c r="D36" s="4">
        <v>0.31578947368421101</v>
      </c>
      <c r="E36" s="4">
        <v>0.22858569381341701</v>
      </c>
    </row>
    <row r="37" spans="1:5" x14ac:dyDescent="0.3">
      <c r="A37" t="s">
        <v>90</v>
      </c>
      <c r="B37" s="4">
        <v>2</v>
      </c>
      <c r="C37" s="4">
        <v>0.133333333333333</v>
      </c>
      <c r="D37" s="4">
        <v>0.35294117647058798</v>
      </c>
      <c r="E37" s="4">
        <v>0.89915266055836895</v>
      </c>
    </row>
    <row r="38" spans="1:5" x14ac:dyDescent="0.3">
      <c r="A38" t="s">
        <v>90</v>
      </c>
      <c r="B38" s="4">
        <v>1.3333333333333299</v>
      </c>
      <c r="C38" s="4">
        <v>0</v>
      </c>
      <c r="D38" s="4">
        <v>0.28571428571428598</v>
      </c>
      <c r="E38" s="4">
        <v>0.36009806601030497</v>
      </c>
    </row>
    <row r="39" spans="1:5" x14ac:dyDescent="0.3">
      <c r="A39" t="s">
        <v>90</v>
      </c>
      <c r="B39" s="4">
        <v>1.3333333333333299</v>
      </c>
      <c r="C39" s="4">
        <v>0.1</v>
      </c>
      <c r="D39" s="4">
        <v>0.33333333333333298</v>
      </c>
      <c r="E39" s="4">
        <v>0.29517468699158</v>
      </c>
    </row>
    <row r="40" spans="1:5" x14ac:dyDescent="0.3">
      <c r="A40" t="s">
        <v>90</v>
      </c>
      <c r="B40" s="4">
        <v>0.66666666666666696</v>
      </c>
      <c r="C40" s="4">
        <v>6.6666666666666693E-2</v>
      </c>
      <c r="D40" s="4">
        <v>0.3</v>
      </c>
      <c r="E40" s="4">
        <v>6.7221371524696302E-2</v>
      </c>
    </row>
    <row r="41" spans="1:5" x14ac:dyDescent="0.3">
      <c r="A41" t="s">
        <v>749</v>
      </c>
      <c r="B41" s="4">
        <f>AVERAGE(B34:B40)</f>
        <v>1.4285714285714282</v>
      </c>
      <c r="C41" s="4">
        <f>AVERAGE(C34:C40)</f>
        <v>0.10952380952380937</v>
      </c>
      <c r="D41" s="4">
        <f>AVERAGE(D34:D40)</f>
        <v>0.32010277795328657</v>
      </c>
      <c r="E41" s="4">
        <f>AVERAGE(E34:E40)</f>
        <v>0.51583239022516747</v>
      </c>
    </row>
    <row r="42" spans="1:5" x14ac:dyDescent="0.3">
      <c r="A42" t="s">
        <v>105</v>
      </c>
      <c r="B42" s="4">
        <v>2</v>
      </c>
      <c r="C42" s="4">
        <v>0.33333333333333298</v>
      </c>
      <c r="D42" s="4">
        <v>0.33333333333333298</v>
      </c>
      <c r="E42" s="4">
        <v>1</v>
      </c>
    </row>
    <row r="43" spans="1:5" x14ac:dyDescent="0.3">
      <c r="A43" t="s">
        <v>105</v>
      </c>
      <c r="B43" s="4">
        <v>0.33333333333333298</v>
      </c>
      <c r="C43" s="4">
        <v>0</v>
      </c>
      <c r="D43" s="4">
        <v>0.26086956521739102</v>
      </c>
      <c r="E43" s="4">
        <v>3.2961247936630897E-2</v>
      </c>
    </row>
    <row r="44" spans="1:5" x14ac:dyDescent="0.3">
      <c r="A44" t="s">
        <v>105</v>
      </c>
      <c r="B44" s="4">
        <v>1.6666666666666701</v>
      </c>
      <c r="C44" s="4">
        <v>0.2</v>
      </c>
      <c r="D44" s="4">
        <v>0.33333333333333298</v>
      </c>
      <c r="E44" s="4">
        <v>0.95840764446238103</v>
      </c>
    </row>
    <row r="45" spans="1:5" x14ac:dyDescent="0.3">
      <c r="A45" t="s">
        <v>105</v>
      </c>
      <c r="B45" s="4">
        <v>0.66666666666666696</v>
      </c>
      <c r="C45" s="4">
        <v>0</v>
      </c>
      <c r="D45" s="4">
        <v>0.12765957446808501</v>
      </c>
      <c r="E45" s="4">
        <v>0.45186091951082602</v>
      </c>
    </row>
    <row r="46" spans="1:5" x14ac:dyDescent="0.3">
      <c r="A46" t="s">
        <v>105</v>
      </c>
      <c r="B46" s="4">
        <v>1.3333333333333299</v>
      </c>
      <c r="C46" s="4">
        <v>0</v>
      </c>
      <c r="D46" s="4">
        <v>0.28571428571428598</v>
      </c>
      <c r="E46" s="4">
        <v>0.33873234180956802</v>
      </c>
    </row>
    <row r="47" spans="1:5" x14ac:dyDescent="0.3">
      <c r="A47" t="s">
        <v>105</v>
      </c>
      <c r="B47" s="4">
        <v>1.3333333333333299</v>
      </c>
      <c r="C47" s="4">
        <v>6.6666666666666693E-2</v>
      </c>
      <c r="D47" s="4">
        <v>0.35294117647058798</v>
      </c>
      <c r="E47" s="4">
        <v>0.123559287013149</v>
      </c>
    </row>
    <row r="48" spans="1:5" x14ac:dyDescent="0.3">
      <c r="A48" t="s">
        <v>105</v>
      </c>
      <c r="B48" s="4">
        <v>1.3333333333333299</v>
      </c>
      <c r="C48" s="4">
        <v>0.3</v>
      </c>
      <c r="D48" s="4">
        <v>0.375</v>
      </c>
      <c r="E48" s="4">
        <v>0.112750516863404</v>
      </c>
    </row>
    <row r="49" spans="1:5" x14ac:dyDescent="0.3">
      <c r="A49" t="s">
        <v>750</v>
      </c>
      <c r="B49" s="4">
        <f>AVERAGE(B42:B48)</f>
        <v>1.2380952380952372</v>
      </c>
      <c r="C49" s="4">
        <f>AVERAGE(C42:C48)</f>
        <v>0.12857142857142853</v>
      </c>
      <c r="D49" s="4">
        <f>AVERAGE(D42:D48)</f>
        <v>0.29555018121957372</v>
      </c>
      <c r="E49" s="4">
        <f>AVERAGE(E42:E48)</f>
        <v>0.43118170822799412</v>
      </c>
    </row>
    <row r="50" spans="1:5" x14ac:dyDescent="0.3">
      <c r="A50" t="s">
        <v>114</v>
      </c>
      <c r="B50" s="4">
        <v>0</v>
      </c>
      <c r="C50" s="4">
        <v>0</v>
      </c>
      <c r="D50" s="4">
        <v>0</v>
      </c>
      <c r="E50" s="4">
        <v>0</v>
      </c>
    </row>
    <row r="51" spans="1:5" x14ac:dyDescent="0.3">
      <c r="A51" t="s">
        <v>114</v>
      </c>
      <c r="B51" s="4">
        <v>0</v>
      </c>
      <c r="C51" s="4">
        <v>0</v>
      </c>
      <c r="D51" s="4">
        <v>0</v>
      </c>
      <c r="E51" s="4">
        <v>0</v>
      </c>
    </row>
    <row r="52" spans="1:5" x14ac:dyDescent="0.3">
      <c r="A52" t="s">
        <v>751</v>
      </c>
      <c r="B52" s="4">
        <f>AVERAGE(B50:B51)</f>
        <v>0</v>
      </c>
      <c r="C52" s="4">
        <f>AVERAGE(C50:C51)</f>
        <v>0</v>
      </c>
      <c r="D52" s="4">
        <f>AVERAGE(D50:D51)</f>
        <v>0</v>
      </c>
      <c r="E52" s="4">
        <f>AVERAGE(E50:E51)</f>
        <v>0</v>
      </c>
    </row>
    <row r="53" spans="1:5" x14ac:dyDescent="0.3">
      <c r="A53" t="s">
        <v>116</v>
      </c>
      <c r="B53" s="4">
        <v>1.5</v>
      </c>
      <c r="C53" s="4">
        <v>0</v>
      </c>
      <c r="D53" s="4">
        <v>0.21052631578947401</v>
      </c>
      <c r="E53" s="4">
        <v>0.99781134463478205</v>
      </c>
    </row>
    <row r="54" spans="1:5" x14ac:dyDescent="0.3">
      <c r="A54" t="s">
        <v>116</v>
      </c>
      <c r="B54" s="4">
        <v>1.5</v>
      </c>
      <c r="C54" s="4">
        <v>0</v>
      </c>
      <c r="D54" s="4">
        <v>0.36363636363636398</v>
      </c>
      <c r="E54" s="4">
        <v>1</v>
      </c>
    </row>
    <row r="55" spans="1:5" x14ac:dyDescent="0.3">
      <c r="A55" t="s">
        <v>116</v>
      </c>
      <c r="B55" s="4">
        <v>2</v>
      </c>
      <c r="C55" s="4">
        <v>0</v>
      </c>
      <c r="D55" s="4">
        <v>0.36363636363636398</v>
      </c>
      <c r="E55" s="4">
        <v>0.68963517112689299</v>
      </c>
    </row>
    <row r="56" spans="1:5" x14ac:dyDescent="0.3">
      <c r="A56" t="s">
        <v>116</v>
      </c>
      <c r="B56" s="4">
        <v>2</v>
      </c>
      <c r="C56" s="4">
        <v>0.66666666666666696</v>
      </c>
      <c r="D56" s="4">
        <v>0.5</v>
      </c>
      <c r="E56" s="4">
        <v>0.43259919579718198</v>
      </c>
    </row>
    <row r="57" spans="1:5" x14ac:dyDescent="0.3">
      <c r="A57" t="s">
        <v>116</v>
      </c>
      <c r="B57" s="4">
        <v>1</v>
      </c>
      <c r="C57" s="4">
        <v>0.33333333333333298</v>
      </c>
      <c r="D57" s="4">
        <v>0.44444444444444398</v>
      </c>
      <c r="E57" s="4">
        <v>5.2873165805478697E-2</v>
      </c>
    </row>
    <row r="58" spans="1:5" x14ac:dyDescent="0.3">
      <c r="A58" t="s">
        <v>752</v>
      </c>
      <c r="B58" s="4">
        <f>AVERAGE(B53:B57)</f>
        <v>1.6</v>
      </c>
      <c r="C58" s="4">
        <f>AVERAGE(C53:C57)</f>
        <v>0.2</v>
      </c>
      <c r="D58" s="4">
        <f>AVERAGE(D53:D57)</f>
        <v>0.37644869750132914</v>
      </c>
      <c r="E58" s="4">
        <f>AVERAGE(E53:E57)</f>
        <v>0.63458377547286715</v>
      </c>
    </row>
    <row r="59" spans="1:5" x14ac:dyDescent="0.3">
      <c r="A59" t="s">
        <v>566</v>
      </c>
      <c r="B59" s="4">
        <v>0.19047619047618999</v>
      </c>
      <c r="C59" s="4">
        <v>0</v>
      </c>
      <c r="D59" s="4">
        <v>0.15217391304347799</v>
      </c>
      <c r="E59" s="4">
        <v>0.36862561854102799</v>
      </c>
    </row>
    <row r="60" spans="1:5" x14ac:dyDescent="0.3">
      <c r="A60" t="s">
        <v>566</v>
      </c>
      <c r="B60" s="4">
        <v>0.19047619047618999</v>
      </c>
      <c r="C60" s="4">
        <v>0</v>
      </c>
      <c r="D60" s="4">
        <v>0.269230769230769</v>
      </c>
      <c r="E60" s="4">
        <v>0.24088269569041801</v>
      </c>
    </row>
    <row r="61" spans="1:5" x14ac:dyDescent="0.3">
      <c r="A61" t="s">
        <v>566</v>
      </c>
      <c r="B61" s="4">
        <v>1.71428571428571</v>
      </c>
      <c r="C61" s="4">
        <v>0.57142857142857195</v>
      </c>
      <c r="D61" s="4">
        <v>0.53846153846153799</v>
      </c>
      <c r="E61" s="4">
        <v>1</v>
      </c>
    </row>
    <row r="62" spans="1:5" x14ac:dyDescent="0.3">
      <c r="A62" t="s">
        <v>566</v>
      </c>
      <c r="B62" s="4">
        <v>1.1428571428571399</v>
      </c>
      <c r="C62" s="4">
        <v>0.24960317460317499</v>
      </c>
      <c r="D62" s="4">
        <v>0.4375</v>
      </c>
      <c r="E62" s="4">
        <v>0.81779060142865101</v>
      </c>
    </row>
    <row r="63" spans="1:5" x14ac:dyDescent="0.3">
      <c r="A63" t="s">
        <v>566</v>
      </c>
      <c r="B63" s="4">
        <v>0.38095238095238099</v>
      </c>
      <c r="C63" s="4">
        <v>2.5000000000000001E-2</v>
      </c>
      <c r="D63" s="4">
        <v>0.41176470588235298</v>
      </c>
      <c r="E63" s="4">
        <v>0.17153346696921101</v>
      </c>
    </row>
    <row r="64" spans="1:5" x14ac:dyDescent="0.3">
      <c r="A64" t="s">
        <v>566</v>
      </c>
      <c r="B64" s="4">
        <v>9.5238095238095205E-2</v>
      </c>
      <c r="C64" s="4">
        <v>0</v>
      </c>
      <c r="D64" s="4">
        <v>0.308823529411765</v>
      </c>
      <c r="E64" s="4">
        <v>4.6771871787378599E-2</v>
      </c>
    </row>
    <row r="65" spans="1:5" x14ac:dyDescent="0.3">
      <c r="A65" t="s">
        <v>566</v>
      </c>
      <c r="B65" s="4">
        <v>0.28571428571428598</v>
      </c>
      <c r="C65" s="4">
        <v>2.6190476190476202E-2</v>
      </c>
      <c r="D65" s="4">
        <v>0.42</v>
      </c>
      <c r="E65" s="4">
        <v>0.11027159999845899</v>
      </c>
    </row>
    <row r="66" spans="1:5" x14ac:dyDescent="0.3">
      <c r="A66" t="s">
        <v>566</v>
      </c>
      <c r="B66" s="4">
        <v>0.28571428571428598</v>
      </c>
      <c r="C66" s="4">
        <v>2.6190476190476202E-2</v>
      </c>
      <c r="D66" s="4">
        <v>0.42</v>
      </c>
      <c r="E66" s="4">
        <v>0.11027159999845899</v>
      </c>
    </row>
    <row r="67" spans="1:5" x14ac:dyDescent="0.3">
      <c r="A67" t="s">
        <v>566</v>
      </c>
      <c r="B67" s="4">
        <v>0.19047619047618999</v>
      </c>
      <c r="C67" s="4">
        <v>3.0158730158730201E-2</v>
      </c>
      <c r="D67" s="4">
        <v>0.36842105263157898</v>
      </c>
      <c r="E67" s="4">
        <v>6.4154744215901102E-2</v>
      </c>
    </row>
    <row r="68" spans="1:5" x14ac:dyDescent="0.3">
      <c r="A68" t="s">
        <v>566</v>
      </c>
      <c r="B68" s="4">
        <v>0.28571428571428598</v>
      </c>
      <c r="C68" s="4">
        <v>2.3809523809523799E-3</v>
      </c>
      <c r="D68" s="4">
        <v>0.28000000000000003</v>
      </c>
      <c r="E68" s="4">
        <v>0.12172433669804</v>
      </c>
    </row>
    <row r="69" spans="1:5" x14ac:dyDescent="0.3">
      <c r="A69" t="s">
        <v>566</v>
      </c>
      <c r="B69" s="4">
        <v>0.19047619047618999</v>
      </c>
      <c r="C69" s="4">
        <v>3.0158730158730201E-2</v>
      </c>
      <c r="D69" s="4">
        <v>0.36842105263157898</v>
      </c>
      <c r="E69" s="4">
        <v>6.4154744215901102E-2</v>
      </c>
    </row>
    <row r="70" spans="1:5" x14ac:dyDescent="0.3">
      <c r="A70" t="s">
        <v>566</v>
      </c>
      <c r="B70" s="4">
        <v>0.57142857142857095</v>
      </c>
      <c r="C70" s="4">
        <v>6.7857142857142894E-2</v>
      </c>
      <c r="D70" s="4">
        <v>0.42</v>
      </c>
      <c r="E70" s="4">
        <v>0.42105361410368097</v>
      </c>
    </row>
    <row r="71" spans="1:5" x14ac:dyDescent="0.3">
      <c r="A71" t="s">
        <v>566</v>
      </c>
      <c r="B71" s="4">
        <v>0.57142857142857095</v>
      </c>
      <c r="C71" s="4">
        <v>0.14285714285714299</v>
      </c>
      <c r="D71" s="4">
        <v>0.47727272727272702</v>
      </c>
      <c r="E71" s="4">
        <v>0.20194819966113201</v>
      </c>
    </row>
    <row r="72" spans="1:5" x14ac:dyDescent="0.3">
      <c r="A72" t="s">
        <v>566</v>
      </c>
      <c r="B72" s="4">
        <v>0.66666666666666696</v>
      </c>
      <c r="C72" s="4">
        <v>2.3015873015873E-2</v>
      </c>
      <c r="D72" s="4">
        <v>0.33333333333333298</v>
      </c>
      <c r="E72" s="4">
        <v>0.47947159594871502</v>
      </c>
    </row>
    <row r="73" spans="1:5" x14ac:dyDescent="0.3">
      <c r="A73" t="s">
        <v>566</v>
      </c>
      <c r="B73" s="4">
        <v>9.5238095238095205E-2</v>
      </c>
      <c r="C73" s="4">
        <v>0</v>
      </c>
      <c r="D73" s="4">
        <v>0.308823529411765</v>
      </c>
      <c r="E73" s="4">
        <v>4.6771871787378599E-2</v>
      </c>
    </row>
    <row r="74" spans="1:5" x14ac:dyDescent="0.3">
      <c r="A74" t="s">
        <v>566</v>
      </c>
      <c r="B74" s="4">
        <v>0.28571428571428598</v>
      </c>
      <c r="C74" s="4">
        <v>3.57142857142857E-3</v>
      </c>
      <c r="D74" s="4">
        <v>0.328125</v>
      </c>
      <c r="E74" s="4">
        <v>0.23535208348911399</v>
      </c>
    </row>
    <row r="75" spans="1:5" x14ac:dyDescent="0.3">
      <c r="A75" t="s">
        <v>566</v>
      </c>
      <c r="B75" s="4">
        <v>0.19047619047618999</v>
      </c>
      <c r="C75" s="4">
        <v>2.6190476190476202E-2</v>
      </c>
      <c r="D75" s="4">
        <v>0.41176470588235298</v>
      </c>
      <c r="E75" s="4">
        <v>0.103964839896415</v>
      </c>
    </row>
    <row r="76" spans="1:5" x14ac:dyDescent="0.3">
      <c r="A76" t="s">
        <v>566</v>
      </c>
      <c r="B76" s="4">
        <v>0.28571428571428598</v>
      </c>
      <c r="C76" s="4">
        <v>0</v>
      </c>
      <c r="D76" s="4">
        <v>0.33333333333333298</v>
      </c>
      <c r="E76" s="4">
        <v>0.16167614041103501</v>
      </c>
    </row>
    <row r="77" spans="1:5" x14ac:dyDescent="0.3">
      <c r="A77" t="s">
        <v>566</v>
      </c>
      <c r="B77" s="4">
        <v>0.57142857142857095</v>
      </c>
      <c r="C77" s="4">
        <v>3.2142857142857098E-2</v>
      </c>
      <c r="D77" s="4">
        <v>0.375</v>
      </c>
      <c r="E77" s="4">
        <v>0.212178515598762</v>
      </c>
    </row>
    <row r="78" spans="1:5" x14ac:dyDescent="0.3">
      <c r="A78" t="s">
        <v>566</v>
      </c>
      <c r="B78" s="4">
        <v>0.57142857142857095</v>
      </c>
      <c r="C78" s="4">
        <v>3.2142857142857098E-2</v>
      </c>
      <c r="D78" s="4">
        <v>0.375</v>
      </c>
      <c r="E78" s="4">
        <v>0.212178515598762</v>
      </c>
    </row>
    <row r="79" spans="1:5" x14ac:dyDescent="0.3">
      <c r="A79" t="s">
        <v>566</v>
      </c>
      <c r="B79" s="4">
        <v>0.38095238095238099</v>
      </c>
      <c r="C79" s="4">
        <v>3.6904761904761899E-2</v>
      </c>
      <c r="D79" s="4">
        <v>0.41176470588235298</v>
      </c>
      <c r="E79" s="4">
        <v>8.6404962527457205E-2</v>
      </c>
    </row>
    <row r="80" spans="1:5" x14ac:dyDescent="0.3">
      <c r="A80" t="s">
        <v>566</v>
      </c>
      <c r="B80" s="4">
        <v>0.38095238095238099</v>
      </c>
      <c r="C80" s="4">
        <v>3.6904761904761899E-2</v>
      </c>
      <c r="D80" s="4">
        <v>0.41176470588235298</v>
      </c>
      <c r="E80" s="4">
        <v>8.6404962527457205E-2</v>
      </c>
    </row>
    <row r="81" spans="1:5" x14ac:dyDescent="0.3">
      <c r="A81" t="s">
        <v>753</v>
      </c>
      <c r="B81" s="4">
        <f>AVERAGE(B59:B80)</f>
        <v>0.4329004329004324</v>
      </c>
      <c r="C81" s="4">
        <f>AVERAGE(C59:C80)</f>
        <v>6.1940836940836984E-2</v>
      </c>
      <c r="D81" s="4">
        <f>AVERAGE(D59:D80)</f>
        <v>0.37095357283142172</v>
      </c>
      <c r="E81" s="4">
        <f>AVERAGE(E59:E80)</f>
        <v>0.24379939004969789</v>
      </c>
    </row>
    <row r="82" spans="1:5" x14ac:dyDescent="0.3">
      <c r="A82" t="s">
        <v>122</v>
      </c>
      <c r="B82" s="4">
        <v>2</v>
      </c>
      <c r="C82" s="4">
        <v>3.3333333333333298E-2</v>
      </c>
      <c r="D82" s="4">
        <v>0.625</v>
      </c>
      <c r="E82" s="4">
        <v>0.168506529429229</v>
      </c>
    </row>
    <row r="83" spans="1:5" x14ac:dyDescent="0.3">
      <c r="A83" t="s">
        <v>122</v>
      </c>
      <c r="B83" s="4">
        <v>1.6</v>
      </c>
      <c r="C83" s="4">
        <v>0</v>
      </c>
      <c r="D83" s="4">
        <v>0.625</v>
      </c>
      <c r="E83" s="4">
        <v>0.10730849775602801</v>
      </c>
    </row>
    <row r="84" spans="1:5" x14ac:dyDescent="0.3">
      <c r="A84" t="s">
        <v>122</v>
      </c>
      <c r="B84" s="4">
        <v>2</v>
      </c>
      <c r="C84" s="4">
        <v>3.3333333333333298E-2</v>
      </c>
      <c r="D84" s="4">
        <v>0.625</v>
      </c>
      <c r="E84" s="4">
        <v>1</v>
      </c>
    </row>
    <row r="85" spans="1:5" x14ac:dyDescent="0.3">
      <c r="A85" t="s">
        <v>122</v>
      </c>
      <c r="B85" s="4">
        <v>2</v>
      </c>
      <c r="C85" s="4">
        <v>0.133333333333333</v>
      </c>
      <c r="D85" s="4">
        <v>0.71428571428571397</v>
      </c>
      <c r="E85" s="4">
        <v>0.99560269402820301</v>
      </c>
    </row>
    <row r="86" spans="1:5" x14ac:dyDescent="0.3">
      <c r="A86" t="s">
        <v>122</v>
      </c>
      <c r="B86" s="4">
        <v>1.6</v>
      </c>
      <c r="C86" s="4">
        <v>0.233333333333333</v>
      </c>
      <c r="D86" s="4">
        <v>0.83333333333333304</v>
      </c>
      <c r="E86" s="4">
        <v>7.1600165582172803E-2</v>
      </c>
    </row>
    <row r="87" spans="1:5" x14ac:dyDescent="0.3">
      <c r="A87" t="s">
        <v>122</v>
      </c>
      <c r="B87" s="4">
        <v>1.2</v>
      </c>
      <c r="C87" s="4">
        <v>0.133333333333333</v>
      </c>
      <c r="D87" s="4">
        <v>0.71428571428571397</v>
      </c>
      <c r="E87" s="4">
        <v>6.8217561785456099E-2</v>
      </c>
    </row>
    <row r="88" spans="1:5" x14ac:dyDescent="0.3">
      <c r="A88" t="s">
        <v>754</v>
      </c>
      <c r="B88" s="4">
        <v>1.7333333333333332</v>
      </c>
      <c r="C88" s="4">
        <v>9.4444444444444262E-2</v>
      </c>
      <c r="D88" s="4">
        <v>0.68948412698412687</v>
      </c>
      <c r="E88" s="4">
        <v>0.40187257476351484</v>
      </c>
    </row>
    <row r="89" spans="1:5" x14ac:dyDescent="0.3">
      <c r="A89" t="s">
        <v>630</v>
      </c>
      <c r="B89" s="4">
        <v>2</v>
      </c>
      <c r="C89" s="4">
        <v>0.41666666666666702</v>
      </c>
      <c r="D89" s="4">
        <v>0.71428571428571397</v>
      </c>
      <c r="E89" s="4">
        <v>1</v>
      </c>
    </row>
    <row r="90" spans="1:5" x14ac:dyDescent="0.3">
      <c r="A90" t="s">
        <v>630</v>
      </c>
      <c r="B90" s="4">
        <v>1.2</v>
      </c>
      <c r="C90" s="4">
        <v>3.3333333333333298E-2</v>
      </c>
      <c r="D90" s="4">
        <v>0.45454545454545497</v>
      </c>
      <c r="E90" s="4">
        <v>0.82746660845251696</v>
      </c>
    </row>
    <row r="91" spans="1:5" x14ac:dyDescent="0.3">
      <c r="A91" t="s">
        <v>630</v>
      </c>
      <c r="B91" s="4">
        <v>1.6</v>
      </c>
      <c r="C91" s="4">
        <v>0.15</v>
      </c>
      <c r="D91" s="4">
        <v>0.55555555555555602</v>
      </c>
      <c r="E91" s="4">
        <v>0.755043897828657</v>
      </c>
    </row>
    <row r="92" spans="1:5" x14ac:dyDescent="0.3">
      <c r="A92" t="s">
        <v>630</v>
      </c>
      <c r="B92" s="4">
        <v>0.8</v>
      </c>
      <c r="C92" s="4">
        <v>8.3333333333333301E-2</v>
      </c>
      <c r="D92" s="4">
        <v>0.55555555555555602</v>
      </c>
      <c r="E92" s="4">
        <v>0.18844813945848399</v>
      </c>
    </row>
    <row r="93" spans="1:5" x14ac:dyDescent="0.3">
      <c r="A93" t="s">
        <v>630</v>
      </c>
      <c r="B93" s="4">
        <v>0.8</v>
      </c>
      <c r="C93" s="4">
        <v>8.3333333333333301E-2</v>
      </c>
      <c r="D93" s="4">
        <v>0.55555555555555602</v>
      </c>
      <c r="E93" s="4">
        <v>0.18844813945848399</v>
      </c>
    </row>
    <row r="94" spans="1:5" x14ac:dyDescent="0.3">
      <c r="A94" t="s">
        <v>630</v>
      </c>
      <c r="B94" s="4">
        <v>0.8</v>
      </c>
      <c r="C94" s="4">
        <v>0.2</v>
      </c>
      <c r="D94" s="4">
        <v>0.55555555555555602</v>
      </c>
      <c r="E94" s="4">
        <v>0.196224540429703</v>
      </c>
    </row>
    <row r="95" spans="1:5" x14ac:dyDescent="0.3">
      <c r="A95" t="s">
        <v>755</v>
      </c>
      <c r="B95" s="4">
        <v>1.4</v>
      </c>
      <c r="C95" s="4">
        <v>0.20000000000000004</v>
      </c>
      <c r="D95" s="4">
        <v>0.52857142857142847</v>
      </c>
      <c r="E95" s="4">
        <v>0.59523997170895715</v>
      </c>
    </row>
    <row r="96" spans="1:5" x14ac:dyDescent="0.3">
      <c r="A96" t="s">
        <v>631</v>
      </c>
      <c r="B96" s="4">
        <v>0.88888888888888895</v>
      </c>
      <c r="C96" s="4">
        <v>0</v>
      </c>
      <c r="D96" s="4">
        <v>0.27272727272727298</v>
      </c>
      <c r="E96" s="4">
        <v>0.65201277852555295</v>
      </c>
    </row>
    <row r="97" spans="1:5" x14ac:dyDescent="0.3">
      <c r="A97" t="s">
        <v>631</v>
      </c>
      <c r="B97" s="4">
        <v>1.3333333333333299</v>
      </c>
      <c r="C97" s="4">
        <v>0.52777777777777801</v>
      </c>
      <c r="D97" s="4">
        <v>0.5625</v>
      </c>
      <c r="E97" s="4">
        <v>0.194279377453629</v>
      </c>
    </row>
    <row r="98" spans="1:5" x14ac:dyDescent="0.3">
      <c r="A98" t="s">
        <v>631</v>
      </c>
      <c r="B98" s="4">
        <v>0.44444444444444398</v>
      </c>
      <c r="C98" s="4">
        <v>3.7037037037037E-2</v>
      </c>
      <c r="D98" s="4">
        <v>0.45</v>
      </c>
      <c r="E98" s="4">
        <v>1.1640568093059101E-2</v>
      </c>
    </row>
    <row r="99" spans="1:5" x14ac:dyDescent="0.3">
      <c r="A99" t="s">
        <v>631</v>
      </c>
      <c r="B99" s="4">
        <v>1.1111111111111101</v>
      </c>
      <c r="C99" s="4">
        <v>0.16666666666666699</v>
      </c>
      <c r="D99" s="4">
        <v>0.45</v>
      </c>
      <c r="E99" s="4">
        <v>9.9965820906019201E-2</v>
      </c>
    </row>
    <row r="100" spans="1:5" x14ac:dyDescent="0.3">
      <c r="A100" t="s">
        <v>631</v>
      </c>
      <c r="B100" s="4">
        <v>1.3333333333333299</v>
      </c>
      <c r="C100" s="4">
        <v>0</v>
      </c>
      <c r="D100" s="4">
        <v>0.375</v>
      </c>
      <c r="E100" s="4">
        <v>1</v>
      </c>
    </row>
    <row r="101" spans="1:5" x14ac:dyDescent="0.3">
      <c r="A101" t="s">
        <v>631</v>
      </c>
      <c r="B101" s="4">
        <v>1.1111111111111101</v>
      </c>
      <c r="C101" s="4">
        <v>0.30092592592592599</v>
      </c>
      <c r="D101" s="4">
        <v>0.52941176470588203</v>
      </c>
      <c r="E101" s="4">
        <v>0.217865093397278</v>
      </c>
    </row>
    <row r="102" spans="1:5" x14ac:dyDescent="0.3">
      <c r="A102" t="s">
        <v>631</v>
      </c>
      <c r="B102" s="4">
        <v>1.3333333333333299</v>
      </c>
      <c r="C102" s="4">
        <v>0</v>
      </c>
      <c r="D102" s="4">
        <v>0.40909090909090901</v>
      </c>
      <c r="E102" s="4">
        <v>0.90882796261059196</v>
      </c>
    </row>
    <row r="103" spans="1:5" x14ac:dyDescent="0.3">
      <c r="A103" t="s">
        <v>631</v>
      </c>
      <c r="B103" s="4">
        <v>1.3333333333333299</v>
      </c>
      <c r="C103" s="4">
        <v>0.38888888888888901</v>
      </c>
      <c r="D103" s="4">
        <v>0.45</v>
      </c>
      <c r="E103" s="4">
        <v>0.66381605863733095</v>
      </c>
    </row>
    <row r="104" spans="1:5" x14ac:dyDescent="0.3">
      <c r="A104" t="s">
        <v>631</v>
      </c>
      <c r="B104" s="4">
        <v>0.44444444444444398</v>
      </c>
      <c r="C104" s="4">
        <v>0</v>
      </c>
      <c r="D104" s="4">
        <v>0.33333333333333298</v>
      </c>
      <c r="E104" s="4">
        <v>2.7342779290433501E-2</v>
      </c>
    </row>
    <row r="105" spans="1:5" x14ac:dyDescent="0.3">
      <c r="A105" t="s">
        <v>631</v>
      </c>
      <c r="B105" s="4">
        <v>0.44444444444444398</v>
      </c>
      <c r="C105" s="4">
        <v>0</v>
      </c>
      <c r="D105" s="4">
        <v>0.33333333333333298</v>
      </c>
      <c r="E105" s="4">
        <v>2.7342779290433501E-2</v>
      </c>
    </row>
    <row r="106" spans="1:5" x14ac:dyDescent="0.3">
      <c r="A106" t="s">
        <v>756</v>
      </c>
      <c r="B106" s="4">
        <v>0.85714285714285643</v>
      </c>
      <c r="C106" s="4">
        <v>0.17857142857142858</v>
      </c>
      <c r="D106" s="4">
        <v>0.2010979595090065</v>
      </c>
      <c r="E106" s="4">
        <v>0.42462772426877815</v>
      </c>
    </row>
    <row r="107" spans="1:5" x14ac:dyDescent="0.3">
      <c r="A107" t="s">
        <v>632</v>
      </c>
      <c r="B107" s="4">
        <v>2</v>
      </c>
      <c r="C107" s="4">
        <v>0</v>
      </c>
      <c r="D107" s="4">
        <v>0.66666666666666696</v>
      </c>
      <c r="E107" s="4">
        <v>0.80372660506931803</v>
      </c>
    </row>
    <row r="108" spans="1:5" x14ac:dyDescent="0.3">
      <c r="A108" t="s">
        <v>632</v>
      </c>
      <c r="B108" s="4">
        <v>2</v>
      </c>
      <c r="C108" s="4">
        <v>0</v>
      </c>
      <c r="D108" s="4">
        <v>0.66666666666666696</v>
      </c>
      <c r="E108" s="4">
        <v>1</v>
      </c>
    </row>
    <row r="109" spans="1:5" x14ac:dyDescent="0.3">
      <c r="A109" t="s">
        <v>632</v>
      </c>
      <c r="B109" s="4">
        <v>1.5</v>
      </c>
      <c r="C109" s="4">
        <v>0</v>
      </c>
      <c r="D109" s="4">
        <v>0.57142857142857095</v>
      </c>
      <c r="E109" s="4">
        <v>0.78645863250618597</v>
      </c>
    </row>
    <row r="110" spans="1:5" x14ac:dyDescent="0.3">
      <c r="A110" t="s">
        <v>632</v>
      </c>
      <c r="B110" s="4">
        <v>2</v>
      </c>
      <c r="C110" s="4">
        <v>0.5</v>
      </c>
      <c r="D110" s="4">
        <v>1</v>
      </c>
      <c r="E110" s="4">
        <v>0.27901193442917699</v>
      </c>
    </row>
    <row r="111" spans="1:5" x14ac:dyDescent="0.3">
      <c r="A111" t="s">
        <v>632</v>
      </c>
      <c r="B111" s="4">
        <v>1.5</v>
      </c>
      <c r="C111" s="4">
        <v>8.3333333333333301E-2</v>
      </c>
      <c r="D111" s="4">
        <v>0.8</v>
      </c>
      <c r="E111" s="4">
        <v>0.20769605566191601</v>
      </c>
    </row>
    <row r="112" spans="1:5" x14ac:dyDescent="0.3">
      <c r="A112" t="s">
        <v>757</v>
      </c>
      <c r="B112" s="4">
        <v>0</v>
      </c>
      <c r="C112" s="4">
        <v>0</v>
      </c>
      <c r="D112" s="4">
        <v>0</v>
      </c>
      <c r="E112" s="4">
        <v>0</v>
      </c>
    </row>
    <row r="113" spans="1:5" x14ac:dyDescent="0.3">
      <c r="A113" t="s">
        <v>633</v>
      </c>
      <c r="B113" s="4">
        <v>2</v>
      </c>
      <c r="C113" s="4">
        <v>0</v>
      </c>
      <c r="D113" s="4">
        <v>0.30769230769230799</v>
      </c>
      <c r="E113" s="4">
        <v>1</v>
      </c>
    </row>
    <row r="114" spans="1:5" x14ac:dyDescent="0.3">
      <c r="A114" t="s">
        <v>633</v>
      </c>
      <c r="B114" s="4">
        <v>2</v>
      </c>
      <c r="C114" s="4">
        <v>0.33333333333333298</v>
      </c>
      <c r="D114" s="4">
        <v>0.33333333333333298</v>
      </c>
      <c r="E114" s="4">
        <v>0.98832997780000698</v>
      </c>
    </row>
    <row r="115" spans="1:5" x14ac:dyDescent="0.3">
      <c r="A115" t="s">
        <v>633</v>
      </c>
      <c r="B115" s="4">
        <v>1</v>
      </c>
      <c r="C115" s="4">
        <v>0</v>
      </c>
      <c r="D115" s="4">
        <v>0.114285714285714</v>
      </c>
      <c r="E115" s="4">
        <v>0.59822240218656197</v>
      </c>
    </row>
    <row r="116" spans="1:5" x14ac:dyDescent="0.3">
      <c r="A116" t="s">
        <v>633</v>
      </c>
      <c r="B116" s="4">
        <v>1.5</v>
      </c>
      <c r="C116" s="4">
        <v>8.3333333333333301E-2</v>
      </c>
      <c r="D116" s="4">
        <v>0.33333333333333298</v>
      </c>
      <c r="E116" s="4">
        <v>7.2935558675656001E-2</v>
      </c>
    </row>
    <row r="117" spans="1:5" x14ac:dyDescent="0.3">
      <c r="A117" t="s">
        <v>633</v>
      </c>
      <c r="B117" s="4">
        <v>1.5</v>
      </c>
      <c r="C117" s="4">
        <v>8.3333333333333301E-2</v>
      </c>
      <c r="D117" s="4">
        <v>0.33333333333333298</v>
      </c>
      <c r="E117" s="4">
        <v>7.2935558675656001E-2</v>
      </c>
    </row>
    <row r="118" spans="1:5" x14ac:dyDescent="0.3">
      <c r="A118" t="s">
        <v>758</v>
      </c>
      <c r="B118" s="4">
        <v>0</v>
      </c>
      <c r="C118" s="4">
        <v>0</v>
      </c>
      <c r="D118" s="4">
        <v>0</v>
      </c>
      <c r="E118" s="4">
        <v>0</v>
      </c>
    </row>
    <row r="119" spans="1:5" x14ac:dyDescent="0.3">
      <c r="A119" t="s">
        <v>634</v>
      </c>
      <c r="B119" s="4">
        <v>0.8</v>
      </c>
      <c r="C119" s="4">
        <v>0.05</v>
      </c>
      <c r="D119" s="4">
        <v>0.55555555555555602</v>
      </c>
      <c r="E119" s="4">
        <v>7.2051953812052899E-2</v>
      </c>
    </row>
    <row r="120" spans="1:5" x14ac:dyDescent="0.3">
      <c r="A120" t="s">
        <v>634</v>
      </c>
      <c r="B120" s="4">
        <v>1.2</v>
      </c>
      <c r="C120" s="4">
        <v>0.1</v>
      </c>
      <c r="D120" s="4">
        <v>0.55555555555555602</v>
      </c>
      <c r="E120" s="4">
        <v>0.18414990444232801</v>
      </c>
    </row>
    <row r="121" spans="1:5" x14ac:dyDescent="0.3">
      <c r="A121" t="s">
        <v>634</v>
      </c>
      <c r="B121" s="4">
        <v>2</v>
      </c>
      <c r="C121" s="4">
        <v>0.2</v>
      </c>
      <c r="D121" s="4">
        <v>0.625</v>
      </c>
      <c r="E121" s="4">
        <v>1</v>
      </c>
    </row>
    <row r="122" spans="1:5" x14ac:dyDescent="0.3">
      <c r="A122" t="s">
        <v>634</v>
      </c>
      <c r="B122" s="4">
        <v>1.6</v>
      </c>
      <c r="C122" s="4">
        <v>0.2</v>
      </c>
      <c r="D122" s="4">
        <v>0.625</v>
      </c>
      <c r="E122" s="4">
        <v>0.95439049793960895</v>
      </c>
    </row>
    <row r="123" spans="1:5" x14ac:dyDescent="0.3">
      <c r="A123" t="s">
        <v>634</v>
      </c>
      <c r="B123" s="4">
        <v>1.2</v>
      </c>
      <c r="C123" s="4">
        <v>0</v>
      </c>
      <c r="D123" s="4">
        <v>0.45454545454545497</v>
      </c>
      <c r="E123" s="4">
        <v>0.90386066200870996</v>
      </c>
    </row>
    <row r="124" spans="1:5" x14ac:dyDescent="0.3">
      <c r="A124" t="s">
        <v>634</v>
      </c>
      <c r="B124" s="4">
        <v>1.2</v>
      </c>
      <c r="C124" s="4">
        <v>0.5</v>
      </c>
      <c r="D124" s="4">
        <v>0.71428571428571397</v>
      </c>
      <c r="E124" s="4">
        <v>0.17391597110066101</v>
      </c>
    </row>
    <row r="125" spans="1:5" x14ac:dyDescent="0.3">
      <c r="A125" t="s">
        <v>759</v>
      </c>
      <c r="B125" s="4">
        <v>2</v>
      </c>
      <c r="C125" s="4">
        <v>0.25</v>
      </c>
      <c r="D125" s="4">
        <v>0.7</v>
      </c>
      <c r="E125" s="4">
        <v>0.76544703742440479</v>
      </c>
    </row>
    <row r="126" spans="1:5" x14ac:dyDescent="0.3">
      <c r="A126" t="s">
        <v>635</v>
      </c>
      <c r="B126" s="4">
        <v>2</v>
      </c>
      <c r="C126" s="4">
        <v>0.38095238095238099</v>
      </c>
      <c r="D126" s="4">
        <v>0.7</v>
      </c>
      <c r="E126" s="4">
        <v>0.98858990614705</v>
      </c>
    </row>
    <row r="127" spans="1:5" x14ac:dyDescent="0.3">
      <c r="A127" t="s">
        <v>635</v>
      </c>
      <c r="B127" s="4">
        <v>2</v>
      </c>
      <c r="C127" s="4">
        <v>0.14285714285714299</v>
      </c>
      <c r="D127" s="4">
        <v>0.63636363636363602</v>
      </c>
      <c r="E127" s="4">
        <v>1</v>
      </c>
    </row>
    <row r="128" spans="1:5" x14ac:dyDescent="0.3">
      <c r="A128" t="s">
        <v>635</v>
      </c>
      <c r="B128" s="4">
        <v>0.85714285714285698</v>
      </c>
      <c r="C128" s="4">
        <v>1.58730158730159E-2</v>
      </c>
      <c r="D128" s="4">
        <v>0.53846153846153799</v>
      </c>
      <c r="E128" s="4">
        <v>0.164915525876031</v>
      </c>
    </row>
    <row r="129" spans="1:5" x14ac:dyDescent="0.3">
      <c r="A129" t="s">
        <v>635</v>
      </c>
      <c r="B129" s="4">
        <v>0.85714285714285698</v>
      </c>
      <c r="C129" s="4">
        <v>1.58730158730159E-2</v>
      </c>
      <c r="D129" s="4">
        <v>0.53846153846153799</v>
      </c>
      <c r="E129" s="4">
        <v>0.164915525876031</v>
      </c>
    </row>
    <row r="130" spans="1:5" x14ac:dyDescent="0.3">
      <c r="A130" t="s">
        <v>635</v>
      </c>
      <c r="B130" s="4">
        <v>1.1428571428571399</v>
      </c>
      <c r="C130" s="4">
        <v>0</v>
      </c>
      <c r="D130" s="4">
        <v>0.4375</v>
      </c>
      <c r="E130" s="4">
        <v>0.77996939490663098</v>
      </c>
    </row>
    <row r="131" spans="1:5" x14ac:dyDescent="0.3">
      <c r="A131" t="s">
        <v>635</v>
      </c>
      <c r="B131" s="4">
        <v>1.1428571428571399</v>
      </c>
      <c r="C131" s="4">
        <v>0</v>
      </c>
      <c r="D131" s="4">
        <v>0.4375</v>
      </c>
      <c r="E131" s="4">
        <v>0.65613323848011196</v>
      </c>
    </row>
    <row r="132" spans="1:5" x14ac:dyDescent="0.3">
      <c r="A132" t="s">
        <v>635</v>
      </c>
      <c r="B132" s="4">
        <v>1.1428571428571399</v>
      </c>
      <c r="C132" s="4">
        <v>0.53968253968253999</v>
      </c>
      <c r="D132" s="4">
        <v>0.7</v>
      </c>
      <c r="E132" s="4">
        <v>0.26226308172826601</v>
      </c>
    </row>
    <row r="133" spans="1:5" x14ac:dyDescent="0.3">
      <c r="A133" t="s">
        <v>635</v>
      </c>
      <c r="B133" s="4">
        <v>0.57142857142857095</v>
      </c>
      <c r="C133" s="4">
        <v>0</v>
      </c>
      <c r="D133" s="4">
        <v>0.46666666666666701</v>
      </c>
      <c r="E133" s="4">
        <v>0.22886632588478001</v>
      </c>
    </row>
    <row r="134" spans="1:5" x14ac:dyDescent="0.3">
      <c r="A134" t="s">
        <v>760</v>
      </c>
      <c r="B134" s="4">
        <v>1.5999999999999999</v>
      </c>
      <c r="C134" s="4">
        <v>0.18333333333333335</v>
      </c>
      <c r="D134" s="4">
        <v>0.57807239057239068</v>
      </c>
      <c r="E134" s="4">
        <v>0.65953409504400373</v>
      </c>
    </row>
    <row r="135" spans="1:5" x14ac:dyDescent="0.3">
      <c r="A135" t="s">
        <v>636</v>
      </c>
      <c r="B135" s="4">
        <v>1.6666666666666701</v>
      </c>
      <c r="C135" s="4">
        <v>0</v>
      </c>
      <c r="D135" s="4">
        <v>0.3</v>
      </c>
      <c r="E135" s="4">
        <v>1</v>
      </c>
    </row>
    <row r="136" spans="1:5" x14ac:dyDescent="0.3">
      <c r="A136" t="s">
        <v>636</v>
      </c>
      <c r="B136" s="4">
        <v>1.6666666666666701</v>
      </c>
      <c r="C136" s="4">
        <v>0</v>
      </c>
      <c r="D136" s="4">
        <v>0.3</v>
      </c>
      <c r="E136" s="4">
        <v>0.922063291350257</v>
      </c>
    </row>
    <row r="137" spans="1:5" x14ac:dyDescent="0.3">
      <c r="A137" t="s">
        <v>636</v>
      </c>
      <c r="B137" s="4">
        <v>1.6666666666666701</v>
      </c>
      <c r="C137" s="4">
        <v>6.6666666666666693E-2</v>
      </c>
      <c r="D137" s="4">
        <v>0.375</v>
      </c>
      <c r="E137" s="4">
        <v>0.426652358265807</v>
      </c>
    </row>
    <row r="138" spans="1:5" x14ac:dyDescent="0.3">
      <c r="A138" t="s">
        <v>636</v>
      </c>
      <c r="B138" s="4">
        <v>1.6666666666666701</v>
      </c>
      <c r="C138" s="4">
        <v>6.6666666666666693E-2</v>
      </c>
      <c r="D138" s="4">
        <v>0.375</v>
      </c>
      <c r="E138" s="4">
        <v>0.426652358265807</v>
      </c>
    </row>
    <row r="139" spans="1:5" x14ac:dyDescent="0.3">
      <c r="A139" t="s">
        <v>636</v>
      </c>
      <c r="B139" s="4">
        <v>1.6666666666666701</v>
      </c>
      <c r="C139" s="4">
        <v>6.6666666666666693E-2</v>
      </c>
      <c r="D139" s="4">
        <v>0.375</v>
      </c>
      <c r="E139" s="4">
        <v>0.426652358265807</v>
      </c>
    </row>
    <row r="140" spans="1:5" x14ac:dyDescent="0.3">
      <c r="A140" t="s">
        <v>636</v>
      </c>
      <c r="B140" s="4">
        <v>1.6666666666666701</v>
      </c>
      <c r="C140" s="4">
        <v>0.1</v>
      </c>
      <c r="D140" s="4">
        <v>0.375</v>
      </c>
      <c r="E140" s="4">
        <v>0.858133496191129</v>
      </c>
    </row>
    <row r="141" spans="1:5" x14ac:dyDescent="0.3">
      <c r="A141" t="s">
        <v>636</v>
      </c>
      <c r="B141" s="4">
        <v>0</v>
      </c>
      <c r="C141" s="4">
        <v>0</v>
      </c>
      <c r="D141" s="4">
        <v>0.14285714285714299</v>
      </c>
      <c r="E141" s="4">
        <v>0</v>
      </c>
    </row>
    <row r="142" spans="1:5" x14ac:dyDescent="0.3">
      <c r="A142" t="s">
        <v>761</v>
      </c>
      <c r="B142" s="4">
        <v>2</v>
      </c>
      <c r="C142" s="4">
        <v>7.5000000000000011E-2</v>
      </c>
      <c r="D142" s="4">
        <v>0.49857549857549904</v>
      </c>
      <c r="E142" s="4">
        <v>0.67669231038980104</v>
      </c>
    </row>
    <row r="143" spans="1:5" x14ac:dyDescent="0.3">
      <c r="A143" t="s">
        <v>637</v>
      </c>
      <c r="B143" s="4">
        <v>1.3333333333333299</v>
      </c>
      <c r="C143" s="4">
        <v>0.73333333333333295</v>
      </c>
      <c r="D143" s="4">
        <v>0.46153846153846201</v>
      </c>
      <c r="E143" s="4">
        <v>1</v>
      </c>
    </row>
    <row r="144" spans="1:5" x14ac:dyDescent="0.3">
      <c r="A144" t="s">
        <v>637</v>
      </c>
      <c r="B144" s="4">
        <v>0.66666666666666696</v>
      </c>
      <c r="C144" s="4">
        <v>0</v>
      </c>
      <c r="D144" s="4">
        <v>0.28571428571428598</v>
      </c>
      <c r="E144" s="4">
        <v>0.88342771334899794</v>
      </c>
    </row>
    <row r="145" spans="1:5" x14ac:dyDescent="0.3">
      <c r="A145" t="s">
        <v>637</v>
      </c>
      <c r="B145" s="4">
        <v>0.66666666666666696</v>
      </c>
      <c r="C145" s="4">
        <v>0.33333333333333298</v>
      </c>
      <c r="D145" s="4">
        <v>0.375</v>
      </c>
      <c r="E145" s="4">
        <v>0.37988912306057598</v>
      </c>
    </row>
    <row r="146" spans="1:5" x14ac:dyDescent="0.3">
      <c r="A146" t="s">
        <v>637</v>
      </c>
      <c r="B146" s="4">
        <v>0.66666666666666696</v>
      </c>
      <c r="C146" s="4">
        <v>0.53333333333333299</v>
      </c>
      <c r="D146" s="4">
        <v>0.4</v>
      </c>
      <c r="E146" s="4">
        <v>0.42126720810698798</v>
      </c>
    </row>
    <row r="147" spans="1:5" x14ac:dyDescent="0.3">
      <c r="A147" t="s">
        <v>637</v>
      </c>
      <c r="B147" s="4">
        <v>0.33333333333333298</v>
      </c>
      <c r="C147" s="4">
        <v>0</v>
      </c>
      <c r="D147" s="4">
        <v>0.33333333333333298</v>
      </c>
      <c r="E147" s="4">
        <v>0.20170093089746499</v>
      </c>
    </row>
    <row r="148" spans="1:5" x14ac:dyDescent="0.3">
      <c r="A148" t="s">
        <v>637</v>
      </c>
      <c r="B148" s="4">
        <v>0.66666666666666696</v>
      </c>
      <c r="C148" s="4">
        <v>0.33333333333333298</v>
      </c>
      <c r="D148" s="4">
        <v>0.33333333333333298</v>
      </c>
      <c r="E148" s="4">
        <v>8.8573445013703497E-2</v>
      </c>
    </row>
    <row r="149" spans="1:5" x14ac:dyDescent="0.3">
      <c r="A149" t="s">
        <v>637</v>
      </c>
      <c r="B149" s="4">
        <v>0.33333333333333298</v>
      </c>
      <c r="C149" s="4">
        <v>0</v>
      </c>
      <c r="D149" s="4">
        <v>0.26086956521739102</v>
      </c>
      <c r="E149" s="4">
        <v>1.78653463120594E-2</v>
      </c>
    </row>
    <row r="150" spans="1:5" x14ac:dyDescent="0.3">
      <c r="A150" t="s">
        <v>762</v>
      </c>
      <c r="B150" s="4">
        <v>1</v>
      </c>
      <c r="C150" s="4">
        <v>0.26666666666666661</v>
      </c>
      <c r="D150" s="4">
        <v>0.48317460317460298</v>
      </c>
      <c r="E150" s="4">
        <v>0.57516841367395399</v>
      </c>
    </row>
    <row r="151" spans="1:5" x14ac:dyDescent="0.3">
      <c r="A151" t="s">
        <v>638</v>
      </c>
      <c r="B151" s="4">
        <v>1.2</v>
      </c>
      <c r="C151" s="4">
        <v>0.2</v>
      </c>
      <c r="D151" s="4">
        <v>0.37037037037037002</v>
      </c>
      <c r="E151" s="4">
        <v>0.30564178845623302</v>
      </c>
    </row>
    <row r="152" spans="1:5" x14ac:dyDescent="0.3">
      <c r="A152" t="s">
        <v>638</v>
      </c>
      <c r="B152" s="4">
        <v>1</v>
      </c>
      <c r="C152" s="4">
        <v>0</v>
      </c>
      <c r="D152" s="4">
        <v>0.3125</v>
      </c>
      <c r="E152" s="4">
        <v>0.46130632597182702</v>
      </c>
    </row>
    <row r="153" spans="1:5" x14ac:dyDescent="0.3">
      <c r="A153" t="s">
        <v>638</v>
      </c>
      <c r="B153" s="4">
        <v>1.4</v>
      </c>
      <c r="C153" s="4">
        <v>0.42592592592592599</v>
      </c>
      <c r="D153" s="4">
        <v>0.52631578947368396</v>
      </c>
      <c r="E153" s="4">
        <v>0.81839644781342402</v>
      </c>
    </row>
    <row r="154" spans="1:5" x14ac:dyDescent="0.3">
      <c r="A154" t="s">
        <v>638</v>
      </c>
      <c r="B154" s="4">
        <v>1.8</v>
      </c>
      <c r="C154" s="4">
        <v>0.211111111111111</v>
      </c>
      <c r="D154" s="4">
        <v>0.4</v>
      </c>
      <c r="E154" s="4">
        <v>1</v>
      </c>
    </row>
    <row r="155" spans="1:5" x14ac:dyDescent="0.3">
      <c r="A155" t="s">
        <v>638</v>
      </c>
      <c r="B155" s="4">
        <v>1</v>
      </c>
      <c r="C155" s="4">
        <v>0.296296296296296</v>
      </c>
      <c r="D155" s="4">
        <v>0.5</v>
      </c>
      <c r="E155" s="4">
        <v>0.196459113289738</v>
      </c>
    </row>
    <row r="156" spans="1:5" x14ac:dyDescent="0.3">
      <c r="A156" t="s">
        <v>638</v>
      </c>
      <c r="B156" s="4">
        <v>0.6</v>
      </c>
      <c r="C156" s="4">
        <v>7.4074074074074098E-2</v>
      </c>
      <c r="D156" s="4">
        <v>0.434782608695652</v>
      </c>
      <c r="E156" s="4">
        <v>6.4623104971243295E-2</v>
      </c>
    </row>
    <row r="157" spans="1:5" x14ac:dyDescent="0.3">
      <c r="A157" t="s">
        <v>638</v>
      </c>
      <c r="B157" s="4">
        <v>0.6</v>
      </c>
      <c r="C157" s="4">
        <v>0</v>
      </c>
      <c r="D157" s="4">
        <v>0.4</v>
      </c>
      <c r="E157" s="4">
        <v>9.72564872198593E-2</v>
      </c>
    </row>
    <row r="158" spans="1:5" x14ac:dyDescent="0.3">
      <c r="A158" t="s">
        <v>638</v>
      </c>
      <c r="B158" s="4">
        <v>0.8</v>
      </c>
      <c r="C158" s="4">
        <v>0.155555555555556</v>
      </c>
      <c r="D158" s="4">
        <v>0.4</v>
      </c>
      <c r="E158" s="4">
        <v>0.54882408140191097</v>
      </c>
    </row>
    <row r="159" spans="1:5" x14ac:dyDescent="0.3">
      <c r="A159" t="s">
        <v>638</v>
      </c>
      <c r="B159" s="4">
        <v>0.2</v>
      </c>
      <c r="C159" s="4">
        <v>0</v>
      </c>
      <c r="D159" s="4">
        <v>0.29411764705882398</v>
      </c>
      <c r="E159" s="4">
        <v>3.3734244752492502E-2</v>
      </c>
    </row>
    <row r="160" spans="1:5" x14ac:dyDescent="0.3">
      <c r="A160" t="s">
        <v>638</v>
      </c>
      <c r="B160" s="4">
        <v>0.4</v>
      </c>
      <c r="C160" s="4">
        <v>5.1851851851851802E-2</v>
      </c>
      <c r="D160" s="4">
        <v>0.41666666666666702</v>
      </c>
      <c r="E160" s="4">
        <v>6.1342230827600999E-2</v>
      </c>
    </row>
    <row r="161" spans="1:5" x14ac:dyDescent="0.3">
      <c r="A161" t="s">
        <v>638</v>
      </c>
      <c r="B161" s="4">
        <v>0.2</v>
      </c>
      <c r="C161" s="4">
        <v>0</v>
      </c>
      <c r="D161" s="4">
        <v>0.27777777777777801</v>
      </c>
      <c r="E161" s="4">
        <v>1.03105948983721E-2</v>
      </c>
    </row>
    <row r="162" spans="1:5" x14ac:dyDescent="0.3">
      <c r="A162" t="s">
        <v>763</v>
      </c>
      <c r="B162" s="4">
        <v>1.6666666666666652</v>
      </c>
      <c r="C162" s="4">
        <v>0.16666666666666649</v>
      </c>
      <c r="D162" s="4">
        <v>0.67500000000000004</v>
      </c>
      <c r="E162" s="4">
        <v>0.56051141149713057</v>
      </c>
    </row>
    <row r="163" spans="1:5" x14ac:dyDescent="0.3">
      <c r="A163" t="s">
        <v>639</v>
      </c>
      <c r="B163" s="4">
        <v>0.73684210526315796</v>
      </c>
      <c r="C163" s="4">
        <v>0.13311055416318601</v>
      </c>
      <c r="D163" s="4">
        <v>0.322033898305085</v>
      </c>
      <c r="E163" s="4">
        <v>0.36741244966946202</v>
      </c>
    </row>
    <row r="164" spans="1:5" x14ac:dyDescent="0.3">
      <c r="A164" t="s">
        <v>639</v>
      </c>
      <c r="B164" s="4">
        <v>0.31578947368421101</v>
      </c>
      <c r="C164" s="4">
        <v>0</v>
      </c>
      <c r="D164" s="4">
        <v>0.234567901234568</v>
      </c>
      <c r="E164" s="4">
        <v>0.16376765571559601</v>
      </c>
    </row>
    <row r="165" spans="1:5" x14ac:dyDescent="0.3">
      <c r="A165" t="s">
        <v>639</v>
      </c>
      <c r="B165" s="4">
        <v>1.26315789473684</v>
      </c>
      <c r="C165" s="4">
        <v>0.268309663046505</v>
      </c>
      <c r="D165" s="4">
        <v>0.32758620689655199</v>
      </c>
      <c r="E165" s="4">
        <v>0.71436281529388002</v>
      </c>
    </row>
    <row r="166" spans="1:5" x14ac:dyDescent="0.3">
      <c r="A166" t="s">
        <v>639</v>
      </c>
      <c r="B166" s="4">
        <v>0.31578947368421101</v>
      </c>
      <c r="C166" s="4">
        <v>5.7504873294347003E-2</v>
      </c>
      <c r="D166" s="4">
        <v>0.296875</v>
      </c>
      <c r="E166" s="4">
        <v>9.04949121286346E-2</v>
      </c>
    </row>
    <row r="167" spans="1:5" x14ac:dyDescent="0.3">
      <c r="A167" t="s">
        <v>639</v>
      </c>
      <c r="B167" s="4">
        <v>1.3684210526315801</v>
      </c>
      <c r="C167" s="4">
        <v>0.39376218323586698</v>
      </c>
      <c r="D167" s="4">
        <v>0.35185185185185203</v>
      </c>
      <c r="E167" s="4">
        <v>1</v>
      </c>
    </row>
    <row r="168" spans="1:5" x14ac:dyDescent="0.3">
      <c r="A168" t="s">
        <v>639</v>
      </c>
      <c r="B168" s="4">
        <v>0.105263157894737</v>
      </c>
      <c r="C168" s="4">
        <v>0</v>
      </c>
      <c r="D168" s="4">
        <v>0.20652173913043501</v>
      </c>
      <c r="E168" s="4">
        <v>0.10380405062676699</v>
      </c>
    </row>
    <row r="169" spans="1:5" x14ac:dyDescent="0.3">
      <c r="A169" t="s">
        <v>639</v>
      </c>
      <c r="B169" s="4">
        <v>0.42105263157894701</v>
      </c>
      <c r="C169" s="4">
        <v>5.4163185742133101E-2</v>
      </c>
      <c r="D169" s="4">
        <v>0.31666666666666698</v>
      </c>
      <c r="E169" s="4">
        <v>0.157360783133354</v>
      </c>
    </row>
    <row r="170" spans="1:5" x14ac:dyDescent="0.3">
      <c r="A170" t="s">
        <v>639</v>
      </c>
      <c r="B170" s="4">
        <v>0.21052631578947401</v>
      </c>
      <c r="C170" s="4">
        <v>0</v>
      </c>
      <c r="D170" s="4">
        <v>0.28358208955223901</v>
      </c>
      <c r="E170" s="4">
        <v>8.4088039546393295E-2</v>
      </c>
    </row>
    <row r="171" spans="1:5" x14ac:dyDescent="0.3">
      <c r="A171" t="s">
        <v>639</v>
      </c>
      <c r="B171" s="4">
        <v>0.105263157894737</v>
      </c>
      <c r="C171" s="4">
        <v>0</v>
      </c>
      <c r="D171" s="4">
        <v>0.180952380952381</v>
      </c>
      <c r="E171" s="4">
        <v>0.21796497886874899</v>
      </c>
    </row>
    <row r="172" spans="1:5" x14ac:dyDescent="0.3">
      <c r="A172" t="s">
        <v>639</v>
      </c>
      <c r="B172" s="4">
        <v>0</v>
      </c>
      <c r="C172" s="4">
        <v>0</v>
      </c>
      <c r="D172" s="4">
        <v>0.05</v>
      </c>
      <c r="E172" s="4">
        <v>4.5953525656931703E-18</v>
      </c>
    </row>
    <row r="173" spans="1:5" x14ac:dyDescent="0.3">
      <c r="A173" t="s">
        <v>639</v>
      </c>
      <c r="B173" s="4">
        <v>0.105263157894737</v>
      </c>
      <c r="C173" s="4">
        <v>0</v>
      </c>
      <c r="D173" s="4">
        <v>0.21590909090909099</v>
      </c>
      <c r="E173" s="4">
        <v>0.145309985912499</v>
      </c>
    </row>
    <row r="174" spans="1:5" x14ac:dyDescent="0.3">
      <c r="A174" t="s">
        <v>639</v>
      </c>
      <c r="B174" s="4">
        <v>0.73684210526315796</v>
      </c>
      <c r="C174" s="4">
        <v>1.5176830966304599E-2</v>
      </c>
      <c r="D174" s="4">
        <v>0.28358208955223901</v>
      </c>
      <c r="E174" s="4">
        <v>0.99360417485191599</v>
      </c>
    </row>
    <row r="175" spans="1:5" x14ac:dyDescent="0.3">
      <c r="A175" t="s">
        <v>639</v>
      </c>
      <c r="B175" s="4">
        <v>0.42105263157894701</v>
      </c>
      <c r="C175" s="4">
        <v>2.92397660818713E-3</v>
      </c>
      <c r="D175" s="4">
        <v>0.296875</v>
      </c>
      <c r="E175" s="4">
        <v>0.34486338639661102</v>
      </c>
    </row>
    <row r="176" spans="1:5" x14ac:dyDescent="0.3">
      <c r="A176" t="s">
        <v>639</v>
      </c>
      <c r="B176" s="4">
        <v>0.21052631578947401</v>
      </c>
      <c r="C176" s="4">
        <v>1.5176830966304599E-2</v>
      </c>
      <c r="D176" s="4">
        <v>0.30158730158730201</v>
      </c>
      <c r="E176" s="4">
        <v>0.124557018269633</v>
      </c>
    </row>
    <row r="177" spans="1:5" x14ac:dyDescent="0.3">
      <c r="A177" t="s">
        <v>639</v>
      </c>
      <c r="B177" s="4">
        <v>0.31578947368421101</v>
      </c>
      <c r="C177" s="4">
        <v>1.5176830966304599E-2</v>
      </c>
      <c r="D177" s="4">
        <v>0.30645161290322598</v>
      </c>
      <c r="E177" s="4">
        <v>0.13431572642710801</v>
      </c>
    </row>
    <row r="178" spans="1:5" x14ac:dyDescent="0.3">
      <c r="A178" t="s">
        <v>639</v>
      </c>
      <c r="B178" s="4">
        <v>0.31578947368421101</v>
      </c>
      <c r="C178" s="4">
        <v>1.5176830966304599E-2</v>
      </c>
      <c r="D178" s="4">
        <v>0.30645161290322598</v>
      </c>
      <c r="E178" s="4">
        <v>0.13431572642710801</v>
      </c>
    </row>
    <row r="179" spans="1:5" x14ac:dyDescent="0.3">
      <c r="A179" t="s">
        <v>639</v>
      </c>
      <c r="B179" s="4">
        <v>0.31578947368421101</v>
      </c>
      <c r="C179" s="4">
        <v>6.33528265107213E-2</v>
      </c>
      <c r="D179" s="4">
        <v>0.29230769230769199</v>
      </c>
      <c r="E179" s="4">
        <v>0.17465904756217701</v>
      </c>
    </row>
    <row r="180" spans="1:5" x14ac:dyDescent="0.3">
      <c r="A180" t="s">
        <v>639</v>
      </c>
      <c r="B180" s="4">
        <v>0.73684210526315796</v>
      </c>
      <c r="C180" s="4">
        <v>0.116123642439432</v>
      </c>
      <c r="D180" s="4">
        <v>0.27536231884057999</v>
      </c>
      <c r="E180" s="4">
        <v>0.69598407302960497</v>
      </c>
    </row>
    <row r="181" spans="1:5" x14ac:dyDescent="0.3">
      <c r="A181" t="s">
        <v>639</v>
      </c>
      <c r="B181" s="4">
        <v>0.105263157894737</v>
      </c>
      <c r="C181" s="4">
        <v>0</v>
      </c>
      <c r="D181" s="4">
        <v>0.22093023255814001</v>
      </c>
      <c r="E181" s="4">
        <v>5.0566717923627803E-2</v>
      </c>
    </row>
    <row r="182" spans="1:5" x14ac:dyDescent="0.3">
      <c r="A182" t="s">
        <v>639</v>
      </c>
      <c r="B182" s="4">
        <v>0.31578947368421101</v>
      </c>
      <c r="C182" s="4">
        <v>4.0517961570593203E-2</v>
      </c>
      <c r="D182" s="4">
        <v>0.296875</v>
      </c>
      <c r="E182" s="4">
        <v>0.26760231953020902</v>
      </c>
    </row>
    <row r="183" spans="1:5" x14ac:dyDescent="0.3">
      <c r="A183" t="s">
        <v>764</v>
      </c>
      <c r="B183" s="4">
        <v>0.40522875816993398</v>
      </c>
      <c r="C183" s="4">
        <v>6.7299836601307256E-2</v>
      </c>
      <c r="D183" s="4">
        <v>0.262642535858853</v>
      </c>
      <c r="E183" s="4">
        <v>0.29519127701431019</v>
      </c>
    </row>
    <row r="184" spans="1:5" x14ac:dyDescent="0.3">
      <c r="A184" t="s">
        <v>640</v>
      </c>
      <c r="B184" s="4">
        <v>1.5</v>
      </c>
      <c r="C184" s="4">
        <v>0.33333333333333298</v>
      </c>
      <c r="D184" s="4">
        <v>0.105263157894737</v>
      </c>
      <c r="E184" s="4">
        <v>0.68642392929110596</v>
      </c>
    </row>
    <row r="185" spans="1:5" x14ac:dyDescent="0.3">
      <c r="A185" t="s">
        <v>640</v>
      </c>
      <c r="B185" s="4">
        <v>2</v>
      </c>
      <c r="C185" s="4">
        <v>0.5</v>
      </c>
      <c r="D185" s="4">
        <v>9.5238095238095205E-2</v>
      </c>
      <c r="E185" s="4">
        <v>1</v>
      </c>
    </row>
    <row r="186" spans="1:5" x14ac:dyDescent="0.3">
      <c r="A186" t="s">
        <v>640</v>
      </c>
      <c r="B186" s="4">
        <v>1.5</v>
      </c>
      <c r="C186" s="4">
        <v>0</v>
      </c>
      <c r="D186" s="4">
        <v>7.1428571428571397E-2</v>
      </c>
      <c r="E186" s="4">
        <v>0.94180475849340595</v>
      </c>
    </row>
    <row r="187" spans="1:5" x14ac:dyDescent="0.3">
      <c r="A187" t="s">
        <v>640</v>
      </c>
      <c r="B187" s="4">
        <v>1.5</v>
      </c>
      <c r="C187" s="4">
        <v>0</v>
      </c>
      <c r="D187" s="4">
        <v>7.5471698113207503E-2</v>
      </c>
      <c r="E187" s="4">
        <v>0.93346592225375302</v>
      </c>
    </row>
    <row r="188" spans="1:5" x14ac:dyDescent="0.3">
      <c r="A188" t="s">
        <v>640</v>
      </c>
      <c r="B188" s="4">
        <v>0.5</v>
      </c>
      <c r="C188" s="4">
        <v>0</v>
      </c>
      <c r="D188" s="4">
        <v>8.8888888888888906E-2</v>
      </c>
      <c r="E188" s="4">
        <v>2.64409398619273E-2</v>
      </c>
    </row>
    <row r="189" spans="1:5" x14ac:dyDescent="0.3">
      <c r="A189" t="s">
        <v>641</v>
      </c>
      <c r="B189" s="4">
        <v>0.5</v>
      </c>
      <c r="C189" s="4">
        <v>0.16250000000000001</v>
      </c>
      <c r="D189" s="4">
        <v>0.4</v>
      </c>
      <c r="E189" s="4">
        <v>3.5235071294039202E-2</v>
      </c>
    </row>
    <row r="190" spans="1:5" x14ac:dyDescent="0.3">
      <c r="A190" t="s">
        <v>641</v>
      </c>
      <c r="B190" s="4">
        <v>1</v>
      </c>
      <c r="C190" s="4">
        <v>7.2916666666666699E-2</v>
      </c>
      <c r="D190" s="4">
        <v>0.41025641025641002</v>
      </c>
      <c r="E190" s="4">
        <v>0.79294825213162401</v>
      </c>
    </row>
    <row r="191" spans="1:5" x14ac:dyDescent="0.3">
      <c r="A191" t="s">
        <v>641</v>
      </c>
      <c r="B191" s="4">
        <v>1</v>
      </c>
      <c r="C191" s="4">
        <v>8.9583333333333307E-2</v>
      </c>
      <c r="D191" s="4">
        <v>0.4</v>
      </c>
      <c r="E191" s="4">
        <v>0.46460850431688999</v>
      </c>
    </row>
    <row r="192" spans="1:5" x14ac:dyDescent="0.3">
      <c r="A192" t="s">
        <v>641</v>
      </c>
      <c r="B192" s="4">
        <v>1.75</v>
      </c>
      <c r="C192" s="4">
        <v>0.32361111111111102</v>
      </c>
      <c r="D192" s="4">
        <v>0.48484848484848497</v>
      </c>
      <c r="E192" s="4">
        <v>1</v>
      </c>
    </row>
    <row r="193" spans="1:5" x14ac:dyDescent="0.3">
      <c r="A193" t="s">
        <v>641</v>
      </c>
      <c r="B193" s="4">
        <v>0.75</v>
      </c>
      <c r="C193" s="4">
        <v>7.5694444444444495E-2</v>
      </c>
      <c r="D193" s="4">
        <v>0.41025641025641002</v>
      </c>
      <c r="E193" s="4">
        <v>0.473157891553046</v>
      </c>
    </row>
    <row r="194" spans="1:5" x14ac:dyDescent="0.3">
      <c r="A194" t="s">
        <v>641</v>
      </c>
      <c r="B194" s="4">
        <v>0.875</v>
      </c>
      <c r="C194" s="4">
        <v>0.22361111111111101</v>
      </c>
      <c r="D194" s="4">
        <v>0.47058823529411797</v>
      </c>
      <c r="E194" s="4">
        <v>0.21958715296450701</v>
      </c>
    </row>
    <row r="195" spans="1:5" x14ac:dyDescent="0.3">
      <c r="A195" t="s">
        <v>641</v>
      </c>
      <c r="B195" s="4">
        <v>0.25</v>
      </c>
      <c r="C195" s="4">
        <v>5.6944444444444402E-2</v>
      </c>
      <c r="D195" s="4">
        <v>0.39024390243902402</v>
      </c>
      <c r="E195" s="4">
        <v>4.50122832857155E-2</v>
      </c>
    </row>
    <row r="196" spans="1:5" x14ac:dyDescent="0.3">
      <c r="A196" t="s">
        <v>641</v>
      </c>
      <c r="B196" s="4">
        <v>0.125</v>
      </c>
      <c r="C196" s="4">
        <v>0</v>
      </c>
      <c r="D196" s="4">
        <v>0.33333333333333298</v>
      </c>
      <c r="E196" s="4">
        <v>3.05549619248635E-2</v>
      </c>
    </row>
    <row r="197" spans="1:5" x14ac:dyDescent="0.3">
      <c r="A197" t="s">
        <v>641</v>
      </c>
      <c r="B197" s="4">
        <v>0.5</v>
      </c>
      <c r="C197" s="4">
        <v>4.1666666666666699E-2</v>
      </c>
      <c r="D197" s="4">
        <v>0.36363636363636398</v>
      </c>
      <c r="E197" s="4">
        <v>0.13955818013777799</v>
      </c>
    </row>
    <row r="198" spans="1:5" x14ac:dyDescent="0.3">
      <c r="A198" t="s">
        <v>641</v>
      </c>
      <c r="B198" s="4">
        <v>0.5</v>
      </c>
      <c r="C198" s="4">
        <v>8.6111111111111097E-2</v>
      </c>
      <c r="D198" s="4">
        <v>0.42105263157894701</v>
      </c>
      <c r="E198" s="4">
        <v>9.07826294371048E-2</v>
      </c>
    </row>
    <row r="199" spans="1:5" x14ac:dyDescent="0.3">
      <c r="A199" t="s">
        <v>641</v>
      </c>
      <c r="B199" s="4">
        <v>0.5</v>
      </c>
      <c r="C199" s="4">
        <v>0</v>
      </c>
      <c r="D199" s="4">
        <v>0.33333333333333298</v>
      </c>
      <c r="E199" s="4">
        <v>0.14346496898845401</v>
      </c>
    </row>
    <row r="200" spans="1:5" x14ac:dyDescent="0.3">
      <c r="A200" t="s">
        <v>641</v>
      </c>
      <c r="B200" s="4">
        <v>0.375</v>
      </c>
      <c r="C200" s="4">
        <v>8.1944444444444403E-2</v>
      </c>
      <c r="D200" s="4">
        <v>0.38095238095238099</v>
      </c>
      <c r="E200" s="4">
        <v>4.9134623749227703E-2</v>
      </c>
    </row>
    <row r="201" spans="1:5" x14ac:dyDescent="0.3">
      <c r="A201" t="s">
        <v>641</v>
      </c>
      <c r="B201" s="4">
        <v>0.875</v>
      </c>
      <c r="C201" s="4">
        <v>0.178472222222222</v>
      </c>
      <c r="D201" s="4">
        <v>0.45714285714285702</v>
      </c>
      <c r="E201" s="4">
        <v>0.46291251043103798</v>
      </c>
    </row>
    <row r="202" spans="1:5" x14ac:dyDescent="0.3">
      <c r="A202" t="s">
        <v>641</v>
      </c>
      <c r="B202" s="4">
        <v>0.25</v>
      </c>
      <c r="C202" s="4">
        <v>2.9166666666666698E-2</v>
      </c>
      <c r="D202" s="4">
        <v>0.41025641025641002</v>
      </c>
      <c r="E202" s="4">
        <v>4.4699236055626798E-2</v>
      </c>
    </row>
    <row r="203" spans="1:5" x14ac:dyDescent="0.3">
      <c r="A203" t="s">
        <v>641</v>
      </c>
      <c r="B203" s="4">
        <v>0.25</v>
      </c>
      <c r="C203" s="4">
        <v>2.9166666666666698E-2</v>
      </c>
      <c r="D203" s="4">
        <v>0.41025641025641002</v>
      </c>
      <c r="E203" s="4">
        <v>4.4699236055626798E-2</v>
      </c>
    </row>
    <row r="204" spans="1:5" x14ac:dyDescent="0.3">
      <c r="A204" t="s">
        <v>641</v>
      </c>
      <c r="B204" s="4">
        <v>0.375</v>
      </c>
      <c r="C204" s="4">
        <v>0</v>
      </c>
      <c r="D204" s="4">
        <v>0.33333333333333298</v>
      </c>
      <c r="E204" s="4">
        <v>0.154266167209891</v>
      </c>
    </row>
    <row r="205" spans="1:5" x14ac:dyDescent="0.3">
      <c r="A205" t="s">
        <v>641</v>
      </c>
      <c r="B205" s="4">
        <v>0.125</v>
      </c>
      <c r="C205" s="4">
        <v>0</v>
      </c>
      <c r="D205" s="4">
        <v>0.29090909090909101</v>
      </c>
      <c r="E205" s="4">
        <v>1.0766062618092201E-3</v>
      </c>
    </row>
    <row r="206" spans="1:5" x14ac:dyDescent="0.3">
      <c r="A206" t="s">
        <v>765</v>
      </c>
      <c r="B206" s="4">
        <v>0.54945054945054994</v>
      </c>
      <c r="C206" s="4">
        <v>0.11317155067155059</v>
      </c>
      <c r="D206" s="4">
        <v>0.364055955401973</v>
      </c>
      <c r="E206" s="4">
        <v>0.25899398845474253</v>
      </c>
    </row>
    <row r="207" spans="1:5" x14ac:dyDescent="0.3">
      <c r="A207" t="s">
        <v>642</v>
      </c>
      <c r="B207" s="4">
        <v>2</v>
      </c>
      <c r="C207" s="4">
        <v>6.6666666666666693E-2</v>
      </c>
      <c r="D207" s="4">
        <v>0.6</v>
      </c>
      <c r="E207" s="4">
        <v>1</v>
      </c>
    </row>
    <row r="208" spans="1:5" x14ac:dyDescent="0.3">
      <c r="A208" t="s">
        <v>642</v>
      </c>
      <c r="B208" s="4">
        <v>1.6666666666666701</v>
      </c>
      <c r="C208" s="4">
        <v>0.233333333333333</v>
      </c>
      <c r="D208" s="4">
        <v>0.66666666666666696</v>
      </c>
      <c r="E208" s="4">
        <v>0.81876718627373102</v>
      </c>
    </row>
    <row r="209" spans="1:5" x14ac:dyDescent="0.3">
      <c r="A209" t="s">
        <v>642</v>
      </c>
      <c r="B209" s="4">
        <v>2</v>
      </c>
      <c r="C209" s="4">
        <v>0</v>
      </c>
      <c r="D209" s="4">
        <v>0.46153846153846201</v>
      </c>
      <c r="E209" s="4">
        <v>0.91141582434111901</v>
      </c>
    </row>
    <row r="210" spans="1:5" x14ac:dyDescent="0.3">
      <c r="A210" t="s">
        <v>642</v>
      </c>
      <c r="B210" s="4">
        <v>1.3333333333333299</v>
      </c>
      <c r="C210" s="4">
        <v>0.16666666666666699</v>
      </c>
      <c r="D210" s="4">
        <v>0.66666666666666696</v>
      </c>
      <c r="E210" s="4">
        <v>0.28082574546257</v>
      </c>
    </row>
    <row r="211" spans="1:5" x14ac:dyDescent="0.3">
      <c r="A211" t="s">
        <v>642</v>
      </c>
      <c r="B211" s="4">
        <v>1</v>
      </c>
      <c r="C211" s="4">
        <v>0.233333333333333</v>
      </c>
      <c r="D211" s="4">
        <v>0.6</v>
      </c>
      <c r="E211" s="4">
        <v>0.19030231621989699</v>
      </c>
    </row>
    <row r="212" spans="1:5" x14ac:dyDescent="0.3">
      <c r="A212" t="s">
        <v>642</v>
      </c>
      <c r="B212" s="4">
        <v>1.3333333333333299</v>
      </c>
      <c r="C212" s="4">
        <v>0.05</v>
      </c>
      <c r="D212" s="4">
        <v>0.54545454545454497</v>
      </c>
      <c r="E212" s="4">
        <v>0.54111450291645402</v>
      </c>
    </row>
    <row r="213" spans="1:5" x14ac:dyDescent="0.3">
      <c r="A213" t="s">
        <v>642</v>
      </c>
      <c r="B213" s="4">
        <v>1.3333333333333299</v>
      </c>
      <c r="C213" s="4">
        <v>3.3333333333333298E-2</v>
      </c>
      <c r="D213" s="4">
        <v>0.5</v>
      </c>
      <c r="E213" s="4">
        <v>0.387283705386953</v>
      </c>
    </row>
    <row r="214" spans="1:5" x14ac:dyDescent="0.3">
      <c r="A214" t="s">
        <v>766</v>
      </c>
      <c r="B214" s="4">
        <v>1.5999999999999999</v>
      </c>
      <c r="C214" s="4">
        <v>0.14166666666666666</v>
      </c>
      <c r="D214" s="4">
        <v>0.54503367003367043</v>
      </c>
      <c r="E214" s="4">
        <v>0.63894242384063382</v>
      </c>
    </row>
    <row r="215" spans="1:5" x14ac:dyDescent="0.3">
      <c r="A215" t="s">
        <v>643</v>
      </c>
      <c r="B215" s="4">
        <v>2</v>
      </c>
      <c r="C215" s="4">
        <v>0</v>
      </c>
      <c r="D215" s="4">
        <v>0.4</v>
      </c>
      <c r="E215" s="4">
        <v>1</v>
      </c>
    </row>
    <row r="216" spans="1:5" x14ac:dyDescent="0.3">
      <c r="A216" t="s">
        <v>643</v>
      </c>
      <c r="B216" s="4">
        <v>2</v>
      </c>
      <c r="C216" s="4">
        <v>0</v>
      </c>
      <c r="D216" s="4">
        <v>0.4</v>
      </c>
      <c r="E216" s="4">
        <v>0.93528948103480003</v>
      </c>
    </row>
    <row r="217" spans="1:5" x14ac:dyDescent="0.3">
      <c r="A217" t="s">
        <v>643</v>
      </c>
      <c r="B217" s="4">
        <v>2</v>
      </c>
      <c r="C217" s="4">
        <v>0.5</v>
      </c>
      <c r="D217" s="4">
        <v>0.5</v>
      </c>
      <c r="E217" s="4">
        <v>0.88680272464252496</v>
      </c>
    </row>
    <row r="218" spans="1:5" x14ac:dyDescent="0.3">
      <c r="A218" t="s">
        <v>643</v>
      </c>
      <c r="B218" s="4">
        <v>1.5</v>
      </c>
      <c r="C218" s="4">
        <v>0</v>
      </c>
      <c r="D218" s="4">
        <v>0.23529411764705899</v>
      </c>
      <c r="E218" s="4">
        <v>0.49278646063833997</v>
      </c>
    </row>
    <row r="219" spans="1:5" x14ac:dyDescent="0.3">
      <c r="A219" t="s">
        <v>643</v>
      </c>
      <c r="B219" s="4">
        <v>1.5</v>
      </c>
      <c r="C219" s="4">
        <v>0.83333333333333304</v>
      </c>
      <c r="D219" s="4">
        <v>0.57142857142857095</v>
      </c>
      <c r="E219" s="4">
        <v>7.6652702644246201E-2</v>
      </c>
    </row>
    <row r="220" spans="1:5" x14ac:dyDescent="0.3">
      <c r="A220" t="s">
        <v>767</v>
      </c>
      <c r="B220" s="4">
        <v>2</v>
      </c>
      <c r="C220" s="4">
        <v>0.25</v>
      </c>
      <c r="D220" s="4">
        <v>0.11233082706766909</v>
      </c>
      <c r="E220" s="4">
        <v>0.82888379528911449</v>
      </c>
    </row>
    <row r="221" spans="1:5" x14ac:dyDescent="0.3">
      <c r="A221" t="s">
        <v>644</v>
      </c>
      <c r="B221" s="4">
        <v>2</v>
      </c>
      <c r="C221" s="4">
        <v>0.118055555555556</v>
      </c>
      <c r="D221" s="4">
        <v>0.64285714285714302</v>
      </c>
      <c r="E221" s="4">
        <v>1</v>
      </c>
    </row>
    <row r="222" spans="1:5" x14ac:dyDescent="0.3">
      <c r="A222" t="s">
        <v>644</v>
      </c>
      <c r="B222" s="4">
        <v>0.88888888888888895</v>
      </c>
      <c r="C222" s="4">
        <v>0</v>
      </c>
      <c r="D222" s="4">
        <v>0.5</v>
      </c>
      <c r="E222" s="4">
        <v>0.30883314349742902</v>
      </c>
    </row>
    <row r="223" spans="1:5" x14ac:dyDescent="0.3">
      <c r="A223" t="s">
        <v>644</v>
      </c>
      <c r="B223" s="4">
        <v>0.88888888888888895</v>
      </c>
      <c r="C223" s="4">
        <v>0</v>
      </c>
      <c r="D223" s="4">
        <v>0.5</v>
      </c>
      <c r="E223" s="4">
        <v>0.30883314349742902</v>
      </c>
    </row>
    <row r="224" spans="1:5" x14ac:dyDescent="0.3">
      <c r="A224" t="s">
        <v>644</v>
      </c>
      <c r="B224" s="4">
        <v>0.88888888888888895</v>
      </c>
      <c r="C224" s="4">
        <v>2.7777777777777801E-2</v>
      </c>
      <c r="D224" s="4">
        <v>0.47368421052631599</v>
      </c>
      <c r="E224" s="4">
        <v>0.742485602876785</v>
      </c>
    </row>
    <row r="225" spans="1:5" x14ac:dyDescent="0.3">
      <c r="A225" t="s">
        <v>644</v>
      </c>
      <c r="B225" s="4">
        <v>1.3333333333333299</v>
      </c>
      <c r="C225" s="4">
        <v>0.164351851851852</v>
      </c>
      <c r="D225" s="4">
        <v>0.64285714285714302</v>
      </c>
      <c r="E225" s="4">
        <v>0.381892681245661</v>
      </c>
    </row>
    <row r="226" spans="1:5" x14ac:dyDescent="0.3">
      <c r="A226" t="s">
        <v>644</v>
      </c>
      <c r="B226" s="4">
        <v>2</v>
      </c>
      <c r="C226" s="4">
        <v>4.1666666666666699E-2</v>
      </c>
      <c r="D226" s="4">
        <v>0.5625</v>
      </c>
      <c r="E226" s="4">
        <v>0.90080190242435898</v>
      </c>
    </row>
    <row r="227" spans="1:5" x14ac:dyDescent="0.3">
      <c r="A227" t="s">
        <v>644</v>
      </c>
      <c r="B227" s="4">
        <v>1.55555555555556</v>
      </c>
      <c r="C227" s="4">
        <v>0.41435185185185203</v>
      </c>
      <c r="D227" s="4">
        <v>0.81818181818181801</v>
      </c>
      <c r="E227" s="4">
        <v>0.20701219037499199</v>
      </c>
    </row>
    <row r="228" spans="1:5" x14ac:dyDescent="0.3">
      <c r="A228" t="s">
        <v>644</v>
      </c>
      <c r="B228" s="4">
        <v>1.1111111111111101</v>
      </c>
      <c r="C228" s="4">
        <v>9.2592592592592605E-3</v>
      </c>
      <c r="D228" s="4">
        <v>0.6</v>
      </c>
      <c r="E228" s="4">
        <v>0.23708061717134199</v>
      </c>
    </row>
    <row r="229" spans="1:5" x14ac:dyDescent="0.3">
      <c r="A229" t="s">
        <v>644</v>
      </c>
      <c r="B229" s="4">
        <v>1.1111111111111101</v>
      </c>
      <c r="C229" s="4">
        <v>9.2592592592592605E-3</v>
      </c>
      <c r="D229" s="4">
        <v>0.6</v>
      </c>
      <c r="E229" s="4">
        <v>0.23708061717134199</v>
      </c>
    </row>
    <row r="230" spans="1:5" x14ac:dyDescent="0.3">
      <c r="A230" t="s">
        <v>644</v>
      </c>
      <c r="B230" s="4">
        <v>0.66666666666666696</v>
      </c>
      <c r="C230" s="4">
        <v>3.7037037037037E-2</v>
      </c>
      <c r="D230" s="4">
        <v>0.5</v>
      </c>
      <c r="E230" s="4">
        <v>0.21741440368381301</v>
      </c>
    </row>
    <row r="231" spans="1:5" x14ac:dyDescent="0.3">
      <c r="A231" t="s">
        <v>768</v>
      </c>
      <c r="B231" s="4">
        <v>1.3571428571428559</v>
      </c>
      <c r="C231" s="4">
        <v>0.11805555555555558</v>
      </c>
      <c r="D231" s="4">
        <v>0.56180555555555545</v>
      </c>
      <c r="E231" s="4">
        <v>0.50525264875847764</v>
      </c>
    </row>
    <row r="232" spans="1:5" x14ac:dyDescent="0.3">
      <c r="A232" t="s">
        <v>645</v>
      </c>
      <c r="B232" s="4">
        <v>2</v>
      </c>
      <c r="C232" s="4">
        <v>0.25151515151515103</v>
      </c>
      <c r="D232" s="4">
        <v>0.45833333333333298</v>
      </c>
      <c r="E232" s="4">
        <v>1</v>
      </c>
    </row>
    <row r="233" spans="1:5" x14ac:dyDescent="0.3">
      <c r="A233" t="s">
        <v>645</v>
      </c>
      <c r="B233" s="4">
        <v>0.36363636363636398</v>
      </c>
      <c r="C233" s="4">
        <v>0</v>
      </c>
      <c r="D233" s="4">
        <v>0.33333333333333298</v>
      </c>
      <c r="E233" s="4">
        <v>0.147366603089024</v>
      </c>
    </row>
    <row r="234" spans="1:5" x14ac:dyDescent="0.3">
      <c r="A234" t="s">
        <v>645</v>
      </c>
      <c r="B234" s="4">
        <v>0.18181818181818199</v>
      </c>
      <c r="C234" s="4">
        <v>0</v>
      </c>
      <c r="D234" s="4">
        <v>0.25</v>
      </c>
      <c r="E234" s="4">
        <v>7.74558626108484E-2</v>
      </c>
    </row>
    <row r="235" spans="1:5" x14ac:dyDescent="0.3">
      <c r="A235" t="s">
        <v>645</v>
      </c>
      <c r="B235" s="4">
        <v>1.63636363636364</v>
      </c>
      <c r="C235" s="4">
        <v>0.32727272727272699</v>
      </c>
      <c r="D235" s="4">
        <v>0.47826086956521702</v>
      </c>
      <c r="E235" s="4">
        <v>0.80517621576094101</v>
      </c>
    </row>
    <row r="236" spans="1:5" x14ac:dyDescent="0.3">
      <c r="A236" t="s">
        <v>645</v>
      </c>
      <c r="B236" s="4">
        <v>0.90909090909090895</v>
      </c>
      <c r="C236" s="4">
        <v>4.5454545454545497E-2</v>
      </c>
      <c r="D236" s="4">
        <v>0.36666666666666697</v>
      </c>
      <c r="E236" s="4">
        <v>0.32790920423109698</v>
      </c>
    </row>
    <row r="237" spans="1:5" x14ac:dyDescent="0.3">
      <c r="A237" t="s">
        <v>645</v>
      </c>
      <c r="B237" s="4">
        <v>0.54545454545454497</v>
      </c>
      <c r="C237" s="4">
        <v>1.8181818181818198E-2</v>
      </c>
      <c r="D237" s="4">
        <v>0.407407407407407</v>
      </c>
      <c r="E237" s="4">
        <v>0.13403716205535601</v>
      </c>
    </row>
    <row r="238" spans="1:5" x14ac:dyDescent="0.3">
      <c r="A238" t="s">
        <v>645</v>
      </c>
      <c r="B238" s="4">
        <v>1.0909090909090899</v>
      </c>
      <c r="C238" s="4">
        <v>0.13939393939393899</v>
      </c>
      <c r="D238" s="4">
        <v>0.45833333333333298</v>
      </c>
      <c r="E238" s="4">
        <v>0.57073906031631105</v>
      </c>
    </row>
    <row r="239" spans="1:5" x14ac:dyDescent="0.3">
      <c r="A239" t="s">
        <v>645</v>
      </c>
      <c r="B239" s="4">
        <v>0.54545454545454497</v>
      </c>
      <c r="C239" s="4">
        <v>0</v>
      </c>
      <c r="D239" s="4">
        <v>0.33333333333333298</v>
      </c>
      <c r="E239" s="4">
        <v>0.213677232452781</v>
      </c>
    </row>
    <row r="240" spans="1:5" x14ac:dyDescent="0.3">
      <c r="A240" t="s">
        <v>645</v>
      </c>
      <c r="B240" s="4">
        <v>1.0909090909090899</v>
      </c>
      <c r="C240" s="4">
        <v>0.148484848484848</v>
      </c>
      <c r="D240" s="4">
        <v>0.45833333333333298</v>
      </c>
      <c r="E240" s="4">
        <v>0.41337389898723897</v>
      </c>
    </row>
    <row r="241" spans="1:5" x14ac:dyDescent="0.3">
      <c r="A241" t="s">
        <v>645</v>
      </c>
      <c r="B241" s="4">
        <v>0.90909090909090895</v>
      </c>
      <c r="C241" s="4">
        <v>1.8181818181818198E-2</v>
      </c>
      <c r="D241" s="4">
        <v>0.35483870967741898</v>
      </c>
      <c r="E241" s="4">
        <v>0.370018220192804</v>
      </c>
    </row>
    <row r="242" spans="1:5" x14ac:dyDescent="0.3">
      <c r="A242" t="s">
        <v>645</v>
      </c>
      <c r="B242" s="4">
        <v>0.54545454545454497</v>
      </c>
      <c r="C242" s="4">
        <v>0.25454545454545502</v>
      </c>
      <c r="D242" s="4">
        <v>0.52380952380952395</v>
      </c>
      <c r="E242" s="4">
        <v>9.2014283599427801E-2</v>
      </c>
    </row>
    <row r="243" spans="1:5" x14ac:dyDescent="0.3">
      <c r="A243" t="s">
        <v>645</v>
      </c>
      <c r="B243" s="4">
        <v>0.36363636363636398</v>
      </c>
      <c r="C243" s="4">
        <v>7.2727272727272696E-2</v>
      </c>
      <c r="D243" s="4">
        <v>0.39285714285714302</v>
      </c>
      <c r="E243" s="4">
        <v>5.4737047268857399E-2</v>
      </c>
    </row>
    <row r="244" spans="1:5" x14ac:dyDescent="0.3">
      <c r="A244" t="s">
        <v>769</v>
      </c>
      <c r="B244" s="4">
        <v>1.1111111111111105</v>
      </c>
      <c r="C244" s="4">
        <v>0.10694444444444443</v>
      </c>
      <c r="D244" s="4">
        <v>0.46359667808971217</v>
      </c>
      <c r="E244" s="4">
        <v>0.40233906425954402</v>
      </c>
    </row>
    <row r="245" spans="1:5" x14ac:dyDescent="0.3">
      <c r="A245" t="s">
        <v>646</v>
      </c>
      <c r="B245" s="4">
        <v>0.33333333333333298</v>
      </c>
      <c r="C245" s="4">
        <v>0</v>
      </c>
      <c r="D245" s="4">
        <v>0.46153846153846201</v>
      </c>
      <c r="E245" s="4">
        <v>0.168316846445864</v>
      </c>
    </row>
    <row r="246" spans="1:5" x14ac:dyDescent="0.3">
      <c r="A246" t="s">
        <v>646</v>
      </c>
      <c r="B246" s="4">
        <v>2</v>
      </c>
      <c r="C246" s="4">
        <v>0.4</v>
      </c>
      <c r="D246" s="4">
        <v>0.75</v>
      </c>
      <c r="E246" s="4">
        <v>1</v>
      </c>
    </row>
    <row r="247" spans="1:5" x14ac:dyDescent="0.3">
      <c r="A247" t="s">
        <v>646</v>
      </c>
      <c r="B247" s="4">
        <v>1</v>
      </c>
      <c r="C247" s="4">
        <v>0.17777777777777801</v>
      </c>
      <c r="D247" s="4">
        <v>0.66666666666666696</v>
      </c>
      <c r="E247" s="4">
        <v>0.426896225285398</v>
      </c>
    </row>
    <row r="248" spans="1:5" x14ac:dyDescent="0.3">
      <c r="A248" t="s">
        <v>646</v>
      </c>
      <c r="B248" s="4">
        <v>1</v>
      </c>
      <c r="C248" s="4">
        <v>0</v>
      </c>
      <c r="D248" s="4">
        <v>0.54545454545454497</v>
      </c>
      <c r="E248" s="4">
        <v>0.71503184013662702</v>
      </c>
    </row>
    <row r="249" spans="1:5" x14ac:dyDescent="0.3">
      <c r="A249" t="s">
        <v>646</v>
      </c>
      <c r="B249" s="4">
        <v>1</v>
      </c>
      <c r="C249" s="4">
        <v>4.4444444444444398E-2</v>
      </c>
      <c r="D249" s="4">
        <v>0.66666666666666696</v>
      </c>
      <c r="E249" s="4">
        <v>0.36858305898733601</v>
      </c>
    </row>
    <row r="250" spans="1:5" x14ac:dyDescent="0.3">
      <c r="A250" t="s">
        <v>646</v>
      </c>
      <c r="B250" s="4">
        <v>1</v>
      </c>
      <c r="C250" s="4">
        <v>4.4444444444444398E-2</v>
      </c>
      <c r="D250" s="4">
        <v>0.66666666666666696</v>
      </c>
      <c r="E250" s="4">
        <v>0.36858305898733601</v>
      </c>
    </row>
    <row r="251" spans="1:5" x14ac:dyDescent="0.3">
      <c r="A251" t="s">
        <v>646</v>
      </c>
      <c r="B251" s="4">
        <v>1.6666666666666701</v>
      </c>
      <c r="C251" s="4">
        <v>0.2</v>
      </c>
      <c r="D251" s="4">
        <v>0.66666666666666696</v>
      </c>
      <c r="E251" s="4">
        <v>0.82123374646169001</v>
      </c>
    </row>
    <row r="252" spans="1:5" x14ac:dyDescent="0.3">
      <c r="A252" t="s">
        <v>770</v>
      </c>
      <c r="B252" s="4">
        <v>2</v>
      </c>
      <c r="C252" s="4">
        <v>0.16666666666666674</v>
      </c>
      <c r="D252" s="4">
        <v>0.77500000000000002</v>
      </c>
      <c r="E252" s="4">
        <v>0.77576300668851272</v>
      </c>
    </row>
    <row r="253" spans="1:5" x14ac:dyDescent="0.3">
      <c r="A253" t="s">
        <v>647</v>
      </c>
      <c r="B253" s="4">
        <v>1.3333333333333299</v>
      </c>
      <c r="C253" s="4">
        <v>0</v>
      </c>
      <c r="D253" s="4">
        <v>0.13636363636363599</v>
      </c>
      <c r="E253" s="4">
        <v>1</v>
      </c>
    </row>
    <row r="254" spans="1:5" x14ac:dyDescent="0.3">
      <c r="A254" t="s">
        <v>647</v>
      </c>
      <c r="B254" s="4">
        <v>1.3333333333333299</v>
      </c>
      <c r="C254" s="4">
        <v>0</v>
      </c>
      <c r="D254" s="4">
        <v>0.15</v>
      </c>
      <c r="E254" s="4">
        <v>0.95302871133647205</v>
      </c>
    </row>
    <row r="255" spans="1:5" x14ac:dyDescent="0.3">
      <c r="A255" t="s">
        <v>647</v>
      </c>
      <c r="B255" s="4">
        <v>2</v>
      </c>
      <c r="C255" s="4">
        <v>0.66666666666666696</v>
      </c>
      <c r="D255" s="4">
        <v>0.214285714285714</v>
      </c>
      <c r="E255" s="4">
        <v>0.95672376431154404</v>
      </c>
    </row>
    <row r="256" spans="1:5" x14ac:dyDescent="0.3">
      <c r="A256" t="s">
        <v>647</v>
      </c>
      <c r="B256" s="4">
        <v>0.66666666666666696</v>
      </c>
      <c r="C256" s="4">
        <v>0</v>
      </c>
      <c r="D256" s="4">
        <v>0.1875</v>
      </c>
      <c r="E256" s="4">
        <v>7.1566773818005594E-2</v>
      </c>
    </row>
    <row r="257" spans="1:5" x14ac:dyDescent="0.3">
      <c r="A257" t="s">
        <v>771</v>
      </c>
      <c r="B257" s="4">
        <v>0</v>
      </c>
      <c r="C257" s="4">
        <v>0</v>
      </c>
      <c r="D257" s="4">
        <v>0</v>
      </c>
      <c r="E257" s="4">
        <v>0</v>
      </c>
    </row>
    <row r="258" spans="1:5" x14ac:dyDescent="0.3">
      <c r="A258" t="s">
        <v>648</v>
      </c>
      <c r="B258" s="4">
        <v>2</v>
      </c>
      <c r="C258" s="4">
        <v>0.19047619047618999</v>
      </c>
      <c r="D258" s="4">
        <v>0.53846153846153799</v>
      </c>
      <c r="E258" s="4">
        <v>0.93999821056516997</v>
      </c>
    </row>
    <row r="259" spans="1:5" x14ac:dyDescent="0.3">
      <c r="A259" t="s">
        <v>648</v>
      </c>
      <c r="B259" s="4">
        <v>0.57142857142857095</v>
      </c>
      <c r="C259" s="4">
        <v>4.7619047619047603E-2</v>
      </c>
      <c r="D259" s="4">
        <v>0.4375</v>
      </c>
      <c r="E259" s="4">
        <v>7.5113868598133099E-2</v>
      </c>
    </row>
    <row r="260" spans="1:5" x14ac:dyDescent="0.3">
      <c r="A260" t="s">
        <v>648</v>
      </c>
      <c r="B260" s="4">
        <v>0.85714285714285698</v>
      </c>
      <c r="C260" s="4">
        <v>4.7619047619047603E-2</v>
      </c>
      <c r="D260" s="4">
        <v>0.4375</v>
      </c>
      <c r="E260" s="4">
        <v>0.246573170927539</v>
      </c>
    </row>
    <row r="261" spans="1:5" x14ac:dyDescent="0.3">
      <c r="A261" t="s">
        <v>648</v>
      </c>
      <c r="B261" s="4">
        <v>1.71428571428571</v>
      </c>
      <c r="C261" s="4">
        <v>0.19047619047618999</v>
      </c>
      <c r="D261" s="4">
        <v>0.53846153846153799</v>
      </c>
      <c r="E261" s="4">
        <v>1</v>
      </c>
    </row>
    <row r="262" spans="1:5" x14ac:dyDescent="0.3">
      <c r="A262" t="s">
        <v>648</v>
      </c>
      <c r="B262" s="4">
        <v>1.1428571428571399</v>
      </c>
      <c r="C262" s="4">
        <v>9.5238095238095205E-2</v>
      </c>
      <c r="D262" s="4">
        <v>0.5</v>
      </c>
      <c r="E262" s="4">
        <v>0.77196945803648997</v>
      </c>
    </row>
    <row r="263" spans="1:5" x14ac:dyDescent="0.3">
      <c r="A263" t="s">
        <v>648</v>
      </c>
      <c r="B263" s="4">
        <v>1.1428571428571399</v>
      </c>
      <c r="C263" s="4">
        <v>0.238095238095238</v>
      </c>
      <c r="D263" s="4">
        <v>0.5</v>
      </c>
      <c r="E263" s="4">
        <v>0.32310933506614198</v>
      </c>
    </row>
    <row r="264" spans="1:5" x14ac:dyDescent="0.3">
      <c r="A264" t="s">
        <v>648</v>
      </c>
      <c r="B264" s="4">
        <v>0.85714285714285698</v>
      </c>
      <c r="C264" s="4">
        <v>0</v>
      </c>
      <c r="D264" s="4">
        <v>0.35</v>
      </c>
      <c r="E264" s="4">
        <v>0.45218195981362902</v>
      </c>
    </row>
    <row r="265" spans="1:5" x14ac:dyDescent="0.3">
      <c r="A265" t="s">
        <v>648</v>
      </c>
      <c r="B265" s="4">
        <v>0.85714285714285698</v>
      </c>
      <c r="C265" s="4">
        <v>0.238095238095238</v>
      </c>
      <c r="D265" s="4">
        <v>0.58333333333333304</v>
      </c>
      <c r="E265" s="4">
        <v>0.17167646740768999</v>
      </c>
    </row>
    <row r="266" spans="1:5" x14ac:dyDescent="0.3">
      <c r="A266" t="s">
        <v>772</v>
      </c>
      <c r="B266" s="4">
        <v>1.6666666666666652</v>
      </c>
      <c r="C266" s="4">
        <v>0.16666666666666649</v>
      </c>
      <c r="D266" s="4">
        <v>0.17916666666666675</v>
      </c>
      <c r="E266" s="4">
        <v>0.78964193548104722</v>
      </c>
    </row>
    <row r="267" spans="1:5" x14ac:dyDescent="0.3">
      <c r="A267" t="s">
        <v>649</v>
      </c>
      <c r="B267" s="4">
        <v>0</v>
      </c>
      <c r="C267" s="4">
        <v>0</v>
      </c>
      <c r="D267" s="4">
        <v>0.11111111111111099</v>
      </c>
      <c r="E267" s="4">
        <v>0</v>
      </c>
    </row>
    <row r="268" spans="1:5" x14ac:dyDescent="0.3">
      <c r="A268" t="s">
        <v>649</v>
      </c>
      <c r="B268" s="4">
        <v>1</v>
      </c>
      <c r="C268" s="4">
        <v>0</v>
      </c>
      <c r="D268" s="4">
        <v>0.21052631578947401</v>
      </c>
      <c r="E268" s="4">
        <v>0.341141550837395</v>
      </c>
    </row>
    <row r="269" spans="1:5" x14ac:dyDescent="0.3">
      <c r="A269" t="s">
        <v>649</v>
      </c>
      <c r="B269" s="4">
        <v>1</v>
      </c>
      <c r="C269" s="4">
        <v>2.9761904761904798E-2</v>
      </c>
      <c r="D269" s="4">
        <v>0.23529411764705899</v>
      </c>
      <c r="E269" s="4">
        <v>0.28020064997544603</v>
      </c>
    </row>
    <row r="270" spans="1:5" x14ac:dyDescent="0.3">
      <c r="A270" t="s">
        <v>649</v>
      </c>
      <c r="B270" s="4">
        <v>1.5</v>
      </c>
      <c r="C270" s="4">
        <v>2.9761904761904798E-2</v>
      </c>
      <c r="D270" s="4">
        <v>0.2</v>
      </c>
      <c r="E270" s="4">
        <v>0.80129083958745295</v>
      </c>
    </row>
    <row r="271" spans="1:5" x14ac:dyDescent="0.3">
      <c r="A271" t="s">
        <v>649</v>
      </c>
      <c r="B271" s="4">
        <v>1.75</v>
      </c>
      <c r="C271" s="4">
        <v>0.18452380952381001</v>
      </c>
      <c r="D271" s="4">
        <v>0.25</v>
      </c>
      <c r="E271" s="4">
        <v>1</v>
      </c>
    </row>
    <row r="272" spans="1:5" x14ac:dyDescent="0.3">
      <c r="A272" t="s">
        <v>649</v>
      </c>
      <c r="B272" s="4">
        <v>0.5</v>
      </c>
      <c r="C272" s="4">
        <v>5.3571428571428603E-2</v>
      </c>
      <c r="D272" s="4">
        <v>0.2</v>
      </c>
      <c r="E272" s="4">
        <v>0.12500855430890601</v>
      </c>
    </row>
    <row r="273" spans="1:5" x14ac:dyDescent="0.3">
      <c r="A273" t="s">
        <v>649</v>
      </c>
      <c r="B273" s="4">
        <v>0.5</v>
      </c>
      <c r="C273" s="4">
        <v>0</v>
      </c>
      <c r="D273" s="4">
        <v>0.16666666666666699</v>
      </c>
      <c r="E273" s="4">
        <v>0.243264681290494</v>
      </c>
    </row>
    <row r="274" spans="1:5" x14ac:dyDescent="0.3">
      <c r="A274" t="s">
        <v>649</v>
      </c>
      <c r="B274" s="4">
        <v>1.5</v>
      </c>
      <c r="C274" s="4">
        <v>0.214285714285714</v>
      </c>
      <c r="D274" s="4">
        <v>0.25</v>
      </c>
      <c r="E274" s="4">
        <v>0.75264182689820003</v>
      </c>
    </row>
    <row r="275" spans="1:5" x14ac:dyDescent="0.3">
      <c r="A275" t="s">
        <v>649</v>
      </c>
      <c r="B275" s="4">
        <v>0.75</v>
      </c>
      <c r="C275" s="4">
        <v>2.9761904761904798E-2</v>
      </c>
      <c r="D275" s="4">
        <v>0.23529411764705899</v>
      </c>
      <c r="E275" s="4">
        <v>0.26923841377853502</v>
      </c>
    </row>
    <row r="276" spans="1:5" x14ac:dyDescent="0.3">
      <c r="A276" t="s">
        <v>773</v>
      </c>
      <c r="B276" s="4">
        <v>1.3333333333333333</v>
      </c>
      <c r="C276" s="4">
        <v>0.14166666666666666</v>
      </c>
      <c r="D276" s="4">
        <v>0.24351752736012619</v>
      </c>
      <c r="E276" s="4">
        <v>0.53647887838254216</v>
      </c>
    </row>
    <row r="277" spans="1:5" x14ac:dyDescent="0.3">
      <c r="A277" t="s">
        <v>650</v>
      </c>
      <c r="B277" s="4">
        <v>1.7777777777777799</v>
      </c>
      <c r="C277" s="4">
        <v>0.21296296296296299</v>
      </c>
      <c r="D277" s="4">
        <v>0.69230769230769196</v>
      </c>
      <c r="E277" s="4">
        <v>1</v>
      </c>
    </row>
    <row r="278" spans="1:5" x14ac:dyDescent="0.3">
      <c r="A278" t="s">
        <v>650</v>
      </c>
      <c r="B278" s="4">
        <v>2</v>
      </c>
      <c r="C278" s="4">
        <v>0.43518518518518501</v>
      </c>
      <c r="D278" s="4">
        <v>0.81818181818181801</v>
      </c>
      <c r="E278" s="4">
        <v>0.98605276209152903</v>
      </c>
    </row>
    <row r="279" spans="1:5" x14ac:dyDescent="0.3">
      <c r="A279" t="s">
        <v>650</v>
      </c>
      <c r="B279" s="4">
        <v>1.1111111111111101</v>
      </c>
      <c r="C279" s="4">
        <v>1.85185185185185E-2</v>
      </c>
      <c r="D279" s="4">
        <v>0.47368421052631599</v>
      </c>
      <c r="E279" s="4">
        <v>0.51662318109121996</v>
      </c>
    </row>
    <row r="280" spans="1:5" x14ac:dyDescent="0.3">
      <c r="A280" t="s">
        <v>650</v>
      </c>
      <c r="B280" s="4">
        <v>0.22222222222222199</v>
      </c>
      <c r="C280" s="4">
        <v>0</v>
      </c>
      <c r="D280" s="4">
        <v>0.47368421052631599</v>
      </c>
      <c r="E280" s="4">
        <v>5.43432104734674E-2</v>
      </c>
    </row>
    <row r="281" spans="1:5" x14ac:dyDescent="0.3">
      <c r="A281" t="s">
        <v>650</v>
      </c>
      <c r="B281" s="4">
        <v>0.66666666666666696</v>
      </c>
      <c r="C281" s="4">
        <v>6.4814814814814797E-2</v>
      </c>
      <c r="D281" s="4">
        <v>0.6</v>
      </c>
      <c r="E281" s="4">
        <v>0.13792714827833899</v>
      </c>
    </row>
    <row r="282" spans="1:5" x14ac:dyDescent="0.3">
      <c r="A282" t="s">
        <v>650</v>
      </c>
      <c r="B282" s="4">
        <v>0.66666666666666696</v>
      </c>
      <c r="C282" s="4">
        <v>9.2592592592592605E-3</v>
      </c>
      <c r="D282" s="4">
        <v>0.5625</v>
      </c>
      <c r="E282" s="4">
        <v>0.115839193742638</v>
      </c>
    </row>
    <row r="283" spans="1:5" x14ac:dyDescent="0.3">
      <c r="A283" t="s">
        <v>650</v>
      </c>
      <c r="B283" s="4">
        <v>0.66666666666666696</v>
      </c>
      <c r="C283" s="4">
        <v>9.2592592592592605E-3</v>
      </c>
      <c r="D283" s="4">
        <v>0.5625</v>
      </c>
      <c r="E283" s="4">
        <v>0.115839193742638</v>
      </c>
    </row>
    <row r="284" spans="1:5" x14ac:dyDescent="0.3">
      <c r="A284" t="s">
        <v>650</v>
      </c>
      <c r="B284" s="4">
        <v>0.44444444444444398</v>
      </c>
      <c r="C284" s="4">
        <v>9.2592592592592605E-3</v>
      </c>
      <c r="D284" s="4">
        <v>0.52941176470588203</v>
      </c>
      <c r="E284" s="4">
        <v>0.10945507929294</v>
      </c>
    </row>
    <row r="285" spans="1:5" x14ac:dyDescent="0.3">
      <c r="A285" t="s">
        <v>650</v>
      </c>
      <c r="B285" s="4">
        <v>0.88888888888888895</v>
      </c>
      <c r="C285" s="4">
        <v>6.4814814814814797E-2</v>
      </c>
      <c r="D285" s="4">
        <v>0.64285714285714302</v>
      </c>
      <c r="E285" s="4">
        <v>0.145971934377051</v>
      </c>
    </row>
    <row r="286" spans="1:5" x14ac:dyDescent="0.3">
      <c r="A286" t="s">
        <v>650</v>
      </c>
      <c r="B286" s="4">
        <v>0.88888888888888895</v>
      </c>
      <c r="C286" s="4">
        <v>6.4814814814814797E-2</v>
      </c>
      <c r="D286" s="4">
        <v>0.64285714285714302</v>
      </c>
      <c r="E286" s="4">
        <v>0.145971934377051</v>
      </c>
    </row>
    <row r="287" spans="1:5" x14ac:dyDescent="0.3">
      <c r="A287" t="s">
        <v>774</v>
      </c>
      <c r="B287" s="4">
        <v>0.66666666666666663</v>
      </c>
      <c r="C287" s="4">
        <v>8.3333333333333329E-2</v>
      </c>
      <c r="D287" s="4">
        <v>0.37820512820512847</v>
      </c>
      <c r="E287" s="4">
        <v>0.55715384712952876</v>
      </c>
    </row>
    <row r="288" spans="1:5" x14ac:dyDescent="0.3">
      <c r="A288" t="s">
        <v>651</v>
      </c>
      <c r="B288" s="4">
        <v>2</v>
      </c>
      <c r="C288" s="4">
        <v>0</v>
      </c>
      <c r="D288" s="4">
        <v>0.4</v>
      </c>
      <c r="E288" s="4">
        <v>1</v>
      </c>
    </row>
    <row r="289" spans="1:5" x14ac:dyDescent="0.3">
      <c r="A289" t="s">
        <v>651</v>
      </c>
      <c r="B289" s="4">
        <v>2</v>
      </c>
      <c r="C289" s="4">
        <v>0.83333333333333304</v>
      </c>
      <c r="D289" s="4">
        <v>0.8</v>
      </c>
      <c r="E289" s="4">
        <v>0.21524941377133699</v>
      </c>
    </row>
    <row r="290" spans="1:5" x14ac:dyDescent="0.3">
      <c r="A290" t="s">
        <v>651</v>
      </c>
      <c r="B290" s="4">
        <v>1.5</v>
      </c>
      <c r="C290" s="4">
        <v>0</v>
      </c>
      <c r="D290" s="4">
        <v>0.5</v>
      </c>
      <c r="E290" s="4">
        <v>0.984556593377935</v>
      </c>
    </row>
    <row r="291" spans="1:5" x14ac:dyDescent="0.3">
      <c r="A291" t="s">
        <v>651</v>
      </c>
      <c r="B291" s="4">
        <v>1.5</v>
      </c>
      <c r="C291" s="4">
        <v>0</v>
      </c>
      <c r="D291" s="4">
        <v>0.5</v>
      </c>
      <c r="E291" s="4">
        <v>0.87122189067883204</v>
      </c>
    </row>
    <row r="292" spans="1:5" x14ac:dyDescent="0.3">
      <c r="A292" t="s">
        <v>651</v>
      </c>
      <c r="B292" s="4">
        <v>1</v>
      </c>
      <c r="C292" s="4">
        <v>0</v>
      </c>
      <c r="D292" s="4">
        <v>0.57142857142857095</v>
      </c>
      <c r="E292" s="4">
        <v>0.11993596223109</v>
      </c>
    </row>
    <row r="293" spans="1:5" x14ac:dyDescent="0.3">
      <c r="A293" t="s">
        <v>775</v>
      </c>
      <c r="B293" s="4">
        <v>1.3333333333333317</v>
      </c>
      <c r="C293" s="4">
        <v>0.16666666666666674</v>
      </c>
      <c r="D293" s="4">
        <v>0.1179979395604395</v>
      </c>
      <c r="E293" s="4">
        <v>0.745086550741342</v>
      </c>
    </row>
    <row r="294" spans="1:5" x14ac:dyDescent="0.3">
      <c r="A294" t="s">
        <v>652</v>
      </c>
      <c r="B294" s="4">
        <v>0.66666666666666696</v>
      </c>
      <c r="C294" s="4">
        <v>0.22222222222222199</v>
      </c>
      <c r="D294" s="4">
        <v>0.33333333333333298</v>
      </c>
      <c r="E294" s="4">
        <v>0.120214077088083</v>
      </c>
    </row>
    <row r="295" spans="1:5" x14ac:dyDescent="0.3">
      <c r="A295" t="s">
        <v>652</v>
      </c>
      <c r="B295" s="4">
        <v>0.22222222222222199</v>
      </c>
      <c r="C295" s="4">
        <v>0</v>
      </c>
      <c r="D295" s="4">
        <v>0.25714285714285701</v>
      </c>
      <c r="E295" s="4">
        <v>4.0907304868907498E-3</v>
      </c>
    </row>
    <row r="296" spans="1:5" x14ac:dyDescent="0.3">
      <c r="A296" t="s">
        <v>652</v>
      </c>
      <c r="B296" s="4">
        <v>1.7777777777777799</v>
      </c>
      <c r="C296" s="4">
        <v>0.45833333333333298</v>
      </c>
      <c r="D296" s="4">
        <v>0.52941176470588203</v>
      </c>
      <c r="E296" s="4">
        <v>0.788398722350374</v>
      </c>
    </row>
    <row r="297" spans="1:5" x14ac:dyDescent="0.3">
      <c r="A297" t="s">
        <v>652</v>
      </c>
      <c r="B297" s="4">
        <v>1.7777777777777799</v>
      </c>
      <c r="C297" s="4">
        <v>0.11111111111111099</v>
      </c>
      <c r="D297" s="4">
        <v>0.45</v>
      </c>
      <c r="E297" s="4">
        <v>0.97591822550051099</v>
      </c>
    </row>
    <row r="298" spans="1:5" x14ac:dyDescent="0.3">
      <c r="A298" t="s">
        <v>652</v>
      </c>
      <c r="B298" s="4">
        <v>1.1111111111111101</v>
      </c>
      <c r="C298" s="4">
        <v>5.5555555555555601E-2</v>
      </c>
      <c r="D298" s="4">
        <v>0.39130434782608697</v>
      </c>
      <c r="E298" s="4">
        <v>1</v>
      </c>
    </row>
    <row r="299" spans="1:5" x14ac:dyDescent="0.3">
      <c r="A299" t="s">
        <v>652</v>
      </c>
      <c r="B299" s="4">
        <v>0.88888888888888895</v>
      </c>
      <c r="C299" s="4">
        <v>0</v>
      </c>
      <c r="D299" s="4">
        <v>0.29032258064516098</v>
      </c>
      <c r="E299" s="4">
        <v>0.74115082749918004</v>
      </c>
    </row>
    <row r="300" spans="1:5" x14ac:dyDescent="0.3">
      <c r="A300" t="s">
        <v>652</v>
      </c>
      <c r="B300" s="4">
        <v>0.44444444444444398</v>
      </c>
      <c r="C300" s="4">
        <v>0</v>
      </c>
      <c r="D300" s="4">
        <v>0.375</v>
      </c>
      <c r="E300" s="4">
        <v>9.3246679893115997E-2</v>
      </c>
    </row>
    <row r="301" spans="1:5" x14ac:dyDescent="0.3">
      <c r="A301" t="s">
        <v>652</v>
      </c>
      <c r="B301" s="4">
        <v>1.1111111111111101</v>
      </c>
      <c r="C301" s="4">
        <v>0.22222222222222199</v>
      </c>
      <c r="D301" s="4">
        <v>0.39130434782608697</v>
      </c>
      <c r="E301" s="4">
        <v>0.194257870314829</v>
      </c>
    </row>
    <row r="302" spans="1:5" x14ac:dyDescent="0.3">
      <c r="A302" t="s">
        <v>652</v>
      </c>
      <c r="B302" s="4">
        <v>0.66666666666666696</v>
      </c>
      <c r="C302" s="4">
        <v>0</v>
      </c>
      <c r="D302" s="4">
        <v>0.36</v>
      </c>
      <c r="E302" s="4">
        <v>0.14628695911383699</v>
      </c>
    </row>
    <row r="303" spans="1:5" x14ac:dyDescent="0.3">
      <c r="A303" t="s">
        <v>652</v>
      </c>
      <c r="B303" s="4">
        <v>0.66666666666666696</v>
      </c>
      <c r="C303" s="4">
        <v>0.20833333333333301</v>
      </c>
      <c r="D303" s="4">
        <v>0.47368421052631599</v>
      </c>
      <c r="E303" s="4">
        <v>9.4066151717961399E-2</v>
      </c>
    </row>
    <row r="304" spans="1:5" x14ac:dyDescent="0.3">
      <c r="A304" t="s">
        <v>776</v>
      </c>
      <c r="B304" s="4">
        <v>1.4285714285714284</v>
      </c>
      <c r="C304" s="4">
        <v>0.14761904761904768</v>
      </c>
      <c r="D304" s="4">
        <v>0.3957659987071751</v>
      </c>
      <c r="E304" s="4">
        <v>0.56135774695301943</v>
      </c>
    </row>
    <row r="305" spans="1:5" x14ac:dyDescent="0.3">
      <c r="A305" t="s">
        <v>653</v>
      </c>
      <c r="B305" s="4">
        <v>0.84210526315789502</v>
      </c>
      <c r="C305" s="4">
        <v>8.7037037037036996E-2</v>
      </c>
      <c r="D305" s="4">
        <v>0.44186046511627902</v>
      </c>
      <c r="E305" s="4">
        <v>0.10264718696417</v>
      </c>
    </row>
    <row r="306" spans="1:5" x14ac:dyDescent="0.3">
      <c r="A306" t="s">
        <v>653</v>
      </c>
      <c r="B306" s="4">
        <v>0.84210526315789502</v>
      </c>
      <c r="C306" s="4">
        <v>0.100682261208577</v>
      </c>
      <c r="D306" s="4">
        <v>0.46341463414634099</v>
      </c>
      <c r="E306" s="4">
        <v>8.2673709564187806E-2</v>
      </c>
    </row>
    <row r="307" spans="1:5" x14ac:dyDescent="0.3">
      <c r="A307" t="s">
        <v>653</v>
      </c>
      <c r="B307" s="4">
        <v>0.21052631578947401</v>
      </c>
      <c r="C307" s="4">
        <v>1.1695906432748499E-3</v>
      </c>
      <c r="D307" s="4">
        <v>0.33333333333333298</v>
      </c>
      <c r="E307" s="4">
        <v>1.9898566157827099E-3</v>
      </c>
    </row>
    <row r="308" spans="1:5" x14ac:dyDescent="0.3">
      <c r="A308" t="s">
        <v>653</v>
      </c>
      <c r="B308" s="4">
        <v>1.57894736842105</v>
      </c>
      <c r="C308" s="4">
        <v>0.15949917528864899</v>
      </c>
      <c r="D308" s="4">
        <v>0.422222222222222</v>
      </c>
      <c r="E308" s="4">
        <v>1</v>
      </c>
    </row>
    <row r="309" spans="1:5" x14ac:dyDescent="0.3">
      <c r="A309" t="s">
        <v>653</v>
      </c>
      <c r="B309" s="4">
        <v>0.73684210526315796</v>
      </c>
      <c r="C309" s="4">
        <v>0.19897285949917501</v>
      </c>
      <c r="D309" s="4">
        <v>0.487179487179487</v>
      </c>
      <c r="E309" s="4">
        <v>7.4720772258693599E-2</v>
      </c>
    </row>
    <row r="310" spans="1:5" x14ac:dyDescent="0.3">
      <c r="A310" t="s">
        <v>653</v>
      </c>
      <c r="B310" s="4">
        <v>1.0526315789473699</v>
      </c>
      <c r="C310" s="4">
        <v>2.50476618897672E-2</v>
      </c>
      <c r="D310" s="4">
        <v>0.41304347826087001</v>
      </c>
      <c r="E310" s="4">
        <v>0.68038524300852898</v>
      </c>
    </row>
    <row r="311" spans="1:5" x14ac:dyDescent="0.3">
      <c r="A311" t="s">
        <v>653</v>
      </c>
      <c r="B311" s="4">
        <v>1.15789473684211</v>
      </c>
      <c r="C311" s="4">
        <v>5.1639783218730598E-2</v>
      </c>
      <c r="D311" s="4">
        <v>0.38</v>
      </c>
      <c r="E311" s="4">
        <v>0.67493301214670998</v>
      </c>
    </row>
    <row r="312" spans="1:5" x14ac:dyDescent="0.3">
      <c r="A312" t="s">
        <v>653</v>
      </c>
      <c r="B312" s="4">
        <v>1.3684210526315801</v>
      </c>
      <c r="C312" s="4">
        <v>0.28352719405351001</v>
      </c>
      <c r="D312" s="4">
        <v>0.47499999999999998</v>
      </c>
      <c r="E312" s="4">
        <v>0.75950158466282003</v>
      </c>
    </row>
    <row r="313" spans="1:5" x14ac:dyDescent="0.3">
      <c r="A313" t="s">
        <v>653</v>
      </c>
      <c r="B313" s="4">
        <v>1.26315789473684</v>
      </c>
      <c r="C313" s="4">
        <v>0.12836150204571301</v>
      </c>
      <c r="D313" s="4">
        <v>0.44186046511627902</v>
      </c>
      <c r="E313" s="4">
        <v>0.74566730026976902</v>
      </c>
    </row>
    <row r="314" spans="1:5" x14ac:dyDescent="0.3">
      <c r="A314" t="s">
        <v>653</v>
      </c>
      <c r="B314" s="4">
        <v>1.26315789473684</v>
      </c>
      <c r="C314" s="4">
        <v>0.188790351948247</v>
      </c>
      <c r="D314" s="4">
        <v>0.452380952380952</v>
      </c>
      <c r="E314" s="4">
        <v>0.76875982685380295</v>
      </c>
    </row>
    <row r="315" spans="1:5" x14ac:dyDescent="0.3">
      <c r="A315" t="s">
        <v>653</v>
      </c>
      <c r="B315" s="4">
        <v>0.63157894736842102</v>
      </c>
      <c r="C315" s="4">
        <v>0.218678105520211</v>
      </c>
      <c r="D315" s="4">
        <v>0.5</v>
      </c>
      <c r="E315" s="4">
        <v>4.9705877080360499E-2</v>
      </c>
    </row>
    <row r="316" spans="1:5" x14ac:dyDescent="0.3">
      <c r="A316" t="s">
        <v>653</v>
      </c>
      <c r="B316" s="4">
        <v>0.21052631578947401</v>
      </c>
      <c r="C316" s="4">
        <v>0</v>
      </c>
      <c r="D316" s="4">
        <v>0.33333333333333298</v>
      </c>
      <c r="E316" s="4">
        <v>2.9481209860993601E-2</v>
      </c>
    </row>
    <row r="317" spans="1:5" x14ac:dyDescent="0.3">
      <c r="A317" t="s">
        <v>653</v>
      </c>
      <c r="B317" s="4">
        <v>0.21052631578947401</v>
      </c>
      <c r="C317" s="4">
        <v>0</v>
      </c>
      <c r="D317" s="4">
        <v>0.223529411764706</v>
      </c>
      <c r="E317" s="4">
        <v>5.6677189690570499E-2</v>
      </c>
    </row>
    <row r="318" spans="1:5" x14ac:dyDescent="0.3">
      <c r="A318" t="s">
        <v>653</v>
      </c>
      <c r="B318" s="4">
        <v>0.21052631578947401</v>
      </c>
      <c r="C318" s="4">
        <v>0</v>
      </c>
      <c r="D318" s="4">
        <v>0.21839080459770099</v>
      </c>
      <c r="E318" s="4">
        <v>5.6975416843892603E-2</v>
      </c>
    </row>
    <row r="319" spans="1:5" x14ac:dyDescent="0.3">
      <c r="A319" t="s">
        <v>653</v>
      </c>
      <c r="B319" s="4">
        <v>0.21052631578947401</v>
      </c>
      <c r="C319" s="4">
        <v>1.0442773600668301E-2</v>
      </c>
      <c r="D319" s="4">
        <v>0.33333333333333298</v>
      </c>
      <c r="E319" s="4">
        <v>1.7984353613910799E-2</v>
      </c>
    </row>
    <row r="320" spans="1:5" x14ac:dyDescent="0.3">
      <c r="A320" t="s">
        <v>653</v>
      </c>
      <c r="B320" s="4">
        <v>0.73684210526315796</v>
      </c>
      <c r="C320" s="4">
        <v>0</v>
      </c>
      <c r="D320" s="4">
        <v>0.33333333333333298</v>
      </c>
      <c r="E320" s="4">
        <v>0.32970695689455598</v>
      </c>
    </row>
    <row r="321" spans="1:5" x14ac:dyDescent="0.3">
      <c r="A321" t="s">
        <v>653</v>
      </c>
      <c r="B321" s="4">
        <v>0.105263157894737</v>
      </c>
      <c r="C321" s="4">
        <v>0</v>
      </c>
      <c r="D321" s="4">
        <v>0.32758620689655199</v>
      </c>
      <c r="E321" s="4">
        <v>8.1550396164174095E-3</v>
      </c>
    </row>
    <row r="322" spans="1:5" x14ac:dyDescent="0.3">
      <c r="A322" t="s">
        <v>653</v>
      </c>
      <c r="B322" s="4">
        <v>0.105263157894737</v>
      </c>
      <c r="C322" s="4">
        <v>0</v>
      </c>
      <c r="D322" s="4">
        <v>0.32758620689655199</v>
      </c>
      <c r="E322" s="4">
        <v>8.1550396164174199E-3</v>
      </c>
    </row>
    <row r="323" spans="1:5" x14ac:dyDescent="0.3">
      <c r="A323" t="s">
        <v>653</v>
      </c>
      <c r="B323" s="4">
        <v>0.21052631578947401</v>
      </c>
      <c r="C323" s="4">
        <v>0</v>
      </c>
      <c r="D323" s="4">
        <v>0.322033898305085</v>
      </c>
      <c r="E323" s="4">
        <v>2.6750348880669E-2</v>
      </c>
    </row>
    <row r="324" spans="1:5" x14ac:dyDescent="0.3">
      <c r="A324" t="s">
        <v>653</v>
      </c>
      <c r="B324" s="4">
        <v>0.105263157894737</v>
      </c>
      <c r="C324" s="4">
        <v>0</v>
      </c>
      <c r="D324" s="4">
        <v>0.31666666666666698</v>
      </c>
      <c r="E324" s="4">
        <v>8.2544486675247605E-3</v>
      </c>
    </row>
    <row r="325" spans="1:5" x14ac:dyDescent="0.3">
      <c r="A325" t="s">
        <v>777</v>
      </c>
      <c r="B325" s="4">
        <v>0.72380952380952457</v>
      </c>
      <c r="C325" s="4">
        <v>0.10036630036630033</v>
      </c>
      <c r="D325" s="4">
        <v>0.32005841742835184</v>
      </c>
      <c r="E325" s="4">
        <v>0.34772644361240718</v>
      </c>
    </row>
    <row r="326" spans="1:5" x14ac:dyDescent="0.3">
      <c r="A326" t="s">
        <v>654</v>
      </c>
      <c r="B326" s="4">
        <v>1</v>
      </c>
      <c r="C326" s="4">
        <v>7.5757575757575803E-3</v>
      </c>
      <c r="D326" s="4">
        <v>0.33333333333333298</v>
      </c>
      <c r="E326" s="4">
        <v>0.34788577695702599</v>
      </c>
    </row>
    <row r="327" spans="1:5" x14ac:dyDescent="0.3">
      <c r="A327" t="s">
        <v>654</v>
      </c>
      <c r="B327" s="4">
        <v>0.5</v>
      </c>
      <c r="C327" s="4">
        <v>9.8484848484848495E-2</v>
      </c>
      <c r="D327" s="4">
        <v>0.41379310344827602</v>
      </c>
      <c r="E327" s="4">
        <v>2.73428303411236E-2</v>
      </c>
    </row>
    <row r="328" spans="1:5" x14ac:dyDescent="0.3">
      <c r="A328" t="s">
        <v>654</v>
      </c>
      <c r="B328" s="4">
        <v>1.1666666666666701</v>
      </c>
      <c r="C328" s="4">
        <v>0.25883838383838398</v>
      </c>
      <c r="D328" s="4">
        <v>0.48</v>
      </c>
      <c r="E328" s="4">
        <v>0.30985527007008801</v>
      </c>
    </row>
    <row r="329" spans="1:5" x14ac:dyDescent="0.3">
      <c r="A329" t="s">
        <v>654</v>
      </c>
      <c r="B329" s="4">
        <v>1.8333333333333299</v>
      </c>
      <c r="C329" s="4">
        <v>6.5656565656565594E-2</v>
      </c>
      <c r="D329" s="4">
        <v>0.4</v>
      </c>
      <c r="E329" s="4">
        <v>1</v>
      </c>
    </row>
    <row r="330" spans="1:5" x14ac:dyDescent="0.3">
      <c r="A330" t="s">
        <v>654</v>
      </c>
      <c r="B330" s="4">
        <v>1.6666666666666701</v>
      </c>
      <c r="C330" s="4">
        <v>0.15151515151515199</v>
      </c>
      <c r="D330" s="4">
        <v>0.34285714285714303</v>
      </c>
      <c r="E330" s="4">
        <v>0.96253454586996001</v>
      </c>
    </row>
    <row r="331" spans="1:5" x14ac:dyDescent="0.3">
      <c r="A331" t="s">
        <v>654</v>
      </c>
      <c r="B331" s="4">
        <v>0.83333333333333304</v>
      </c>
      <c r="C331" s="4">
        <v>8.3333333333333301E-2</v>
      </c>
      <c r="D331" s="4">
        <v>0.41379310344827602</v>
      </c>
      <c r="E331" s="4">
        <v>0.102701650302949</v>
      </c>
    </row>
    <row r="332" spans="1:5" x14ac:dyDescent="0.3">
      <c r="A332" t="s">
        <v>654</v>
      </c>
      <c r="B332" s="4">
        <v>1.5</v>
      </c>
      <c r="C332" s="4">
        <v>0.33585858585858602</v>
      </c>
      <c r="D332" s="4">
        <v>0.5</v>
      </c>
      <c r="E332" s="4">
        <v>0.34062535182259701</v>
      </c>
    </row>
    <row r="333" spans="1:5" x14ac:dyDescent="0.3">
      <c r="A333" t="s">
        <v>654</v>
      </c>
      <c r="B333" s="4">
        <v>0.66666666666666696</v>
      </c>
      <c r="C333" s="4">
        <v>6.4393939393939406E-2</v>
      </c>
      <c r="D333" s="4">
        <v>0.42857142857142899</v>
      </c>
      <c r="E333" s="4">
        <v>0.10522303498376601</v>
      </c>
    </row>
    <row r="334" spans="1:5" x14ac:dyDescent="0.3">
      <c r="A334" t="s">
        <v>654</v>
      </c>
      <c r="B334" s="4">
        <v>0.83333333333333304</v>
      </c>
      <c r="C334" s="4">
        <v>5.3030303030302997E-2</v>
      </c>
      <c r="D334" s="4">
        <v>0.38709677419354799</v>
      </c>
      <c r="E334" s="4">
        <v>0.113767448610822</v>
      </c>
    </row>
    <row r="335" spans="1:5" x14ac:dyDescent="0.3">
      <c r="A335" t="s">
        <v>654</v>
      </c>
      <c r="B335" s="4">
        <v>0.66666666666666696</v>
      </c>
      <c r="C335" s="4">
        <v>7.1969696969697003E-2</v>
      </c>
      <c r="D335" s="4">
        <v>0.41379310344827602</v>
      </c>
      <c r="E335" s="4">
        <v>0.18594974903166001</v>
      </c>
    </row>
    <row r="336" spans="1:5" x14ac:dyDescent="0.3">
      <c r="A336" t="s">
        <v>654</v>
      </c>
      <c r="B336" s="4">
        <v>0.33333333333333298</v>
      </c>
      <c r="C336" s="4">
        <v>0</v>
      </c>
      <c r="D336" s="4">
        <v>0.26086956521739102</v>
      </c>
      <c r="E336" s="4">
        <v>8.1852193014719798E-2</v>
      </c>
    </row>
    <row r="337" spans="1:5" x14ac:dyDescent="0.3">
      <c r="A337" t="s">
        <v>654</v>
      </c>
      <c r="B337" s="4">
        <v>0.5</v>
      </c>
      <c r="C337" s="4">
        <v>0.13636363636363599</v>
      </c>
      <c r="D337" s="4">
        <v>0.44444444444444398</v>
      </c>
      <c r="E337" s="4">
        <v>5.38644616880379E-2</v>
      </c>
    </row>
    <row r="338" spans="1:5" x14ac:dyDescent="0.3">
      <c r="A338" t="s">
        <v>654</v>
      </c>
      <c r="B338" s="4">
        <v>0.16666666666666699</v>
      </c>
      <c r="C338" s="4">
        <v>0</v>
      </c>
      <c r="D338" s="4">
        <v>0.34285714285714303</v>
      </c>
      <c r="E338" s="4">
        <v>5.6182847263589897E-3</v>
      </c>
    </row>
    <row r="339" spans="1:5" x14ac:dyDescent="0.3">
      <c r="A339" t="s">
        <v>778</v>
      </c>
      <c r="B339" s="4">
        <v>0.88888888888888895</v>
      </c>
      <c r="C339" s="4">
        <v>0.16296296296296292</v>
      </c>
      <c r="D339" s="4">
        <v>0.35947882999353581</v>
      </c>
      <c r="E339" s="4">
        <v>0.29540551240560048</v>
      </c>
    </row>
    <row r="340" spans="1:5" x14ac:dyDescent="0.3">
      <c r="A340" t="s">
        <v>655</v>
      </c>
      <c r="B340" s="4">
        <v>1.8333333333333299</v>
      </c>
      <c r="C340" s="4">
        <v>0.26515151515151503</v>
      </c>
      <c r="D340" s="4">
        <v>0.48</v>
      </c>
      <c r="E340" s="4">
        <v>1</v>
      </c>
    </row>
    <row r="341" spans="1:5" x14ac:dyDescent="0.3">
      <c r="A341" t="s">
        <v>655</v>
      </c>
      <c r="B341" s="4">
        <v>0.66666666666666696</v>
      </c>
      <c r="C341" s="4">
        <v>3.03030303030303E-2</v>
      </c>
      <c r="D341" s="4">
        <v>0.4</v>
      </c>
      <c r="E341" s="4">
        <v>3.4858844378457002E-2</v>
      </c>
    </row>
    <row r="342" spans="1:5" x14ac:dyDescent="0.3">
      <c r="A342" t="s">
        <v>655</v>
      </c>
      <c r="B342" s="4">
        <v>0.66666666666666696</v>
      </c>
      <c r="C342" s="4">
        <v>0</v>
      </c>
      <c r="D342" s="4">
        <v>0.35294117647058798</v>
      </c>
      <c r="E342" s="4">
        <v>6.2920320906123497E-2</v>
      </c>
    </row>
    <row r="343" spans="1:5" x14ac:dyDescent="0.3">
      <c r="A343" t="s">
        <v>655</v>
      </c>
      <c r="B343" s="4">
        <v>1.1666666666666701</v>
      </c>
      <c r="C343" s="4">
        <v>0.189393939393939</v>
      </c>
      <c r="D343" s="4">
        <v>0.36363636363636398</v>
      </c>
      <c r="E343" s="4">
        <v>0.51453444156195505</v>
      </c>
    </row>
    <row r="344" spans="1:5" x14ac:dyDescent="0.3">
      <c r="A344" t="s">
        <v>655</v>
      </c>
      <c r="B344" s="4">
        <v>0.66666666666666696</v>
      </c>
      <c r="C344" s="4">
        <v>0</v>
      </c>
      <c r="D344" s="4">
        <v>0.32432432432432401</v>
      </c>
      <c r="E344" s="4">
        <v>0.61651173415664995</v>
      </c>
    </row>
    <row r="345" spans="1:5" x14ac:dyDescent="0.3">
      <c r="A345" t="s">
        <v>655</v>
      </c>
      <c r="B345" s="4">
        <v>0.83333333333333304</v>
      </c>
      <c r="C345" s="4">
        <v>8.3333333333333301E-2</v>
      </c>
      <c r="D345" s="4">
        <v>0.42857142857142899</v>
      </c>
      <c r="E345" s="4">
        <v>0.68748572489063098</v>
      </c>
    </row>
    <row r="346" spans="1:5" x14ac:dyDescent="0.3">
      <c r="A346" t="s">
        <v>655</v>
      </c>
      <c r="B346" s="4">
        <v>0.5</v>
      </c>
      <c r="C346" s="4">
        <v>0.16666666666666699</v>
      </c>
      <c r="D346" s="4">
        <v>0.42857142857142899</v>
      </c>
      <c r="E346" s="4">
        <v>6.8497873559000402E-2</v>
      </c>
    </row>
    <row r="347" spans="1:5" x14ac:dyDescent="0.3">
      <c r="A347" t="s">
        <v>655</v>
      </c>
      <c r="B347" s="4">
        <v>0.83333333333333304</v>
      </c>
      <c r="C347" s="4">
        <v>0.27272727272727298</v>
      </c>
      <c r="D347" s="4">
        <v>0.48</v>
      </c>
      <c r="E347" s="4">
        <v>0.32766263017944097</v>
      </c>
    </row>
    <row r="348" spans="1:5" x14ac:dyDescent="0.3">
      <c r="A348" t="s">
        <v>655</v>
      </c>
      <c r="B348" s="4">
        <v>0.33333333333333298</v>
      </c>
      <c r="C348" s="4">
        <v>4.5454545454545497E-2</v>
      </c>
      <c r="D348" s="4">
        <v>0.38709677419354799</v>
      </c>
      <c r="E348" s="4">
        <v>6.0324243524207698E-2</v>
      </c>
    </row>
    <row r="349" spans="1:5" x14ac:dyDescent="0.3">
      <c r="A349" t="s">
        <v>655</v>
      </c>
      <c r="B349" s="4">
        <v>0.33333333333333298</v>
      </c>
      <c r="C349" s="4">
        <v>0</v>
      </c>
      <c r="D349" s="4">
        <v>0.218181818181818</v>
      </c>
      <c r="E349" s="4">
        <v>0.20897430667862801</v>
      </c>
    </row>
    <row r="350" spans="1:5" x14ac:dyDescent="0.3">
      <c r="A350" t="s">
        <v>655</v>
      </c>
      <c r="B350" s="4">
        <v>0.5</v>
      </c>
      <c r="C350" s="4">
        <v>0.13636363636363599</v>
      </c>
      <c r="D350" s="4">
        <v>0.38709677419354799</v>
      </c>
      <c r="E350" s="4">
        <v>0.23314861799675399</v>
      </c>
    </row>
    <row r="351" spans="1:5" x14ac:dyDescent="0.3">
      <c r="A351" t="s">
        <v>655</v>
      </c>
      <c r="B351" s="4">
        <v>0.83333333333333304</v>
      </c>
      <c r="C351" s="4">
        <v>0.31565656565656602</v>
      </c>
      <c r="D351" s="4">
        <v>0.5</v>
      </c>
      <c r="E351" s="4">
        <v>4.2502393757498397E-2</v>
      </c>
    </row>
    <row r="352" spans="1:5" x14ac:dyDescent="0.3">
      <c r="A352" t="s">
        <v>655</v>
      </c>
      <c r="B352" s="4">
        <v>0.5</v>
      </c>
      <c r="C352" s="4">
        <v>5.0505050505050501E-3</v>
      </c>
      <c r="D352" s="4">
        <v>0.36363636363636398</v>
      </c>
      <c r="E352" s="4">
        <v>4.1705725222010897E-3</v>
      </c>
    </row>
    <row r="353" spans="1:5" x14ac:dyDescent="0.3">
      <c r="A353" t="s">
        <v>779</v>
      </c>
      <c r="B353" s="4">
        <v>1.0555555555555556</v>
      </c>
      <c r="C353" s="4">
        <v>0.14682539682539686</v>
      </c>
      <c r="D353" s="4">
        <v>0.38698270407562818</v>
      </c>
      <c r="E353" s="4">
        <v>0.4139673790257194</v>
      </c>
    </row>
    <row r="354" spans="1:5" x14ac:dyDescent="0.3">
      <c r="A354" t="s">
        <v>656</v>
      </c>
      <c r="B354" s="4">
        <v>0.66666666666666696</v>
      </c>
      <c r="C354" s="4">
        <v>0.33333333333333298</v>
      </c>
      <c r="D354" s="4">
        <v>0.5</v>
      </c>
      <c r="E354" s="4">
        <v>1.3202150960265399E-2</v>
      </c>
    </row>
    <row r="355" spans="1:5" x14ac:dyDescent="0.3">
      <c r="A355" t="s">
        <v>656</v>
      </c>
      <c r="B355" s="4">
        <v>0.33333333333333298</v>
      </c>
      <c r="C355" s="4">
        <v>0</v>
      </c>
      <c r="D355" s="4">
        <v>0.35294117647058798</v>
      </c>
      <c r="E355" s="4">
        <v>7.9102240437441997E-4</v>
      </c>
    </row>
    <row r="356" spans="1:5" x14ac:dyDescent="0.3">
      <c r="A356" t="s">
        <v>656</v>
      </c>
      <c r="B356" s="4">
        <v>1.6666666666666701</v>
      </c>
      <c r="C356" s="4">
        <v>0.63333333333333297</v>
      </c>
      <c r="D356" s="4">
        <v>0.66666666666666696</v>
      </c>
      <c r="E356" s="4">
        <v>0.219552660674325</v>
      </c>
    </row>
    <row r="357" spans="1:5" x14ac:dyDescent="0.3">
      <c r="A357" t="s">
        <v>656</v>
      </c>
      <c r="B357" s="4">
        <v>1</v>
      </c>
      <c r="C357" s="4">
        <v>3.3333333333333298E-2</v>
      </c>
      <c r="D357" s="4">
        <v>0.42857142857142899</v>
      </c>
      <c r="E357" s="4">
        <v>0.16884107210521301</v>
      </c>
    </row>
    <row r="358" spans="1:5" x14ac:dyDescent="0.3">
      <c r="A358" t="s">
        <v>656</v>
      </c>
      <c r="B358" s="4">
        <v>1.3333333333333299</v>
      </c>
      <c r="C358" s="4">
        <v>0.16666666666666699</v>
      </c>
      <c r="D358" s="4">
        <v>0.54545454545454497</v>
      </c>
      <c r="E358" s="4">
        <v>0.3788494039525</v>
      </c>
    </row>
    <row r="359" spans="1:5" x14ac:dyDescent="0.3">
      <c r="A359" t="s">
        <v>656</v>
      </c>
      <c r="B359" s="4">
        <v>1.3333333333333299</v>
      </c>
      <c r="C359" s="4">
        <v>0</v>
      </c>
      <c r="D359" s="4">
        <v>0.35294117647058798</v>
      </c>
      <c r="E359" s="4">
        <v>1</v>
      </c>
    </row>
    <row r="360" spans="1:5" x14ac:dyDescent="0.3">
      <c r="A360" t="s">
        <v>656</v>
      </c>
      <c r="B360" s="4">
        <v>1</v>
      </c>
      <c r="C360" s="4">
        <v>0</v>
      </c>
      <c r="D360" s="4">
        <v>0.5</v>
      </c>
      <c r="E360" s="4">
        <v>0.934596607984294</v>
      </c>
    </row>
    <row r="361" spans="1:5" x14ac:dyDescent="0.3">
      <c r="A361" t="s">
        <v>780</v>
      </c>
      <c r="B361" s="4">
        <v>2</v>
      </c>
      <c r="C361" s="4">
        <v>0.16666666666666674</v>
      </c>
      <c r="D361" s="4">
        <v>0.58125000000000004</v>
      </c>
      <c r="E361" s="4">
        <v>0.63030151606587548</v>
      </c>
    </row>
    <row r="362" spans="1:5" x14ac:dyDescent="0.3">
      <c r="A362" t="s">
        <v>657</v>
      </c>
      <c r="B362" s="4">
        <v>2</v>
      </c>
      <c r="C362" s="11">
        <v>0</v>
      </c>
      <c r="D362" s="4">
        <v>0.33333333333333298</v>
      </c>
      <c r="E362" s="4">
        <v>0</v>
      </c>
    </row>
    <row r="363" spans="1:5" x14ac:dyDescent="0.3">
      <c r="A363" t="s">
        <v>657</v>
      </c>
      <c r="B363" s="4">
        <v>2</v>
      </c>
      <c r="C363" s="11">
        <v>0</v>
      </c>
      <c r="D363" s="4">
        <v>0.33333333333333298</v>
      </c>
      <c r="E363" s="4">
        <v>0</v>
      </c>
    </row>
    <row r="364" spans="1:5" x14ac:dyDescent="0.3">
      <c r="A364" t="s">
        <v>781</v>
      </c>
      <c r="B364" s="4">
        <v>0</v>
      </c>
      <c r="C364" s="4">
        <v>0</v>
      </c>
      <c r="D364" s="4">
        <v>0</v>
      </c>
      <c r="E364" s="4">
        <v>0</v>
      </c>
    </row>
    <row r="365" spans="1:5" x14ac:dyDescent="0.3">
      <c r="A365" t="s">
        <v>658</v>
      </c>
      <c r="B365" s="4">
        <v>1.5</v>
      </c>
      <c r="C365" s="4">
        <v>0.35714285714285698</v>
      </c>
      <c r="D365" s="4">
        <v>0.42105263157894701</v>
      </c>
      <c r="E365" s="4">
        <v>0.23047045598965199</v>
      </c>
    </row>
    <row r="366" spans="1:5" x14ac:dyDescent="0.3">
      <c r="A366" t="s">
        <v>658</v>
      </c>
      <c r="B366" s="4">
        <v>1.5</v>
      </c>
      <c r="C366" s="4">
        <v>0</v>
      </c>
      <c r="D366" s="4">
        <v>0.32</v>
      </c>
      <c r="E366" s="4">
        <v>0.35841112583080698</v>
      </c>
    </row>
    <row r="367" spans="1:5" x14ac:dyDescent="0.3">
      <c r="A367" t="s">
        <v>658</v>
      </c>
      <c r="B367" s="4">
        <v>1</v>
      </c>
      <c r="C367" s="4">
        <v>0.107142857142857</v>
      </c>
      <c r="D367" s="4">
        <v>0.36363636363636398</v>
      </c>
      <c r="E367" s="4">
        <v>0.15978506055359501</v>
      </c>
    </row>
    <row r="368" spans="1:5" x14ac:dyDescent="0.3">
      <c r="A368" t="s">
        <v>658</v>
      </c>
      <c r="B368" s="4">
        <v>1.5</v>
      </c>
      <c r="C368" s="4">
        <v>0</v>
      </c>
      <c r="D368" s="4">
        <v>0.32</v>
      </c>
      <c r="E368" s="4">
        <v>0.98628076905199502</v>
      </c>
    </row>
    <row r="369" spans="1:5" x14ac:dyDescent="0.3">
      <c r="A369" t="s">
        <v>658</v>
      </c>
      <c r="B369" s="4">
        <v>1.75</v>
      </c>
      <c r="C369" s="4">
        <v>3.5714285714285698E-2</v>
      </c>
      <c r="D369" s="4">
        <v>0.33333333333333298</v>
      </c>
      <c r="E369" s="4">
        <v>1</v>
      </c>
    </row>
    <row r="370" spans="1:5" x14ac:dyDescent="0.3">
      <c r="A370" t="s">
        <v>658</v>
      </c>
      <c r="B370" s="4">
        <v>1.25</v>
      </c>
      <c r="C370" s="4">
        <v>0.25</v>
      </c>
      <c r="D370" s="4">
        <v>0.4</v>
      </c>
      <c r="E370" s="4">
        <v>0.43225854097564398</v>
      </c>
    </row>
    <row r="371" spans="1:5" x14ac:dyDescent="0.3">
      <c r="A371" t="s">
        <v>658</v>
      </c>
      <c r="B371" s="4">
        <v>0.5</v>
      </c>
      <c r="C371" s="4">
        <v>7.1428571428571397E-2</v>
      </c>
      <c r="D371" s="4">
        <v>0.34782608695652201</v>
      </c>
      <c r="E371" s="4">
        <v>5.3492127724969599E-2</v>
      </c>
    </row>
    <row r="372" spans="1:5" x14ac:dyDescent="0.3">
      <c r="A372" t="s">
        <v>658</v>
      </c>
      <c r="B372" s="4">
        <v>1</v>
      </c>
      <c r="C372" s="4">
        <v>0</v>
      </c>
      <c r="D372" s="4">
        <v>0.33333333333333298</v>
      </c>
      <c r="E372" s="4">
        <v>0.51731809988117605</v>
      </c>
    </row>
    <row r="373" spans="1:5" x14ac:dyDescent="0.3">
      <c r="A373" t="s">
        <v>658</v>
      </c>
      <c r="B373" s="4">
        <v>0</v>
      </c>
      <c r="C373" s="4">
        <v>0</v>
      </c>
      <c r="D373" s="4">
        <v>0.11111111111111099</v>
      </c>
      <c r="E373" s="4">
        <v>0</v>
      </c>
    </row>
    <row r="374" spans="1:5" x14ac:dyDescent="0.3">
      <c r="A374" t="s">
        <v>782</v>
      </c>
      <c r="B374" s="4">
        <v>1.4</v>
      </c>
      <c r="C374" s="4">
        <v>0.23333333333333323</v>
      </c>
      <c r="D374" s="4">
        <v>0.21390476190476199</v>
      </c>
      <c r="E374" s="4">
        <v>0.60493317589369622</v>
      </c>
    </row>
    <row r="375" spans="1:5" x14ac:dyDescent="0.3">
      <c r="A375" t="s">
        <v>659</v>
      </c>
      <c r="B375" s="4">
        <v>2</v>
      </c>
      <c r="C375" s="4">
        <v>0</v>
      </c>
      <c r="D375" s="4">
        <v>0.33333333333333298</v>
      </c>
      <c r="E375" s="4">
        <v>0</v>
      </c>
    </row>
    <row r="376" spans="1:5" x14ac:dyDescent="0.3">
      <c r="A376" t="s">
        <v>659</v>
      </c>
      <c r="B376" s="4">
        <v>2</v>
      </c>
      <c r="C376" s="4">
        <v>0</v>
      </c>
      <c r="D376" s="4">
        <v>0.33333333333333298</v>
      </c>
      <c r="E376" s="4">
        <v>0</v>
      </c>
    </row>
    <row r="377" spans="1:5" x14ac:dyDescent="0.3">
      <c r="A377" t="s">
        <v>659</v>
      </c>
      <c r="B377" s="4">
        <v>2</v>
      </c>
      <c r="C377" s="4">
        <v>1</v>
      </c>
      <c r="D377" s="4">
        <v>0.5</v>
      </c>
      <c r="E377" s="4">
        <v>0</v>
      </c>
    </row>
    <row r="378" spans="1:5" x14ac:dyDescent="0.3">
      <c r="A378" t="s">
        <v>783</v>
      </c>
      <c r="B378" s="4">
        <v>0</v>
      </c>
      <c r="C378" s="4">
        <v>0</v>
      </c>
      <c r="D378" s="4">
        <v>0</v>
      </c>
      <c r="E378" s="4">
        <v>0</v>
      </c>
    </row>
    <row r="379" spans="1:5" x14ac:dyDescent="0.3">
      <c r="A379" t="s">
        <v>660</v>
      </c>
      <c r="B379" s="4">
        <v>2</v>
      </c>
      <c r="C379" s="4">
        <v>0</v>
      </c>
      <c r="D379" s="4">
        <v>0.36363636363636398</v>
      </c>
      <c r="E379" s="4">
        <v>0.98344772980169803</v>
      </c>
    </row>
    <row r="380" spans="1:5" x14ac:dyDescent="0.3">
      <c r="A380" t="s">
        <v>660</v>
      </c>
      <c r="B380" s="4">
        <v>2</v>
      </c>
      <c r="C380" s="4">
        <v>0.13888888888888901</v>
      </c>
      <c r="D380" s="4">
        <v>0.4</v>
      </c>
      <c r="E380" s="4">
        <v>1</v>
      </c>
    </row>
    <row r="381" spans="1:5" x14ac:dyDescent="0.3">
      <c r="A381" t="s">
        <v>660</v>
      </c>
      <c r="B381" s="4">
        <v>1.5</v>
      </c>
      <c r="C381" s="4">
        <v>0</v>
      </c>
      <c r="D381" s="4">
        <v>0.28571428571428598</v>
      </c>
      <c r="E381" s="4">
        <v>0.60128933716408395</v>
      </c>
    </row>
    <row r="382" spans="1:5" x14ac:dyDescent="0.3">
      <c r="A382" t="s">
        <v>660</v>
      </c>
      <c r="B382" s="4">
        <v>2</v>
      </c>
      <c r="C382" s="4">
        <v>0.13888888888888901</v>
      </c>
      <c r="D382" s="4">
        <v>0.44444444444444398</v>
      </c>
      <c r="E382" s="4">
        <v>0.97439009417818001</v>
      </c>
    </row>
    <row r="383" spans="1:5" x14ac:dyDescent="0.3">
      <c r="A383" t="s">
        <v>660</v>
      </c>
      <c r="B383" s="4">
        <v>1.5</v>
      </c>
      <c r="C383" s="4">
        <v>0.61111111111111105</v>
      </c>
      <c r="D383" s="4">
        <v>0.5</v>
      </c>
      <c r="E383" s="4">
        <v>0.24184012050103201</v>
      </c>
    </row>
    <row r="384" spans="1:5" x14ac:dyDescent="0.3">
      <c r="A384" t="s">
        <v>784</v>
      </c>
      <c r="B384" s="4">
        <v>0</v>
      </c>
      <c r="C384" s="4">
        <v>0</v>
      </c>
      <c r="D384" s="4">
        <v>0</v>
      </c>
      <c r="E384" s="4">
        <v>0</v>
      </c>
    </row>
    <row r="385" spans="1:5" x14ac:dyDescent="0.3">
      <c r="A385" t="s">
        <v>662</v>
      </c>
      <c r="B385" s="4">
        <v>1.2</v>
      </c>
      <c r="C385" s="4">
        <v>0.4</v>
      </c>
      <c r="D385" s="4">
        <v>0.3125</v>
      </c>
      <c r="E385" s="4">
        <v>0.64192119331818698</v>
      </c>
    </row>
    <row r="386" spans="1:5" x14ac:dyDescent="0.3">
      <c r="A386" t="s">
        <v>662</v>
      </c>
      <c r="B386" s="4">
        <v>1.2</v>
      </c>
      <c r="C386" s="4">
        <v>0</v>
      </c>
      <c r="D386" s="4">
        <v>0.3125</v>
      </c>
      <c r="E386" s="4">
        <v>1</v>
      </c>
    </row>
    <row r="387" spans="1:5" x14ac:dyDescent="0.3">
      <c r="A387" t="s">
        <v>662</v>
      </c>
      <c r="B387" s="4">
        <v>1.6</v>
      </c>
      <c r="C387" s="4">
        <v>0.7</v>
      </c>
      <c r="D387" s="4">
        <v>0.41666666666666702</v>
      </c>
      <c r="E387" s="4">
        <v>0.251685817956256</v>
      </c>
    </row>
    <row r="388" spans="1:5" x14ac:dyDescent="0.3">
      <c r="A388" t="s">
        <v>662</v>
      </c>
      <c r="B388" s="4">
        <v>0.8</v>
      </c>
      <c r="C388" s="4">
        <v>0</v>
      </c>
      <c r="D388" s="4">
        <v>0.17857142857142899</v>
      </c>
      <c r="E388" s="4">
        <v>0.98606853479858203</v>
      </c>
    </row>
    <row r="389" spans="1:5" x14ac:dyDescent="0.3">
      <c r="A389" t="s">
        <v>662</v>
      </c>
      <c r="B389" s="4">
        <v>0.8</v>
      </c>
      <c r="C389" s="4">
        <v>0</v>
      </c>
      <c r="D389" s="4">
        <v>0.27777777777777801</v>
      </c>
      <c r="E389" s="4">
        <v>6.2406618017208197E-2</v>
      </c>
    </row>
    <row r="390" spans="1:5" x14ac:dyDescent="0.3">
      <c r="A390" t="s">
        <v>662</v>
      </c>
      <c r="B390" s="4">
        <v>0.8</v>
      </c>
      <c r="C390" s="4">
        <v>0</v>
      </c>
      <c r="D390" s="4">
        <v>0.27777777777777801</v>
      </c>
      <c r="E390" s="4">
        <v>6.2406618017208301E-2</v>
      </c>
    </row>
    <row r="391" spans="1:5" x14ac:dyDescent="0.3">
      <c r="A391" t="s">
        <v>785</v>
      </c>
      <c r="B391" s="4">
        <v>0</v>
      </c>
      <c r="C391" s="4">
        <v>0</v>
      </c>
      <c r="D391" s="4">
        <v>0</v>
      </c>
      <c r="E391" s="4">
        <v>0</v>
      </c>
    </row>
    <row r="392" spans="1:5" x14ac:dyDescent="0.3">
      <c r="A392" t="s">
        <v>661</v>
      </c>
      <c r="B392" s="4">
        <v>2</v>
      </c>
      <c r="C392" s="4">
        <v>0.214285714285714</v>
      </c>
      <c r="D392" s="4">
        <v>0.46666666666666701</v>
      </c>
      <c r="E392" s="4">
        <v>1</v>
      </c>
    </row>
    <row r="393" spans="1:5" x14ac:dyDescent="0.3">
      <c r="A393" t="s">
        <v>661</v>
      </c>
      <c r="B393" s="4">
        <v>1.1428571428571399</v>
      </c>
      <c r="C393" s="4">
        <v>0.30952380952380998</v>
      </c>
      <c r="D393" s="4">
        <v>0.5</v>
      </c>
      <c r="E393" s="4">
        <v>0.48050464576000101</v>
      </c>
    </row>
    <row r="394" spans="1:5" x14ac:dyDescent="0.3">
      <c r="A394" t="s">
        <v>661</v>
      </c>
      <c r="B394" s="4">
        <v>0.85714285714285698</v>
      </c>
      <c r="C394" s="4">
        <v>9.5238095238095205E-2</v>
      </c>
      <c r="D394" s="4">
        <v>0.38888888888888901</v>
      </c>
      <c r="E394" s="4">
        <v>0.59448905476261205</v>
      </c>
    </row>
    <row r="395" spans="1:5" x14ac:dyDescent="0.3">
      <c r="A395" t="s">
        <v>661</v>
      </c>
      <c r="B395" s="4">
        <v>0.85714285714285698</v>
      </c>
      <c r="C395" s="4">
        <v>0.30158730158730201</v>
      </c>
      <c r="D395" s="4">
        <v>0.5</v>
      </c>
      <c r="E395" s="4">
        <v>0.236571766595397</v>
      </c>
    </row>
    <row r="396" spans="1:5" x14ac:dyDescent="0.3">
      <c r="A396" t="s">
        <v>661</v>
      </c>
      <c r="B396" s="4">
        <v>0.57142857142857095</v>
      </c>
      <c r="C396" s="4">
        <v>0</v>
      </c>
      <c r="D396" s="4">
        <v>0.31818181818181801</v>
      </c>
      <c r="E396" s="4">
        <v>0.245341050577181</v>
      </c>
    </row>
    <row r="397" spans="1:5" x14ac:dyDescent="0.3">
      <c r="A397" t="s">
        <v>661</v>
      </c>
      <c r="B397" s="4">
        <v>1.1428571428571399</v>
      </c>
      <c r="C397" s="4">
        <v>0.134920634920635</v>
      </c>
      <c r="D397" s="4">
        <v>0.46666666666666701</v>
      </c>
      <c r="E397" s="4">
        <v>0.66481935558977301</v>
      </c>
    </row>
    <row r="398" spans="1:5" x14ac:dyDescent="0.3">
      <c r="A398" t="s">
        <v>661</v>
      </c>
      <c r="B398" s="4">
        <v>0.57142857142857095</v>
      </c>
      <c r="C398" s="4">
        <v>0.11111111111111099</v>
      </c>
      <c r="D398" s="4">
        <v>0.41176470588235298</v>
      </c>
      <c r="E398" s="4">
        <v>0.12808132125511201</v>
      </c>
    </row>
    <row r="399" spans="1:5" x14ac:dyDescent="0.3">
      <c r="A399" t="s">
        <v>661</v>
      </c>
      <c r="B399" s="4">
        <v>0.85714285714285698</v>
      </c>
      <c r="C399" s="4">
        <v>1.58730158730159E-2</v>
      </c>
      <c r="D399" s="4">
        <v>0.41176470588235298</v>
      </c>
      <c r="E399" s="4">
        <v>0.34427707418446601</v>
      </c>
    </row>
    <row r="400" spans="1:5" x14ac:dyDescent="0.3">
      <c r="A400" t="s">
        <v>786</v>
      </c>
      <c r="B400" s="4">
        <v>1.0666666666666667</v>
      </c>
      <c r="C400" s="4">
        <v>0.23333333333333336</v>
      </c>
      <c r="D400" s="4">
        <v>0.33002720910329614</v>
      </c>
      <c r="E400" s="4">
        <v>0.5370746793086062</v>
      </c>
    </row>
    <row r="401" spans="1:5" x14ac:dyDescent="0.3">
      <c r="A401" t="s">
        <v>663</v>
      </c>
      <c r="B401" s="4">
        <v>1</v>
      </c>
      <c r="C401" s="4">
        <v>0.150638032990974</v>
      </c>
      <c r="D401" s="4">
        <v>0.25714285714285701</v>
      </c>
      <c r="E401" s="4">
        <v>0.55425627122477406</v>
      </c>
    </row>
    <row r="402" spans="1:5" x14ac:dyDescent="0.3">
      <c r="A402" t="s">
        <v>663</v>
      </c>
      <c r="B402" s="4">
        <v>0.33333333333333298</v>
      </c>
      <c r="C402" s="4">
        <v>1.86430127606598E-2</v>
      </c>
      <c r="D402" s="4">
        <v>0.204545454545455</v>
      </c>
      <c r="E402" s="4">
        <v>6.5030885919790601E-2</v>
      </c>
    </row>
    <row r="403" spans="1:5" x14ac:dyDescent="0.3">
      <c r="A403" t="s">
        <v>663</v>
      </c>
      <c r="B403" s="4">
        <v>0.33333333333333298</v>
      </c>
      <c r="C403" s="4">
        <v>4.2483660130718998E-2</v>
      </c>
      <c r="D403" s="4">
        <v>0.21176470588235299</v>
      </c>
      <c r="E403" s="4">
        <v>0.11309061805461</v>
      </c>
    </row>
    <row r="404" spans="1:5" x14ac:dyDescent="0.3">
      <c r="A404" t="s">
        <v>663</v>
      </c>
      <c r="B404" s="4">
        <v>0.22222222222222199</v>
      </c>
      <c r="C404" s="4">
        <v>3.0563336445689399E-2</v>
      </c>
      <c r="D404" s="4">
        <v>0.22222222222222199</v>
      </c>
      <c r="E404" s="4">
        <v>3.2122492175059601E-2</v>
      </c>
    </row>
    <row r="405" spans="1:5" x14ac:dyDescent="0.3">
      <c r="A405" t="s">
        <v>663</v>
      </c>
      <c r="B405" s="4">
        <v>1.55555555555556</v>
      </c>
      <c r="C405" s="4">
        <v>0.37279800809212599</v>
      </c>
      <c r="D405" s="4">
        <v>0.27692307692307699</v>
      </c>
      <c r="E405" s="4">
        <v>1</v>
      </c>
    </row>
    <row r="406" spans="1:5" x14ac:dyDescent="0.3">
      <c r="A406" t="s">
        <v>663</v>
      </c>
      <c r="B406" s="4">
        <v>0.33333333333333298</v>
      </c>
      <c r="C406" s="4">
        <v>0</v>
      </c>
      <c r="D406" s="4">
        <v>0.209302325581395</v>
      </c>
      <c r="E406" s="4">
        <v>0.143585023294688</v>
      </c>
    </row>
    <row r="407" spans="1:5" x14ac:dyDescent="0.3">
      <c r="A407" t="s">
        <v>663</v>
      </c>
      <c r="B407" s="4">
        <v>0.55555555555555602</v>
      </c>
      <c r="C407" s="4">
        <v>1.72735760971055E-2</v>
      </c>
      <c r="D407" s="4">
        <v>0.227848101265823</v>
      </c>
      <c r="E407" s="4">
        <v>0.45763688096042199</v>
      </c>
    </row>
    <row r="408" spans="1:5" x14ac:dyDescent="0.3">
      <c r="A408" t="s">
        <v>663</v>
      </c>
      <c r="B408" s="4">
        <v>0.77777777777777801</v>
      </c>
      <c r="C408" s="4">
        <v>1.4565826330532199E-2</v>
      </c>
      <c r="D408" s="4">
        <v>0.24324324324324301</v>
      </c>
      <c r="E408" s="4">
        <v>0.40041454741550098</v>
      </c>
    </row>
    <row r="409" spans="1:5" x14ac:dyDescent="0.3">
      <c r="A409" t="s">
        <v>663</v>
      </c>
      <c r="B409" s="4">
        <v>0.66666666666666696</v>
      </c>
      <c r="C409" s="4">
        <v>9.2919389978213501E-2</v>
      </c>
      <c r="D409" s="4">
        <v>0.24657534246575299</v>
      </c>
      <c r="E409" s="4">
        <v>0.303945920354525</v>
      </c>
    </row>
    <row r="410" spans="1:5" x14ac:dyDescent="0.3">
      <c r="A410" t="s">
        <v>663</v>
      </c>
      <c r="B410" s="4">
        <v>0.22222222222222199</v>
      </c>
      <c r="C410" s="4">
        <v>3.5294117647058802E-2</v>
      </c>
      <c r="D410" s="4">
        <v>0.23376623376623401</v>
      </c>
      <c r="E410" s="4">
        <v>7.5607783501635203E-2</v>
      </c>
    </row>
    <row r="411" spans="1:5" x14ac:dyDescent="0.3">
      <c r="A411" t="s">
        <v>663</v>
      </c>
      <c r="B411" s="4">
        <v>0.11111111111111099</v>
      </c>
      <c r="C411" s="4">
        <v>0</v>
      </c>
      <c r="D411" s="4">
        <v>5.5555555555555601E-2</v>
      </c>
      <c r="E411" s="4">
        <v>1.35904864760065E-17</v>
      </c>
    </row>
    <row r="412" spans="1:5" x14ac:dyDescent="0.3">
      <c r="A412" t="s">
        <v>663</v>
      </c>
      <c r="B412" s="4">
        <v>0.11111111111111099</v>
      </c>
      <c r="C412" s="4">
        <v>0</v>
      </c>
      <c r="D412" s="4">
        <v>5.5555555555555601E-2</v>
      </c>
      <c r="E412" s="4">
        <v>1.5175257627788701E-17</v>
      </c>
    </row>
    <row r="413" spans="1:5" x14ac:dyDescent="0.3">
      <c r="A413" t="s">
        <v>663</v>
      </c>
      <c r="B413" s="4">
        <v>0.88888888888888895</v>
      </c>
      <c r="C413" s="4">
        <v>2.6143790849673201E-3</v>
      </c>
      <c r="D413" s="4">
        <v>0.230769230769231</v>
      </c>
      <c r="E413" s="4">
        <v>0.82118243600485397</v>
      </c>
    </row>
    <row r="414" spans="1:5" x14ac:dyDescent="0.3">
      <c r="A414" t="s">
        <v>663</v>
      </c>
      <c r="B414" s="4">
        <v>0.55555555555555602</v>
      </c>
      <c r="C414" s="4">
        <v>6.8549642079053896E-2</v>
      </c>
      <c r="D414" s="4">
        <v>0.26086956521739102</v>
      </c>
      <c r="E414" s="4">
        <v>0.15186084887462201</v>
      </c>
    </row>
    <row r="415" spans="1:5" x14ac:dyDescent="0.3">
      <c r="A415" t="s">
        <v>663</v>
      </c>
      <c r="B415" s="4">
        <v>0.55555555555555602</v>
      </c>
      <c r="C415" s="4">
        <v>6.8549642079053896E-2</v>
      </c>
      <c r="D415" s="4">
        <v>0.26086956521739102</v>
      </c>
      <c r="E415" s="4">
        <v>0.15186084887462201</v>
      </c>
    </row>
    <row r="416" spans="1:5" x14ac:dyDescent="0.3">
      <c r="A416" t="s">
        <v>663</v>
      </c>
      <c r="B416" s="4">
        <v>0.11111111111111099</v>
      </c>
      <c r="C416" s="4">
        <v>0</v>
      </c>
      <c r="D416" s="4">
        <v>0.22500000000000001</v>
      </c>
      <c r="E416" s="4">
        <v>5.1870108728188903E-2</v>
      </c>
    </row>
    <row r="417" spans="1:5" x14ac:dyDescent="0.3">
      <c r="A417" t="s">
        <v>663</v>
      </c>
      <c r="B417" s="4">
        <v>0.33333333333333298</v>
      </c>
      <c r="C417" s="4">
        <v>5.6613756613756602E-2</v>
      </c>
      <c r="D417" s="4">
        <v>0.24324324324324301</v>
      </c>
      <c r="E417" s="4">
        <v>0.11523479748623899</v>
      </c>
    </row>
    <row r="418" spans="1:5" x14ac:dyDescent="0.3">
      <c r="A418" t="s">
        <v>663</v>
      </c>
      <c r="B418" s="4">
        <v>0.44444444444444398</v>
      </c>
      <c r="C418" s="4">
        <v>7.8711484593837505E-2</v>
      </c>
      <c r="D418" s="4">
        <v>0.25352112676056299</v>
      </c>
      <c r="E418" s="4">
        <v>0.16027323191700399</v>
      </c>
    </row>
    <row r="419" spans="1:5" x14ac:dyDescent="0.3">
      <c r="A419" t="s">
        <v>663</v>
      </c>
      <c r="B419" s="4">
        <v>0.22222222222222199</v>
      </c>
      <c r="C419" s="4">
        <v>0</v>
      </c>
      <c r="D419" s="4">
        <v>0.227848101265823</v>
      </c>
      <c r="E419" s="4">
        <v>0.13705975321069</v>
      </c>
    </row>
    <row r="420" spans="1:5" x14ac:dyDescent="0.3">
      <c r="A420" t="s">
        <v>787</v>
      </c>
      <c r="B420" s="4">
        <v>0.61538461538461564</v>
      </c>
      <c r="C420" s="4">
        <v>5.3556166056166123E-2</v>
      </c>
      <c r="D420" s="4">
        <v>0.2319102847237165</v>
      </c>
      <c r="E420" s="4">
        <v>0.29387883527891684</v>
      </c>
    </row>
    <row r="421" spans="1:5" x14ac:dyDescent="0.3">
      <c r="A421" t="s">
        <v>664</v>
      </c>
      <c r="B421" s="4">
        <v>1.7777777777777799</v>
      </c>
      <c r="C421" s="4">
        <v>0.27777777777777801</v>
      </c>
      <c r="D421" s="4">
        <v>0.45</v>
      </c>
      <c r="E421" s="4">
        <v>1</v>
      </c>
    </row>
    <row r="422" spans="1:5" x14ac:dyDescent="0.3">
      <c r="A422" t="s">
        <v>664</v>
      </c>
      <c r="B422" s="4">
        <v>1.1111111111111101</v>
      </c>
      <c r="C422" s="4">
        <v>0.296296296296296</v>
      </c>
      <c r="D422" s="4">
        <v>0.5</v>
      </c>
      <c r="E422" s="4">
        <v>0.45413809472266597</v>
      </c>
    </row>
    <row r="423" spans="1:5" x14ac:dyDescent="0.3">
      <c r="A423" t="s">
        <v>664</v>
      </c>
      <c r="B423" s="4">
        <v>1.1111111111111101</v>
      </c>
      <c r="C423" s="4">
        <v>0.101851851851852</v>
      </c>
      <c r="D423" s="4">
        <v>0.47368421052631599</v>
      </c>
      <c r="E423" s="4">
        <v>0.46172524794239</v>
      </c>
    </row>
    <row r="424" spans="1:5" x14ac:dyDescent="0.3">
      <c r="A424" t="s">
        <v>664</v>
      </c>
      <c r="B424" s="4">
        <v>0.44444444444444398</v>
      </c>
      <c r="C424" s="4">
        <v>0</v>
      </c>
      <c r="D424" s="4">
        <v>0.36</v>
      </c>
      <c r="E424" s="4">
        <v>0.11852920611334</v>
      </c>
    </row>
    <row r="425" spans="1:5" x14ac:dyDescent="0.3">
      <c r="A425" t="s">
        <v>664</v>
      </c>
      <c r="B425" s="4">
        <v>0.66666666666666696</v>
      </c>
      <c r="C425" s="4">
        <v>1.38888888888889E-2</v>
      </c>
      <c r="D425" s="4">
        <v>0.375</v>
      </c>
      <c r="E425" s="4">
        <v>0.59504833096285903</v>
      </c>
    </row>
    <row r="426" spans="1:5" x14ac:dyDescent="0.3">
      <c r="A426" t="s">
        <v>664</v>
      </c>
      <c r="B426" s="4">
        <v>0.44444444444444398</v>
      </c>
      <c r="C426" s="4">
        <v>0</v>
      </c>
      <c r="D426" s="4">
        <v>0.375</v>
      </c>
      <c r="E426" s="4">
        <v>0.31987284133562899</v>
      </c>
    </row>
    <row r="427" spans="1:5" x14ac:dyDescent="0.3">
      <c r="A427" t="s">
        <v>664</v>
      </c>
      <c r="B427" s="4">
        <v>1.3333333333333299</v>
      </c>
      <c r="C427" s="4">
        <v>0.34722222222222199</v>
      </c>
      <c r="D427" s="4">
        <v>0.5</v>
      </c>
      <c r="E427" s="4">
        <v>0.71767593084009096</v>
      </c>
    </row>
    <row r="428" spans="1:5" x14ac:dyDescent="0.3">
      <c r="A428" t="s">
        <v>664</v>
      </c>
      <c r="B428" s="4">
        <v>0.66666666666666696</v>
      </c>
      <c r="C428" s="4">
        <v>0</v>
      </c>
      <c r="D428" s="4">
        <v>0.36</v>
      </c>
      <c r="E428" s="4">
        <v>0.31594944207793102</v>
      </c>
    </row>
    <row r="429" spans="1:5" x14ac:dyDescent="0.3">
      <c r="A429" t="s">
        <v>664</v>
      </c>
      <c r="B429" s="4">
        <v>0.66666666666666696</v>
      </c>
      <c r="C429" s="4">
        <v>4.6296296296296301E-2</v>
      </c>
      <c r="D429" s="4">
        <v>0.39130434782608697</v>
      </c>
      <c r="E429" s="4">
        <v>0.236724927555656</v>
      </c>
    </row>
    <row r="430" spans="1:5" ht="13.8" customHeight="1" x14ac:dyDescent="0.3">
      <c r="A430" t="s">
        <v>664</v>
      </c>
      <c r="B430" s="4">
        <v>0.22222222222222199</v>
      </c>
      <c r="C430" s="4">
        <v>0</v>
      </c>
      <c r="D430" s="4">
        <v>0.32142857142857101</v>
      </c>
      <c r="E430" s="4">
        <v>8.6041077083162096E-2</v>
      </c>
    </row>
    <row r="431" spans="1:5" ht="13.8" customHeight="1" x14ac:dyDescent="0.3">
      <c r="A431" t="s">
        <v>788</v>
      </c>
      <c r="B431" s="4">
        <v>1.6</v>
      </c>
      <c r="C431" s="4">
        <v>0.11666666666666661</v>
      </c>
      <c r="D431" s="4">
        <v>0.48317460317460303</v>
      </c>
      <c r="E431" s="4">
        <v>0.6661342220932841</v>
      </c>
    </row>
    <row r="432" spans="1:5" x14ac:dyDescent="0.3">
      <c r="A432" t="s">
        <v>665</v>
      </c>
      <c r="B432" s="4">
        <v>0.83333333333333304</v>
      </c>
      <c r="C432" s="4">
        <v>1.8939393939393898E-2</v>
      </c>
      <c r="D432" s="4">
        <v>0.25</v>
      </c>
      <c r="E432" s="4">
        <v>0.67919764839165497</v>
      </c>
    </row>
    <row r="433" spans="1:5" x14ac:dyDescent="0.3">
      <c r="A433" t="s">
        <v>665</v>
      </c>
      <c r="B433" s="4">
        <v>1.3333333333333299</v>
      </c>
      <c r="C433" s="4">
        <v>5.6818181818181802E-2</v>
      </c>
      <c r="D433" s="4">
        <v>0.266666666666667</v>
      </c>
      <c r="E433" s="4">
        <v>0.886465787994003</v>
      </c>
    </row>
    <row r="434" spans="1:5" x14ac:dyDescent="0.3">
      <c r="A434" t="s">
        <v>665</v>
      </c>
      <c r="B434" s="4">
        <v>1.6666666666666701</v>
      </c>
      <c r="C434" s="4">
        <v>0.33333333333333298</v>
      </c>
      <c r="D434" s="4">
        <v>0.3</v>
      </c>
      <c r="E434" s="4">
        <v>1</v>
      </c>
    </row>
    <row r="435" spans="1:5" x14ac:dyDescent="0.3">
      <c r="A435" t="s">
        <v>665</v>
      </c>
      <c r="B435" s="4">
        <v>0.16666666666666699</v>
      </c>
      <c r="C435" s="4">
        <v>0</v>
      </c>
      <c r="D435" s="4">
        <v>8.3333333333333301E-2</v>
      </c>
      <c r="E435" s="4">
        <v>0</v>
      </c>
    </row>
    <row r="436" spans="1:5" x14ac:dyDescent="0.3">
      <c r="A436" t="s">
        <v>665</v>
      </c>
      <c r="B436" s="4">
        <v>0.16666666666666699</v>
      </c>
      <c r="C436" s="4">
        <v>0</v>
      </c>
      <c r="D436" s="4">
        <v>8.3333333333333301E-2</v>
      </c>
      <c r="E436" s="4">
        <v>0</v>
      </c>
    </row>
    <row r="437" spans="1:5" x14ac:dyDescent="0.3">
      <c r="A437" t="s">
        <v>665</v>
      </c>
      <c r="B437" s="4">
        <v>0.33333333333333298</v>
      </c>
      <c r="C437" s="4">
        <v>5.0505050505050497E-2</v>
      </c>
      <c r="D437" s="4">
        <v>0.26086956521739102</v>
      </c>
      <c r="E437" s="4">
        <v>4.0722139129807398E-2</v>
      </c>
    </row>
    <row r="438" spans="1:5" x14ac:dyDescent="0.3">
      <c r="A438" t="s">
        <v>665</v>
      </c>
      <c r="B438" s="4">
        <v>0.83333333333333304</v>
      </c>
      <c r="C438" s="4">
        <v>2.3989898989898999E-2</v>
      </c>
      <c r="D438" s="4">
        <v>0.25</v>
      </c>
      <c r="E438" s="4">
        <v>0.27679354088583502</v>
      </c>
    </row>
    <row r="439" spans="1:5" x14ac:dyDescent="0.3">
      <c r="A439" t="s">
        <v>665</v>
      </c>
      <c r="B439" s="4">
        <v>0.33333333333333298</v>
      </c>
      <c r="C439" s="4">
        <v>2.9040404040403998E-2</v>
      </c>
      <c r="D439" s="4">
        <v>0.25531914893617003</v>
      </c>
      <c r="E439" s="4">
        <v>5.0802084896107803E-2</v>
      </c>
    </row>
    <row r="440" spans="1:5" x14ac:dyDescent="0.3">
      <c r="A440" t="s">
        <v>665</v>
      </c>
      <c r="B440" s="4">
        <v>1</v>
      </c>
      <c r="C440" s="4">
        <v>3.6616161616161602E-2</v>
      </c>
      <c r="D440" s="4">
        <v>0.25</v>
      </c>
      <c r="E440" s="4">
        <v>0.59283807886717799</v>
      </c>
    </row>
    <row r="441" spans="1:5" x14ac:dyDescent="0.3">
      <c r="A441" t="s">
        <v>665</v>
      </c>
      <c r="B441" s="4">
        <v>0.5</v>
      </c>
      <c r="C441" s="4">
        <v>6.9444444444444406E-2</v>
      </c>
      <c r="D441" s="4">
        <v>0.266666666666667</v>
      </c>
      <c r="E441" s="4">
        <v>7.9075084403499404E-2</v>
      </c>
    </row>
    <row r="442" spans="1:5" x14ac:dyDescent="0.3">
      <c r="A442" t="s">
        <v>665</v>
      </c>
      <c r="B442" s="4">
        <v>0.5</v>
      </c>
      <c r="C442" s="4">
        <v>9.0909090909090898E-2</v>
      </c>
      <c r="D442" s="4">
        <v>0.27272727272727298</v>
      </c>
      <c r="E442" s="4">
        <v>8.1829442326493099E-2</v>
      </c>
    </row>
    <row r="443" spans="1:5" x14ac:dyDescent="0.3">
      <c r="A443" t="s">
        <v>665</v>
      </c>
      <c r="B443" s="4">
        <v>0.33333333333333298</v>
      </c>
      <c r="C443" s="4">
        <v>1.26262626262626E-2</v>
      </c>
      <c r="D443" s="4">
        <v>0.25531914893617003</v>
      </c>
      <c r="E443" s="4">
        <v>6.0167066814118798E-2</v>
      </c>
    </row>
    <row r="444" spans="1:5" x14ac:dyDescent="0.3">
      <c r="A444" t="s">
        <v>665</v>
      </c>
      <c r="B444" s="4">
        <v>0.33333333333333298</v>
      </c>
      <c r="C444" s="4">
        <v>0</v>
      </c>
      <c r="D444" s="4">
        <v>0.25</v>
      </c>
      <c r="E444" s="4">
        <v>8.8440066321510497E-2</v>
      </c>
    </row>
    <row r="445" spans="1:5" x14ac:dyDescent="0.3">
      <c r="A445" t="s">
        <v>789</v>
      </c>
      <c r="B445" s="4">
        <v>0.88888888888888906</v>
      </c>
      <c r="C445" s="4">
        <v>8.0324074074074145E-2</v>
      </c>
      <c r="D445" s="4">
        <v>0.32094696882328055</v>
      </c>
      <c r="E445" s="4">
        <v>0.37390570195131084</v>
      </c>
    </row>
    <row r="446" spans="1:5" x14ac:dyDescent="0.3">
      <c r="A446" t="s">
        <v>666</v>
      </c>
      <c r="B446" s="4">
        <v>2</v>
      </c>
      <c r="C446" s="4">
        <v>0</v>
      </c>
      <c r="D446" s="4">
        <v>0.75</v>
      </c>
      <c r="E446" s="4">
        <v>1</v>
      </c>
    </row>
    <row r="447" spans="1:5" x14ac:dyDescent="0.3">
      <c r="A447" t="s">
        <v>666</v>
      </c>
      <c r="B447" s="4">
        <v>2</v>
      </c>
      <c r="C447" s="4">
        <v>0</v>
      </c>
      <c r="D447" s="4">
        <v>0.75</v>
      </c>
      <c r="E447" s="4">
        <v>0.999999999999999</v>
      </c>
    </row>
    <row r="448" spans="1:5" x14ac:dyDescent="0.3">
      <c r="A448" t="s">
        <v>666</v>
      </c>
      <c r="B448" s="4">
        <v>2</v>
      </c>
      <c r="C448" s="4">
        <v>0.16666666666666699</v>
      </c>
      <c r="D448" s="4">
        <v>1</v>
      </c>
      <c r="E448" s="4">
        <v>0.5</v>
      </c>
    </row>
    <row r="449" spans="1:5" x14ac:dyDescent="0.3">
      <c r="A449" t="s">
        <v>666</v>
      </c>
      <c r="B449" s="4">
        <v>2</v>
      </c>
      <c r="C449" s="4">
        <v>0.16666666666666699</v>
      </c>
      <c r="D449" s="4">
        <v>1</v>
      </c>
      <c r="E449" s="4">
        <v>0.499999999999999</v>
      </c>
    </row>
    <row r="450" spans="1:5" x14ac:dyDescent="0.3">
      <c r="A450" t="s">
        <v>790</v>
      </c>
      <c r="B450" s="4">
        <v>0</v>
      </c>
      <c r="C450" s="4">
        <v>0</v>
      </c>
      <c r="D450" s="4">
        <v>0</v>
      </c>
      <c r="E450" s="4">
        <v>0</v>
      </c>
    </row>
    <row r="451" spans="1:5" x14ac:dyDescent="0.3">
      <c r="A451" t="s">
        <v>667</v>
      </c>
      <c r="B451" s="4">
        <v>1.6</v>
      </c>
      <c r="C451" s="4">
        <v>0.7</v>
      </c>
      <c r="D451" s="4">
        <v>0.66666666666666696</v>
      </c>
      <c r="E451" s="4">
        <v>0.20219180025292399</v>
      </c>
    </row>
    <row r="452" spans="1:5" x14ac:dyDescent="0.3">
      <c r="A452" t="s">
        <v>667</v>
      </c>
      <c r="B452" s="4">
        <v>0.4</v>
      </c>
      <c r="C452" s="4">
        <v>0</v>
      </c>
      <c r="D452" s="4">
        <v>0.45454545454545497</v>
      </c>
      <c r="E452" s="4">
        <v>5.3344322440753104E-3</v>
      </c>
    </row>
    <row r="453" spans="1:5" x14ac:dyDescent="0.3">
      <c r="A453" t="s">
        <v>667</v>
      </c>
      <c r="B453" s="4">
        <v>0.6</v>
      </c>
      <c r="C453" s="4">
        <v>0.2</v>
      </c>
      <c r="D453" s="4">
        <v>0.476190476190476</v>
      </c>
      <c r="E453" s="4">
        <v>2.69988068841799E-2</v>
      </c>
    </row>
    <row r="454" spans="1:5" x14ac:dyDescent="0.3">
      <c r="A454" t="s">
        <v>667</v>
      </c>
      <c r="B454" s="4">
        <v>1.4</v>
      </c>
      <c r="C454" s="4">
        <v>0</v>
      </c>
      <c r="D454" s="4">
        <v>0.33333333333333298</v>
      </c>
      <c r="E454" s="4">
        <v>0.952460933641473</v>
      </c>
    </row>
    <row r="455" spans="1:5" x14ac:dyDescent="0.3">
      <c r="A455" t="s">
        <v>667</v>
      </c>
      <c r="B455" s="4">
        <v>1.2</v>
      </c>
      <c r="C455" s="4">
        <v>0</v>
      </c>
      <c r="D455" s="4">
        <v>0.30303030303030298</v>
      </c>
      <c r="E455" s="4">
        <v>1</v>
      </c>
    </row>
    <row r="456" spans="1:5" x14ac:dyDescent="0.3">
      <c r="A456" t="s">
        <v>667</v>
      </c>
      <c r="B456" s="4">
        <v>0.6</v>
      </c>
      <c r="C456" s="4">
        <v>7.4074074074074103E-3</v>
      </c>
      <c r="D456" s="4">
        <v>0.38461538461538503</v>
      </c>
      <c r="E456" s="4">
        <v>0.12880491989769799</v>
      </c>
    </row>
    <row r="457" spans="1:5" x14ac:dyDescent="0.3">
      <c r="A457" t="s">
        <v>667</v>
      </c>
      <c r="B457" s="4">
        <v>1.4</v>
      </c>
      <c r="C457" s="4">
        <v>0</v>
      </c>
      <c r="D457" s="4">
        <v>0.37037037037037002</v>
      </c>
      <c r="E457" s="4">
        <v>0.94408124181777298</v>
      </c>
    </row>
    <row r="458" spans="1:5" x14ac:dyDescent="0.3">
      <c r="A458" t="s">
        <v>667</v>
      </c>
      <c r="B458" s="4">
        <v>1.6</v>
      </c>
      <c r="C458" s="4">
        <v>0.15185185185185199</v>
      </c>
      <c r="D458" s="4">
        <v>0.52631578947368396</v>
      </c>
      <c r="E458" s="4">
        <v>0.86210577761033502</v>
      </c>
    </row>
    <row r="459" spans="1:5" x14ac:dyDescent="0.3">
      <c r="A459" t="s">
        <v>667</v>
      </c>
      <c r="B459" s="4">
        <v>1.6</v>
      </c>
      <c r="C459" s="4">
        <v>0.15185185185185199</v>
      </c>
      <c r="D459" s="4">
        <v>0.52631578947368396</v>
      </c>
      <c r="E459" s="4">
        <v>0.67191854641903404</v>
      </c>
    </row>
    <row r="460" spans="1:5" x14ac:dyDescent="0.3">
      <c r="A460" t="s">
        <v>667</v>
      </c>
      <c r="B460" s="4">
        <v>1.2</v>
      </c>
      <c r="C460" s="4">
        <v>0</v>
      </c>
      <c r="D460" s="4">
        <v>0.41666666666666702</v>
      </c>
      <c r="E460" s="4">
        <v>0.37514374652486399</v>
      </c>
    </row>
    <row r="461" spans="1:5" x14ac:dyDescent="0.3">
      <c r="A461" t="s">
        <v>667</v>
      </c>
      <c r="B461" s="4">
        <v>0.8</v>
      </c>
      <c r="C461" s="4">
        <v>7.4074074074074098E-2</v>
      </c>
      <c r="D461" s="4">
        <v>0.41666666666666702</v>
      </c>
      <c r="E461" s="4">
        <v>9.2604152021303898E-2</v>
      </c>
    </row>
    <row r="462" spans="1:5" x14ac:dyDescent="0.3">
      <c r="A462" t="s">
        <v>791</v>
      </c>
      <c r="B462" s="4">
        <v>1.7142857142857142</v>
      </c>
      <c r="C462" s="4">
        <v>0.15714285714285708</v>
      </c>
      <c r="D462" s="4">
        <v>0.21214349078420242</v>
      </c>
      <c r="E462" s="4">
        <v>0.70450608901267853</v>
      </c>
    </row>
    <row r="463" spans="1:5" x14ac:dyDescent="0.3">
      <c r="A463" t="s">
        <v>668</v>
      </c>
      <c r="B463" s="4">
        <v>1.71428571428571</v>
      </c>
      <c r="C463" s="4">
        <v>0.452380952380952</v>
      </c>
      <c r="D463" s="4">
        <v>0.4375</v>
      </c>
      <c r="E463" s="4">
        <v>1</v>
      </c>
    </row>
    <row r="464" spans="1:5" x14ac:dyDescent="0.3">
      <c r="A464" t="s">
        <v>668</v>
      </c>
      <c r="B464" s="4">
        <v>1.1428571428571399</v>
      </c>
      <c r="C464" s="4">
        <v>7.1428571428571397E-2</v>
      </c>
      <c r="D464" s="4">
        <v>0.35</v>
      </c>
      <c r="E464" s="4">
        <v>0.99207393910443598</v>
      </c>
    </row>
    <row r="465" spans="1:5" x14ac:dyDescent="0.3">
      <c r="A465" t="s">
        <v>668</v>
      </c>
      <c r="B465" s="4">
        <v>0.57142857142857095</v>
      </c>
      <c r="C465" s="4">
        <v>0</v>
      </c>
      <c r="D465" s="4">
        <v>0.31818181818181801</v>
      </c>
      <c r="E465" s="4">
        <v>0.24918752988574699</v>
      </c>
    </row>
    <row r="466" spans="1:5" x14ac:dyDescent="0.3">
      <c r="A466" t="s">
        <v>668</v>
      </c>
      <c r="B466" s="4">
        <v>0.57142857142857095</v>
      </c>
      <c r="C466" s="4">
        <v>0.14285714285714299</v>
      </c>
      <c r="D466" s="4">
        <v>0.38888888888888901</v>
      </c>
      <c r="E466" s="4">
        <v>0.165904985751717</v>
      </c>
    </row>
    <row r="467" spans="1:5" x14ac:dyDescent="0.3">
      <c r="A467" t="s">
        <v>668</v>
      </c>
      <c r="B467" s="4">
        <v>0.57142857142857095</v>
      </c>
      <c r="C467" s="4">
        <v>0</v>
      </c>
      <c r="D467" s="4">
        <v>0.35</v>
      </c>
      <c r="E467" s="4">
        <v>0.248527427369403</v>
      </c>
    </row>
    <row r="468" spans="1:5" x14ac:dyDescent="0.3">
      <c r="A468" t="s">
        <v>668</v>
      </c>
      <c r="B468" s="4">
        <v>0.57142857142857095</v>
      </c>
      <c r="C468" s="4">
        <v>0</v>
      </c>
      <c r="D468" s="4">
        <v>0.35</v>
      </c>
      <c r="E468" s="4">
        <v>9.0848650913228399E-2</v>
      </c>
    </row>
    <row r="469" spans="1:5" x14ac:dyDescent="0.3">
      <c r="A469" t="s">
        <v>668</v>
      </c>
      <c r="B469" s="4">
        <v>0.57142857142857095</v>
      </c>
      <c r="C469" s="4">
        <v>0</v>
      </c>
      <c r="D469" s="4">
        <v>0.35</v>
      </c>
      <c r="E469" s="4">
        <v>9.0848650913228399E-2</v>
      </c>
    </row>
    <row r="470" spans="1:5" x14ac:dyDescent="0.3">
      <c r="A470" t="s">
        <v>668</v>
      </c>
      <c r="B470" s="4">
        <v>0</v>
      </c>
      <c r="C470" s="4">
        <v>0</v>
      </c>
      <c r="D470" s="4">
        <v>0.125</v>
      </c>
      <c r="E470" s="4">
        <v>0</v>
      </c>
    </row>
    <row r="471" spans="1:5" x14ac:dyDescent="0.3">
      <c r="A471" t="s">
        <v>792</v>
      </c>
      <c r="B471" s="4">
        <v>0</v>
      </c>
      <c r="C471" s="4">
        <v>0</v>
      </c>
      <c r="D471" s="4">
        <v>0</v>
      </c>
      <c r="E471" s="4">
        <v>0</v>
      </c>
    </row>
    <row r="472" spans="1:5" x14ac:dyDescent="0.3">
      <c r="A472" t="s">
        <v>669</v>
      </c>
      <c r="B472" s="4">
        <v>1.3333333333333299</v>
      </c>
      <c r="C472" s="4">
        <v>7.8703703703703706E-2</v>
      </c>
      <c r="D472" s="4">
        <v>0.45</v>
      </c>
      <c r="E472" s="4">
        <v>0.89414202376171303</v>
      </c>
    </row>
    <row r="473" spans="1:5" x14ac:dyDescent="0.3">
      <c r="A473" t="s">
        <v>669</v>
      </c>
      <c r="B473" s="4">
        <v>2</v>
      </c>
      <c r="C473" s="4">
        <v>0.328703703703704</v>
      </c>
      <c r="D473" s="4">
        <v>0.52941176470588203</v>
      </c>
      <c r="E473" s="4">
        <v>1</v>
      </c>
    </row>
    <row r="474" spans="1:5" x14ac:dyDescent="0.3">
      <c r="A474" t="s">
        <v>669</v>
      </c>
      <c r="B474" s="4">
        <v>0.44444444444444398</v>
      </c>
      <c r="C474" s="4">
        <v>2.7777777777777801E-2</v>
      </c>
      <c r="D474" s="4">
        <v>0.39130434782608697</v>
      </c>
      <c r="E474" s="4">
        <v>9.7703000741210494E-2</v>
      </c>
    </row>
    <row r="475" spans="1:5" x14ac:dyDescent="0.3">
      <c r="A475" t="s">
        <v>669</v>
      </c>
      <c r="B475" s="4">
        <v>0.66666666666666696</v>
      </c>
      <c r="C475" s="4">
        <v>0</v>
      </c>
      <c r="D475" s="4">
        <v>0.375</v>
      </c>
      <c r="E475" s="4">
        <v>0.25428126649937699</v>
      </c>
    </row>
    <row r="476" spans="1:5" x14ac:dyDescent="0.3">
      <c r="A476" t="s">
        <v>669</v>
      </c>
      <c r="B476" s="4">
        <v>1.55555555555556</v>
      </c>
      <c r="C476" s="4">
        <v>0.37962962962962998</v>
      </c>
      <c r="D476" s="4">
        <v>0.5625</v>
      </c>
      <c r="E476" s="4">
        <v>0.57069953216742697</v>
      </c>
    </row>
    <row r="477" spans="1:5" x14ac:dyDescent="0.3">
      <c r="A477" t="s">
        <v>669</v>
      </c>
      <c r="B477" s="4">
        <v>0.66666666666666696</v>
      </c>
      <c r="C477" s="4">
        <v>0.328703703703704</v>
      </c>
      <c r="D477" s="4">
        <v>0.5625</v>
      </c>
      <c r="E477" s="4">
        <v>0.12714063324968899</v>
      </c>
    </row>
    <row r="478" spans="1:5" x14ac:dyDescent="0.3">
      <c r="A478" t="s">
        <v>669</v>
      </c>
      <c r="B478" s="4">
        <v>0.22222222222222199</v>
      </c>
      <c r="C478" s="4">
        <v>0</v>
      </c>
      <c r="D478" s="4">
        <v>0.36</v>
      </c>
      <c r="E478" s="4">
        <v>5.1581665743931401E-2</v>
      </c>
    </row>
    <row r="479" spans="1:5" x14ac:dyDescent="0.3">
      <c r="A479" t="s">
        <v>669</v>
      </c>
      <c r="B479" s="4">
        <v>0.88888888888888895</v>
      </c>
      <c r="C479" s="4">
        <v>0</v>
      </c>
      <c r="D479" s="4">
        <v>0.39130434782608697</v>
      </c>
      <c r="E479" s="4">
        <v>0.43942956808248301</v>
      </c>
    </row>
    <row r="480" spans="1:5" x14ac:dyDescent="0.3">
      <c r="A480" t="s">
        <v>669</v>
      </c>
      <c r="B480" s="4">
        <v>0.88888888888888895</v>
      </c>
      <c r="C480" s="4">
        <v>1.38888888888889E-2</v>
      </c>
      <c r="D480" s="4">
        <v>0.40909090909090901</v>
      </c>
      <c r="E480" s="4">
        <v>0.26597826310262901</v>
      </c>
    </row>
    <row r="481" spans="1:5" x14ac:dyDescent="0.3">
      <c r="A481" t="s">
        <v>669</v>
      </c>
      <c r="B481" s="4">
        <v>0.66666666666666696</v>
      </c>
      <c r="C481" s="4">
        <v>3.7037037037037E-2</v>
      </c>
      <c r="D481" s="4">
        <v>0.45</v>
      </c>
      <c r="E481" s="4">
        <v>0.146320565858852</v>
      </c>
    </row>
    <row r="482" spans="1:5" x14ac:dyDescent="0.3">
      <c r="A482" t="s">
        <v>793</v>
      </c>
      <c r="B482" s="4">
        <v>1.1428571428571417</v>
      </c>
      <c r="C482" s="4">
        <v>0.12698412698412698</v>
      </c>
      <c r="D482" s="4">
        <v>0.47902133609854186</v>
      </c>
      <c r="E482" s="4">
        <v>0.44922123896655414</v>
      </c>
    </row>
    <row r="483" spans="1:5" x14ac:dyDescent="0.3">
      <c r="A483" t="s">
        <v>670</v>
      </c>
      <c r="B483" s="4">
        <v>0.66666666666666696</v>
      </c>
      <c r="C483" s="4">
        <v>9.6825396825396801E-2</v>
      </c>
      <c r="D483" s="4">
        <v>0.46875</v>
      </c>
      <c r="E483" s="4">
        <v>0.117719625126866</v>
      </c>
    </row>
    <row r="484" spans="1:5" x14ac:dyDescent="0.3">
      <c r="A484" t="s">
        <v>670</v>
      </c>
      <c r="B484" s="4">
        <v>0.8</v>
      </c>
      <c r="C484" s="4">
        <v>4.6825396825396798E-2</v>
      </c>
      <c r="D484" s="4">
        <v>0.441176470588235</v>
      </c>
      <c r="E484" s="4">
        <v>0.236116927826694</v>
      </c>
    </row>
    <row r="485" spans="1:5" x14ac:dyDescent="0.3">
      <c r="A485" t="s">
        <v>670</v>
      </c>
      <c r="B485" s="4">
        <v>0.4</v>
      </c>
      <c r="C485" s="4">
        <v>2.53968253968254E-2</v>
      </c>
      <c r="D485" s="4">
        <v>0.42857142857142899</v>
      </c>
      <c r="E485" s="4">
        <v>4.7927564995238599E-2</v>
      </c>
    </row>
    <row r="486" spans="1:5" x14ac:dyDescent="0.3">
      <c r="A486" t="s">
        <v>670</v>
      </c>
      <c r="B486" s="4">
        <v>1.6</v>
      </c>
      <c r="C486" s="4">
        <v>0.32619047619047598</v>
      </c>
      <c r="D486" s="4">
        <v>0.53571428571428603</v>
      </c>
      <c r="E486" s="4">
        <v>0.99627021123679105</v>
      </c>
    </row>
    <row r="487" spans="1:5" x14ac:dyDescent="0.3">
      <c r="A487" t="s">
        <v>670</v>
      </c>
      <c r="B487" s="4">
        <v>0.266666666666667</v>
      </c>
      <c r="C487" s="4">
        <v>8.7301587301587304E-3</v>
      </c>
      <c r="D487" s="4">
        <v>0.40540540540540498</v>
      </c>
      <c r="E487" s="4">
        <v>3.9545628318048198E-2</v>
      </c>
    </row>
    <row r="488" spans="1:5" x14ac:dyDescent="0.3">
      <c r="A488" t="s">
        <v>670</v>
      </c>
      <c r="B488" s="4">
        <v>1.4666666666666699</v>
      </c>
      <c r="C488" s="4">
        <v>0.32698412698412699</v>
      </c>
      <c r="D488" s="4">
        <v>0.55555555555555602</v>
      </c>
      <c r="E488" s="4">
        <v>1</v>
      </c>
    </row>
    <row r="489" spans="1:5" x14ac:dyDescent="0.3">
      <c r="A489" t="s">
        <v>670</v>
      </c>
      <c r="B489" s="4">
        <v>0.4</v>
      </c>
      <c r="C489" s="4">
        <v>0</v>
      </c>
      <c r="D489" s="4">
        <v>0.32608695652173902</v>
      </c>
      <c r="E489" s="4">
        <v>0.285342024717256</v>
      </c>
    </row>
    <row r="490" spans="1:5" x14ac:dyDescent="0.3">
      <c r="A490" t="s">
        <v>670</v>
      </c>
      <c r="B490" s="4">
        <v>0.133333333333333</v>
      </c>
      <c r="C490" s="4">
        <v>0</v>
      </c>
      <c r="D490" s="4">
        <v>0.27272727272727298</v>
      </c>
      <c r="E490" s="4">
        <v>7.0998185130907596E-2</v>
      </c>
    </row>
    <row r="491" spans="1:5" x14ac:dyDescent="0.3">
      <c r="A491" t="s">
        <v>670</v>
      </c>
      <c r="B491" s="4">
        <v>0.266666666666667</v>
      </c>
      <c r="C491" s="4">
        <v>0</v>
      </c>
      <c r="D491" s="4">
        <v>0.27777777777777801</v>
      </c>
      <c r="E491" s="4">
        <v>0.17723065459415899</v>
      </c>
    </row>
    <row r="492" spans="1:5" x14ac:dyDescent="0.3">
      <c r="A492" t="s">
        <v>670</v>
      </c>
      <c r="B492" s="4">
        <v>0.266666666666667</v>
      </c>
      <c r="C492" s="4">
        <v>1.9047619047619001E-2</v>
      </c>
      <c r="D492" s="4">
        <v>0.441176470588235</v>
      </c>
      <c r="E492" s="4">
        <v>7.0865781014352799E-2</v>
      </c>
    </row>
    <row r="493" spans="1:5" x14ac:dyDescent="0.3">
      <c r="A493" t="s">
        <v>670</v>
      </c>
      <c r="B493" s="4">
        <v>0.133333333333333</v>
      </c>
      <c r="C493" s="4">
        <v>0</v>
      </c>
      <c r="D493" s="4">
        <v>0.35714285714285698</v>
      </c>
      <c r="E493" s="4">
        <v>3.5366688448899002E-2</v>
      </c>
    </row>
    <row r="494" spans="1:5" x14ac:dyDescent="0.3">
      <c r="A494" t="s">
        <v>670</v>
      </c>
      <c r="B494" s="4">
        <v>0.266666666666667</v>
      </c>
      <c r="C494" s="4">
        <v>0</v>
      </c>
      <c r="D494" s="4">
        <v>0.38461538461538503</v>
      </c>
      <c r="E494" s="4">
        <v>0.106232469463252</v>
      </c>
    </row>
    <row r="495" spans="1:5" x14ac:dyDescent="0.3">
      <c r="A495" t="s">
        <v>670</v>
      </c>
      <c r="B495" s="4">
        <v>0.53333333333333299</v>
      </c>
      <c r="C495" s="4">
        <v>0</v>
      </c>
      <c r="D495" s="4">
        <v>0.40540540540540498</v>
      </c>
      <c r="E495" s="4">
        <v>0.401465141815042</v>
      </c>
    </row>
    <row r="496" spans="1:5" x14ac:dyDescent="0.3">
      <c r="A496" t="s">
        <v>670</v>
      </c>
      <c r="B496" s="4">
        <v>0.8</v>
      </c>
      <c r="C496" s="4">
        <v>0.31111111111111101</v>
      </c>
      <c r="D496" s="4">
        <v>0.57692307692307698</v>
      </c>
      <c r="E496" s="4">
        <v>9.5428118646758001E-2</v>
      </c>
    </row>
    <row r="497" spans="1:5" x14ac:dyDescent="0.3">
      <c r="A497" t="s">
        <v>670</v>
      </c>
      <c r="B497" s="4">
        <v>0.53333333333333299</v>
      </c>
      <c r="C497" s="4">
        <v>0.13571428571428601</v>
      </c>
      <c r="D497" s="4">
        <v>0.46875</v>
      </c>
      <c r="E497" s="4">
        <v>4.9198343311723798E-2</v>
      </c>
    </row>
    <row r="498" spans="1:5" x14ac:dyDescent="0.3">
      <c r="A498" t="s">
        <v>670</v>
      </c>
      <c r="B498" s="4">
        <v>0.266666666666667</v>
      </c>
      <c r="C498" s="4">
        <v>0</v>
      </c>
      <c r="D498" s="4">
        <v>0.394736842105263</v>
      </c>
      <c r="E498" s="4">
        <v>5.1341081604782202E-3</v>
      </c>
    </row>
    <row r="499" spans="1:5" x14ac:dyDescent="0.3">
      <c r="A499" t="s">
        <v>794</v>
      </c>
      <c r="B499" s="4">
        <v>0.5757575757575758</v>
      </c>
      <c r="C499" s="4">
        <v>9.1666666666666605E-2</v>
      </c>
      <c r="D499" s="4">
        <v>0.31607740980541543</v>
      </c>
      <c r="E499" s="4">
        <v>0.2797513980863115</v>
      </c>
    </row>
    <row r="500" spans="1:5" x14ac:dyDescent="0.3">
      <c r="A500" t="s">
        <v>671</v>
      </c>
      <c r="B500" s="4">
        <v>0.75</v>
      </c>
      <c r="C500" s="4">
        <v>0</v>
      </c>
      <c r="D500" s="4">
        <v>0.33333333333333298</v>
      </c>
      <c r="E500" s="4">
        <v>6.4043142723933799E-2</v>
      </c>
    </row>
    <row r="501" spans="1:5" x14ac:dyDescent="0.3">
      <c r="A501" t="s">
        <v>671</v>
      </c>
      <c r="B501" s="4">
        <v>0.75</v>
      </c>
      <c r="C501" s="4">
        <v>0</v>
      </c>
      <c r="D501" s="4">
        <v>0.32</v>
      </c>
      <c r="E501" s="4">
        <v>7.0519891156699904E-2</v>
      </c>
    </row>
    <row r="502" spans="1:5" x14ac:dyDescent="0.3">
      <c r="A502" t="s">
        <v>671</v>
      </c>
      <c r="B502" s="4">
        <v>0.75</v>
      </c>
      <c r="C502" s="4">
        <v>0</v>
      </c>
      <c r="D502" s="4">
        <v>0.33333333333333298</v>
      </c>
      <c r="E502" s="4">
        <v>6.7591822747706504E-2</v>
      </c>
    </row>
    <row r="503" spans="1:5" x14ac:dyDescent="0.3">
      <c r="A503" t="s">
        <v>671</v>
      </c>
      <c r="B503" s="4">
        <v>2</v>
      </c>
      <c r="C503" s="4">
        <v>0.73214285714285698</v>
      </c>
      <c r="D503" s="4">
        <v>0.44444444444444398</v>
      </c>
      <c r="E503" s="4">
        <v>1</v>
      </c>
    </row>
    <row r="504" spans="1:5" x14ac:dyDescent="0.3">
      <c r="A504" t="s">
        <v>671</v>
      </c>
      <c r="B504" s="4">
        <v>0.25</v>
      </c>
      <c r="C504" s="4">
        <v>0</v>
      </c>
      <c r="D504" s="4">
        <v>0.32</v>
      </c>
      <c r="E504" s="4">
        <v>5.2988141676715297E-2</v>
      </c>
    </row>
    <row r="505" spans="1:5" x14ac:dyDescent="0.3">
      <c r="A505" t="s">
        <v>671</v>
      </c>
      <c r="B505" s="4">
        <v>0.75</v>
      </c>
      <c r="C505" s="4">
        <v>0</v>
      </c>
      <c r="D505" s="4">
        <v>0.19512195121951201</v>
      </c>
      <c r="E505" s="4">
        <v>0.78982657704694603</v>
      </c>
    </row>
    <row r="506" spans="1:5" x14ac:dyDescent="0.3">
      <c r="A506" t="s">
        <v>671</v>
      </c>
      <c r="B506" s="4">
        <v>1</v>
      </c>
      <c r="C506" s="4">
        <v>7.1428571428571397E-2</v>
      </c>
      <c r="D506" s="4">
        <v>0.25</v>
      </c>
      <c r="E506" s="4">
        <v>0.84812526684561795</v>
      </c>
    </row>
    <row r="507" spans="1:5" x14ac:dyDescent="0.3">
      <c r="A507" t="s">
        <v>671</v>
      </c>
      <c r="B507" s="4">
        <v>0.75</v>
      </c>
      <c r="C507" s="4">
        <v>0.25</v>
      </c>
      <c r="D507" s="4">
        <v>0.296296296296296</v>
      </c>
      <c r="E507" s="4">
        <v>0.33254847375777902</v>
      </c>
    </row>
    <row r="508" spans="1:5" x14ac:dyDescent="0.3">
      <c r="A508" t="s">
        <v>671</v>
      </c>
      <c r="B508" s="4">
        <v>0.5</v>
      </c>
      <c r="C508" s="4">
        <v>0.17857142857142899</v>
      </c>
      <c r="D508" s="4">
        <v>0.30769230769230799</v>
      </c>
      <c r="E508" s="4">
        <v>0.19585744695186599</v>
      </c>
    </row>
    <row r="509" spans="1:5" x14ac:dyDescent="0.3">
      <c r="A509" t="s">
        <v>795</v>
      </c>
      <c r="B509" s="4">
        <v>1.2</v>
      </c>
      <c r="C509" s="4">
        <v>0.19999999999999998</v>
      </c>
      <c r="D509" s="4">
        <v>0.28924185997816371</v>
      </c>
      <c r="E509" s="4">
        <v>0.53901198541320305</v>
      </c>
    </row>
    <row r="510" spans="1:5" x14ac:dyDescent="0.3">
      <c r="A510" t="s">
        <v>672</v>
      </c>
      <c r="B510" s="4">
        <v>0.44444444444444398</v>
      </c>
      <c r="C510" s="4">
        <v>6.0481043173350901E-2</v>
      </c>
      <c r="D510" s="4">
        <v>0.38571428571428601</v>
      </c>
      <c r="E510" s="4">
        <v>5.8962715637226999E-2</v>
      </c>
    </row>
    <row r="511" spans="1:5" x14ac:dyDescent="0.3">
      <c r="A511" t="s">
        <v>672</v>
      </c>
      <c r="B511" s="4">
        <v>1.0370370370370401</v>
      </c>
      <c r="C511" s="4">
        <v>0.110365409221618</v>
      </c>
      <c r="D511" s="4">
        <v>0.45762711864406802</v>
      </c>
      <c r="E511" s="4">
        <v>0.63176221904854601</v>
      </c>
    </row>
    <row r="512" spans="1:5" x14ac:dyDescent="0.3">
      <c r="A512" t="s">
        <v>672</v>
      </c>
      <c r="B512" s="4">
        <v>1.18518518518519</v>
      </c>
      <c r="C512" s="4">
        <v>0.180641687604986</v>
      </c>
      <c r="D512" s="4">
        <v>0.49090909090909102</v>
      </c>
      <c r="E512" s="4">
        <v>0.98576061381564095</v>
      </c>
    </row>
    <row r="513" spans="1:5" x14ac:dyDescent="0.3">
      <c r="A513" t="s">
        <v>672</v>
      </c>
      <c r="B513" s="4">
        <v>0.592592592592593</v>
      </c>
      <c r="C513" s="4">
        <v>4.42479935943988E-2</v>
      </c>
      <c r="D513" s="4">
        <v>0.36</v>
      </c>
      <c r="E513" s="4">
        <v>0.43380206798304399</v>
      </c>
    </row>
    <row r="514" spans="1:5" x14ac:dyDescent="0.3">
      <c r="A514" t="s">
        <v>672</v>
      </c>
      <c r="B514" s="4">
        <v>0.51851851851851805</v>
      </c>
      <c r="C514" s="4">
        <v>2.7065527065527101E-3</v>
      </c>
      <c r="D514" s="4">
        <v>0.27</v>
      </c>
      <c r="E514" s="4">
        <v>0.28505256160484799</v>
      </c>
    </row>
    <row r="515" spans="1:5" x14ac:dyDescent="0.3">
      <c r="A515" t="s">
        <v>672</v>
      </c>
      <c r="B515" s="4">
        <v>1.62962962962963</v>
      </c>
      <c r="C515" s="4">
        <v>0.38369935745501299</v>
      </c>
      <c r="D515" s="4">
        <v>0.50943396226415105</v>
      </c>
      <c r="E515" s="4">
        <v>1</v>
      </c>
    </row>
    <row r="516" spans="1:5" x14ac:dyDescent="0.3">
      <c r="A516" t="s">
        <v>672</v>
      </c>
      <c r="B516" s="4">
        <v>0.74074074074074103</v>
      </c>
      <c r="C516" s="4">
        <v>7.3962947002162702E-2</v>
      </c>
      <c r="D516" s="4">
        <v>0.36</v>
      </c>
      <c r="E516" s="4">
        <v>0.25355714174773403</v>
      </c>
    </row>
    <row r="517" spans="1:5" x14ac:dyDescent="0.3">
      <c r="A517" t="s">
        <v>672</v>
      </c>
      <c r="B517" s="4">
        <v>0.66666666666666696</v>
      </c>
      <c r="C517" s="4">
        <v>1.9943019943019901E-2</v>
      </c>
      <c r="D517" s="4">
        <v>0.3</v>
      </c>
      <c r="E517" s="4">
        <v>0.24468195800200501</v>
      </c>
    </row>
    <row r="518" spans="1:5" x14ac:dyDescent="0.3">
      <c r="A518" t="s">
        <v>672</v>
      </c>
      <c r="B518" s="4">
        <v>0.148148148148148</v>
      </c>
      <c r="C518" s="4">
        <v>6.79012345679012E-3</v>
      </c>
      <c r="D518" s="4">
        <v>0.27272727272727298</v>
      </c>
      <c r="E518" s="4">
        <v>5.1822809676989002E-3</v>
      </c>
    </row>
    <row r="519" spans="1:5" x14ac:dyDescent="0.3">
      <c r="A519" t="s">
        <v>672</v>
      </c>
      <c r="B519" s="4">
        <v>0.148148148148148</v>
      </c>
      <c r="C519" s="4">
        <v>6.7924976258309594E-2</v>
      </c>
      <c r="D519" s="4">
        <v>0.39705882352941202</v>
      </c>
      <c r="E519" s="4">
        <v>1.30384895943842E-2</v>
      </c>
    </row>
    <row r="520" spans="1:5" x14ac:dyDescent="0.3">
      <c r="A520" t="s">
        <v>672</v>
      </c>
      <c r="B520" s="4">
        <v>7.4074074074074098E-2</v>
      </c>
      <c r="C520" s="4">
        <v>0</v>
      </c>
      <c r="D520" s="4">
        <v>0.341772151898734</v>
      </c>
      <c r="E520" s="4">
        <v>1.0401192861623901E-2</v>
      </c>
    </row>
    <row r="521" spans="1:5" x14ac:dyDescent="0.3">
      <c r="A521" t="s">
        <v>672</v>
      </c>
      <c r="B521" s="4">
        <v>0.44444444444444398</v>
      </c>
      <c r="C521" s="4">
        <v>5.9710351377018002E-2</v>
      </c>
      <c r="D521" s="4">
        <v>0.32926829268292701</v>
      </c>
      <c r="E521" s="4">
        <v>5.4840649706771202E-2</v>
      </c>
    </row>
    <row r="522" spans="1:5" x14ac:dyDescent="0.3">
      <c r="A522" t="s">
        <v>672</v>
      </c>
      <c r="B522" s="4">
        <v>0.22222222222222199</v>
      </c>
      <c r="C522" s="4">
        <v>7.9443348674117903E-4</v>
      </c>
      <c r="D522" s="4">
        <v>0.36986301369863001</v>
      </c>
      <c r="E522" s="4">
        <v>3.7626552665948401E-2</v>
      </c>
    </row>
    <row r="523" spans="1:5" x14ac:dyDescent="0.3">
      <c r="A523" t="s">
        <v>672</v>
      </c>
      <c r="B523" s="4">
        <v>0.296296296296296</v>
      </c>
      <c r="C523" s="4">
        <v>0.15004826607390701</v>
      </c>
      <c r="D523" s="4">
        <v>0.43548387096774199</v>
      </c>
      <c r="E523" s="4">
        <v>2.1559712037970299E-2</v>
      </c>
    </row>
    <row r="524" spans="1:5" x14ac:dyDescent="0.3">
      <c r="A524" t="s">
        <v>672</v>
      </c>
      <c r="B524" s="4">
        <v>0.592592592592593</v>
      </c>
      <c r="C524" s="4">
        <v>0.119519859225742</v>
      </c>
      <c r="D524" s="4">
        <v>0.38571428571428601</v>
      </c>
      <c r="E524" s="4">
        <v>2.1486585758000099E-2</v>
      </c>
    </row>
    <row r="525" spans="1:5" x14ac:dyDescent="0.3">
      <c r="A525" t="s">
        <v>672</v>
      </c>
      <c r="B525" s="4">
        <v>0.296296296296296</v>
      </c>
      <c r="C525" s="4">
        <v>2.13675213675214E-3</v>
      </c>
      <c r="D525" s="4">
        <v>0.33750000000000002</v>
      </c>
      <c r="E525" s="4">
        <v>3.4357874751324502E-4</v>
      </c>
    </row>
    <row r="526" spans="1:5" x14ac:dyDescent="0.3">
      <c r="A526" t="s">
        <v>672</v>
      </c>
      <c r="B526" s="4">
        <v>0.296296296296296</v>
      </c>
      <c r="C526" s="4">
        <v>2.13675213675214E-3</v>
      </c>
      <c r="D526" s="4">
        <v>0.33750000000000002</v>
      </c>
      <c r="E526" s="4">
        <v>3.4357874751324502E-4</v>
      </c>
    </row>
    <row r="527" spans="1:5" x14ac:dyDescent="0.3">
      <c r="A527" t="s">
        <v>672</v>
      </c>
      <c r="B527" s="4">
        <v>0.296296296296296</v>
      </c>
      <c r="C527" s="4">
        <v>2.13675213675214E-3</v>
      </c>
      <c r="D527" s="4">
        <v>0.33750000000000002</v>
      </c>
      <c r="E527" s="4">
        <v>3.4357874751322199E-4</v>
      </c>
    </row>
    <row r="528" spans="1:5" x14ac:dyDescent="0.3">
      <c r="A528" t="s">
        <v>672</v>
      </c>
      <c r="B528" s="4">
        <v>0.37037037037037002</v>
      </c>
      <c r="C528" s="4">
        <v>0.105413105413105</v>
      </c>
      <c r="D528" s="4">
        <v>0.38571428571428601</v>
      </c>
      <c r="E528" s="4">
        <v>1.08588859928855E-2</v>
      </c>
    </row>
    <row r="529" spans="1:5" x14ac:dyDescent="0.3">
      <c r="A529" t="s">
        <v>672</v>
      </c>
      <c r="B529" s="4">
        <v>0.22222222222222199</v>
      </c>
      <c r="C529" s="4">
        <v>8.8446109687939697E-3</v>
      </c>
      <c r="D529" s="4">
        <v>0.39130434782608697</v>
      </c>
      <c r="E529" s="4">
        <v>1.0736349829234401E-2</v>
      </c>
    </row>
    <row r="530" spans="1:5" x14ac:dyDescent="0.3">
      <c r="A530" t="s">
        <v>672</v>
      </c>
      <c r="B530" s="4">
        <v>0.22222222222222199</v>
      </c>
      <c r="C530" s="4">
        <v>8.8446109687939697E-3</v>
      </c>
      <c r="D530" s="4">
        <v>0.39130434782608697</v>
      </c>
      <c r="E530" s="4">
        <v>1.0736349829234401E-2</v>
      </c>
    </row>
    <row r="531" spans="1:5" x14ac:dyDescent="0.3">
      <c r="A531" t="s">
        <v>672</v>
      </c>
      <c r="B531" s="4">
        <v>0.51851851851851805</v>
      </c>
      <c r="C531" s="4">
        <v>1.32963134848504E-2</v>
      </c>
      <c r="D531" s="4">
        <v>0.45</v>
      </c>
      <c r="E531" s="4">
        <v>2.8407236381399199E-2</v>
      </c>
    </row>
    <row r="532" spans="1:5" x14ac:dyDescent="0.3">
      <c r="A532" t="s">
        <v>672</v>
      </c>
      <c r="B532" s="4">
        <v>0.51851851851851805</v>
      </c>
      <c r="C532" s="4">
        <v>1.32963134848504E-2</v>
      </c>
      <c r="D532" s="4">
        <v>0.45</v>
      </c>
      <c r="E532" s="4">
        <v>2.84072363813993E-2</v>
      </c>
    </row>
    <row r="533" spans="1:5" x14ac:dyDescent="0.3">
      <c r="A533" t="s">
        <v>672</v>
      </c>
      <c r="B533" s="4">
        <v>0.51851851851851805</v>
      </c>
      <c r="C533" s="4">
        <v>1.32963134848504E-2</v>
      </c>
      <c r="D533" s="4">
        <v>0.45</v>
      </c>
      <c r="E533" s="4">
        <v>2.84072363813993E-2</v>
      </c>
    </row>
    <row r="534" spans="1:5" x14ac:dyDescent="0.3">
      <c r="A534" t="s">
        <v>672</v>
      </c>
      <c r="B534" s="4">
        <v>0.51851851851851805</v>
      </c>
      <c r="C534" s="4">
        <v>1.32963134848504E-2</v>
      </c>
      <c r="D534" s="4">
        <v>0.45</v>
      </c>
      <c r="E534" s="4">
        <v>2.8407236381399199E-2</v>
      </c>
    </row>
    <row r="535" spans="1:5" x14ac:dyDescent="0.3">
      <c r="A535" t="s">
        <v>672</v>
      </c>
      <c r="B535" s="4">
        <v>0.51851851851851805</v>
      </c>
      <c r="C535" s="4">
        <v>1.32963134848504E-2</v>
      </c>
      <c r="D535" s="4">
        <v>0.45</v>
      </c>
      <c r="E535" s="4">
        <v>2.8407236381399199E-2</v>
      </c>
    </row>
    <row r="536" spans="1:5" x14ac:dyDescent="0.3">
      <c r="A536" t="s">
        <v>672</v>
      </c>
      <c r="B536" s="4">
        <v>0.148148148148148</v>
      </c>
      <c r="C536" s="4">
        <v>5.7875856895464699E-3</v>
      </c>
      <c r="D536" s="4">
        <v>0.40909090909090901</v>
      </c>
      <c r="E536" s="4">
        <v>2.06542791213131E-2</v>
      </c>
    </row>
    <row r="537" spans="1:5" x14ac:dyDescent="0.3">
      <c r="A537" t="s">
        <v>672</v>
      </c>
      <c r="B537" s="4">
        <v>0.148148148148148</v>
      </c>
      <c r="C537" s="4">
        <v>0</v>
      </c>
      <c r="D537" s="4">
        <v>0.29347826086956502</v>
      </c>
      <c r="E537" s="4">
        <v>4.1308558242626199E-2</v>
      </c>
    </row>
    <row r="538" spans="1:5" x14ac:dyDescent="0.3">
      <c r="A538" t="s">
        <v>796</v>
      </c>
      <c r="B538" s="4">
        <v>0.46666666666666629</v>
      </c>
      <c r="C538" s="4">
        <v>5.3568869335173616E-2</v>
      </c>
      <c r="D538" s="4">
        <v>0.39359088989974211</v>
      </c>
      <c r="E538" s="4">
        <v>0.14233003723522025</v>
      </c>
    </row>
    <row r="539" spans="1:5" x14ac:dyDescent="0.3">
      <c r="A539" t="s">
        <v>673</v>
      </c>
      <c r="B539" s="4">
        <v>2</v>
      </c>
      <c r="C539" s="4">
        <v>1</v>
      </c>
      <c r="D539" s="4">
        <v>1</v>
      </c>
      <c r="E539" s="4">
        <v>0</v>
      </c>
    </row>
    <row r="540" spans="1:5" x14ac:dyDescent="0.3">
      <c r="A540" t="s">
        <v>673</v>
      </c>
      <c r="B540" s="4">
        <v>1</v>
      </c>
      <c r="C540" s="4">
        <v>0</v>
      </c>
      <c r="D540" s="4">
        <v>0.66666666666666696</v>
      </c>
      <c r="E540" s="4">
        <v>0</v>
      </c>
    </row>
    <row r="541" spans="1:5" x14ac:dyDescent="0.3">
      <c r="A541" t="s">
        <v>673</v>
      </c>
      <c r="B541" s="4">
        <v>1</v>
      </c>
      <c r="C541" s="4">
        <v>0</v>
      </c>
      <c r="D541" s="4">
        <v>0.66666666666666696</v>
      </c>
      <c r="E541" s="4">
        <v>0</v>
      </c>
    </row>
    <row r="542" spans="1:5" x14ac:dyDescent="0.3">
      <c r="A542" t="s">
        <v>797</v>
      </c>
      <c r="B542" s="4">
        <v>0</v>
      </c>
      <c r="C542" s="4">
        <v>0</v>
      </c>
      <c r="D542" s="4">
        <v>0</v>
      </c>
      <c r="E542" s="4">
        <v>0</v>
      </c>
    </row>
    <row r="543" spans="1:5" x14ac:dyDescent="0.3">
      <c r="A543" t="s">
        <v>674</v>
      </c>
      <c r="B543" s="4">
        <v>0.266666666666667</v>
      </c>
      <c r="C543" s="4">
        <v>0</v>
      </c>
      <c r="D543" s="4">
        <v>0.24590163934426201</v>
      </c>
      <c r="E543" s="4">
        <v>4.7952378995730098E-3</v>
      </c>
    </row>
    <row r="544" spans="1:5" x14ac:dyDescent="0.3">
      <c r="A544" t="s">
        <v>674</v>
      </c>
      <c r="B544" s="4">
        <v>1.7333333333333301</v>
      </c>
      <c r="C544" s="4">
        <v>0.45841269841269799</v>
      </c>
      <c r="D544" s="4">
        <v>0.42857142857142899</v>
      </c>
      <c r="E544" s="4">
        <v>1</v>
      </c>
    </row>
    <row r="545" spans="1:5" x14ac:dyDescent="0.3">
      <c r="A545" t="s">
        <v>674</v>
      </c>
      <c r="B545" s="4">
        <v>1.2</v>
      </c>
      <c r="C545" s="4">
        <v>0.164444444444444</v>
      </c>
      <c r="D545" s="4">
        <v>0.35714285714285698</v>
      </c>
      <c r="E545" s="4">
        <v>0.701188460101414</v>
      </c>
    </row>
    <row r="546" spans="1:5" x14ac:dyDescent="0.3">
      <c r="A546" t="s">
        <v>674</v>
      </c>
      <c r="B546" s="4">
        <v>0.4</v>
      </c>
      <c r="C546" s="4">
        <v>0</v>
      </c>
      <c r="D546" s="4">
        <v>0.220588235294118</v>
      </c>
      <c r="E546" s="4">
        <v>0.22609916407084699</v>
      </c>
    </row>
    <row r="547" spans="1:5" x14ac:dyDescent="0.3">
      <c r="A547" t="s">
        <v>674</v>
      </c>
      <c r="B547" s="4">
        <v>1.06666666666667</v>
      </c>
      <c r="C547" s="4">
        <v>6.6666666666666693E-2</v>
      </c>
      <c r="D547" s="4">
        <v>0.29411764705882398</v>
      </c>
      <c r="E547" s="4">
        <v>0.48381627742828198</v>
      </c>
    </row>
    <row r="548" spans="1:5" x14ac:dyDescent="0.3">
      <c r="A548" t="s">
        <v>674</v>
      </c>
      <c r="B548" s="4">
        <v>0.8</v>
      </c>
      <c r="C548" s="4">
        <v>0.47174603174603202</v>
      </c>
      <c r="D548" s="4">
        <v>0.441176470588235</v>
      </c>
      <c r="E548" s="4">
        <v>8.1575342771250101E-2</v>
      </c>
    </row>
    <row r="549" spans="1:5" x14ac:dyDescent="0.3">
      <c r="A549" t="s">
        <v>674</v>
      </c>
      <c r="B549" s="4">
        <v>0.66666666666666696</v>
      </c>
      <c r="C549" s="4">
        <v>1.58730158730159E-2</v>
      </c>
      <c r="D549" s="4">
        <v>0.32608695652173902</v>
      </c>
      <c r="E549" s="4">
        <v>0.28945572662082403</v>
      </c>
    </row>
    <row r="550" spans="1:5" x14ac:dyDescent="0.3">
      <c r="A550" t="s">
        <v>674</v>
      </c>
      <c r="B550" s="4">
        <v>0.66666666666666696</v>
      </c>
      <c r="C550" s="4">
        <v>1.9047619047619001E-2</v>
      </c>
      <c r="D550" s="4">
        <v>0.220588235294118</v>
      </c>
      <c r="E550" s="4">
        <v>0.51722668740412003</v>
      </c>
    </row>
    <row r="551" spans="1:5" x14ac:dyDescent="0.3">
      <c r="A551" t="s">
        <v>674</v>
      </c>
      <c r="B551" s="4">
        <v>0.4</v>
      </c>
      <c r="C551" s="4">
        <v>0</v>
      </c>
      <c r="D551" s="4">
        <v>0.18292682926829301</v>
      </c>
      <c r="E551" s="4">
        <v>0.31031340438462202</v>
      </c>
    </row>
    <row r="552" spans="1:5" x14ac:dyDescent="0.3">
      <c r="A552" t="s">
        <v>674</v>
      </c>
      <c r="B552" s="4">
        <v>0.8</v>
      </c>
      <c r="C552" s="4">
        <v>9.2063492063492097E-2</v>
      </c>
      <c r="D552" s="4">
        <v>0.32608695652173902</v>
      </c>
      <c r="E552" s="4">
        <v>0.33220118619359501</v>
      </c>
    </row>
    <row r="553" spans="1:5" x14ac:dyDescent="0.3">
      <c r="A553" t="s">
        <v>674</v>
      </c>
      <c r="B553" s="4">
        <v>0.266666666666667</v>
      </c>
      <c r="C553" s="4">
        <v>2.7301587301587299E-2</v>
      </c>
      <c r="D553" s="4">
        <v>0.33333333333333298</v>
      </c>
      <c r="E553" s="4">
        <v>4.5948906326024698E-2</v>
      </c>
    </row>
    <row r="554" spans="1:5" x14ac:dyDescent="0.3">
      <c r="A554" t="s">
        <v>674</v>
      </c>
      <c r="B554" s="4">
        <v>0.266666666666667</v>
      </c>
      <c r="C554" s="4">
        <v>2.7301587301587299E-2</v>
      </c>
      <c r="D554" s="4">
        <v>0.33333333333333298</v>
      </c>
      <c r="E554" s="4">
        <v>4.5948906326024698E-2</v>
      </c>
    </row>
    <row r="555" spans="1:5" x14ac:dyDescent="0.3">
      <c r="A555" t="s">
        <v>674</v>
      </c>
      <c r="B555" s="4">
        <v>0.53333333333333299</v>
      </c>
      <c r="C555" s="4">
        <v>4.7619047619047603E-2</v>
      </c>
      <c r="D555" s="4">
        <v>0.28301886792452802</v>
      </c>
      <c r="E555" s="4">
        <v>0.188277464087312</v>
      </c>
    </row>
    <row r="556" spans="1:5" x14ac:dyDescent="0.3">
      <c r="A556" t="s">
        <v>674</v>
      </c>
      <c r="B556" s="4">
        <v>0.133333333333333</v>
      </c>
      <c r="C556" s="4">
        <v>0</v>
      </c>
      <c r="D556" s="4">
        <v>0.30612244897959201</v>
      </c>
      <c r="E556" s="4">
        <v>2.7009885973060001E-2</v>
      </c>
    </row>
    <row r="557" spans="1:5" x14ac:dyDescent="0.3">
      <c r="A557" t="s">
        <v>674</v>
      </c>
      <c r="B557" s="4">
        <v>0.266666666666667</v>
      </c>
      <c r="C557" s="4">
        <v>0</v>
      </c>
      <c r="D557" s="4">
        <v>0.24590163934426201</v>
      </c>
      <c r="E557" s="4">
        <v>4.7952378995730002E-3</v>
      </c>
    </row>
    <row r="558" spans="1:5" x14ac:dyDescent="0.3">
      <c r="A558" t="s">
        <v>798</v>
      </c>
      <c r="B558" s="4">
        <v>0.84615384615384615</v>
      </c>
      <c r="C558" s="4">
        <v>9.5027195027195158E-2</v>
      </c>
      <c r="D558" s="4">
        <v>0.27185901861897521</v>
      </c>
      <c r="E558" s="4">
        <v>0.39671306132763012</v>
      </c>
    </row>
    <row r="559" spans="1:5" x14ac:dyDescent="0.3">
      <c r="A559" t="s">
        <v>675</v>
      </c>
      <c r="B559" s="4">
        <v>0.8</v>
      </c>
      <c r="C559" s="4">
        <v>0</v>
      </c>
      <c r="D559" s="4">
        <v>0.4</v>
      </c>
      <c r="E559" s="4">
        <v>0.233922420324022</v>
      </c>
    </row>
    <row r="560" spans="1:5" x14ac:dyDescent="0.3">
      <c r="A560" t="s">
        <v>675</v>
      </c>
      <c r="B560" s="4">
        <v>1.2</v>
      </c>
      <c r="C560" s="4">
        <v>4.5925925925925898E-2</v>
      </c>
      <c r="D560" s="4">
        <v>0.45454545454545497</v>
      </c>
      <c r="E560" s="4">
        <v>0.50683262728035205</v>
      </c>
    </row>
    <row r="561" spans="1:5" x14ac:dyDescent="0.3">
      <c r="A561" t="s">
        <v>675</v>
      </c>
      <c r="B561" s="4">
        <v>1.8</v>
      </c>
      <c r="C561" s="4">
        <v>0.23037037037037</v>
      </c>
      <c r="D561" s="4">
        <v>0.55555555555555602</v>
      </c>
      <c r="E561" s="4">
        <v>1</v>
      </c>
    </row>
    <row r="562" spans="1:5" x14ac:dyDescent="0.3">
      <c r="A562" t="s">
        <v>675</v>
      </c>
      <c r="B562" s="4">
        <v>0.6</v>
      </c>
      <c r="C562" s="4">
        <v>4.3703703703703703E-2</v>
      </c>
      <c r="D562" s="4">
        <v>0.45454545454545497</v>
      </c>
      <c r="E562" s="4">
        <v>0.17500050136324599</v>
      </c>
    </row>
    <row r="563" spans="1:5" x14ac:dyDescent="0.3">
      <c r="A563" t="s">
        <v>675</v>
      </c>
      <c r="B563" s="4">
        <v>1.6</v>
      </c>
      <c r="C563" s="4">
        <v>0.21444444444444399</v>
      </c>
      <c r="D563" s="4">
        <v>0.55555555555555602</v>
      </c>
      <c r="E563" s="4">
        <v>0.935462870892809</v>
      </c>
    </row>
    <row r="564" spans="1:5" x14ac:dyDescent="0.3">
      <c r="A564" t="s">
        <v>675</v>
      </c>
      <c r="B564" s="4">
        <v>0.4</v>
      </c>
      <c r="C564" s="4">
        <v>0</v>
      </c>
      <c r="D564" s="4">
        <v>0.29411764705882398</v>
      </c>
      <c r="E564" s="4">
        <v>0.27736772477330601</v>
      </c>
    </row>
    <row r="565" spans="1:5" x14ac:dyDescent="0.3">
      <c r="A565" t="s">
        <v>675</v>
      </c>
      <c r="B565" s="4">
        <v>0.4</v>
      </c>
      <c r="C565" s="4">
        <v>0</v>
      </c>
      <c r="D565" s="4">
        <v>0.232558139534884</v>
      </c>
      <c r="E565" s="4">
        <v>0.41605158715995899</v>
      </c>
    </row>
    <row r="566" spans="1:5" x14ac:dyDescent="0.3">
      <c r="A566" t="s">
        <v>675</v>
      </c>
      <c r="B566" s="4">
        <v>1</v>
      </c>
      <c r="C566" s="4">
        <v>4.2592592592592599E-2</v>
      </c>
      <c r="D566" s="4">
        <v>0.45454545454545497</v>
      </c>
      <c r="E566" s="4">
        <v>0.34103053206376099</v>
      </c>
    </row>
    <row r="567" spans="1:5" x14ac:dyDescent="0.3">
      <c r="A567" t="s">
        <v>675</v>
      </c>
      <c r="B567" s="4">
        <v>0.6</v>
      </c>
      <c r="C567" s="4">
        <v>3.7037037037037E-2</v>
      </c>
      <c r="D567" s="4">
        <v>0.45454545454545497</v>
      </c>
      <c r="E567" s="4">
        <v>0.16312010039961</v>
      </c>
    </row>
    <row r="568" spans="1:5" x14ac:dyDescent="0.3">
      <c r="A568" t="s">
        <v>675</v>
      </c>
      <c r="B568" s="4">
        <v>1.2</v>
      </c>
      <c r="C568" s="4">
        <v>0.37740740740740703</v>
      </c>
      <c r="D568" s="4">
        <v>0.58823529411764697</v>
      </c>
      <c r="E568" s="4">
        <v>0.218521227739223</v>
      </c>
    </row>
    <row r="569" spans="1:5" x14ac:dyDescent="0.3">
      <c r="A569" t="s">
        <v>675</v>
      </c>
      <c r="B569" s="4">
        <v>0.4</v>
      </c>
      <c r="C569" s="4">
        <v>0</v>
      </c>
      <c r="D569" s="4">
        <v>0.4</v>
      </c>
      <c r="E569" s="4">
        <v>3.2419445275524199E-2</v>
      </c>
    </row>
    <row r="570" spans="1:5" x14ac:dyDescent="0.3">
      <c r="A570" t="s">
        <v>799</v>
      </c>
      <c r="B570" s="4">
        <v>1.1428571428571421</v>
      </c>
      <c r="C570" s="4">
        <v>0.10615079365079363</v>
      </c>
      <c r="D570" s="4">
        <v>0.43077245313994583</v>
      </c>
      <c r="E570" s="4">
        <v>0.48179820967560183</v>
      </c>
    </row>
    <row r="571" spans="1:5" x14ac:dyDescent="0.3">
      <c r="A571" t="s">
        <v>676</v>
      </c>
      <c r="B571" s="4">
        <v>1.4285714285714299</v>
      </c>
      <c r="C571" s="4">
        <v>0.21825396825396801</v>
      </c>
      <c r="D571" s="4">
        <v>0.63636363636363602</v>
      </c>
      <c r="E571" s="4">
        <v>0.18285857614948001</v>
      </c>
    </row>
    <row r="572" spans="1:5" x14ac:dyDescent="0.3">
      <c r="A572" t="s">
        <v>676</v>
      </c>
      <c r="B572" s="4">
        <v>0.85714285714285698</v>
      </c>
      <c r="C572" s="4">
        <v>5.95238095238095E-2</v>
      </c>
      <c r="D572" s="4">
        <v>0.58333333333333304</v>
      </c>
      <c r="E572" s="4">
        <v>9.2098611534037297E-2</v>
      </c>
    </row>
    <row r="573" spans="1:5" x14ac:dyDescent="0.3">
      <c r="A573" t="s">
        <v>676</v>
      </c>
      <c r="B573" s="4">
        <v>2</v>
      </c>
      <c r="C573" s="4">
        <v>0.37301587301587302</v>
      </c>
      <c r="D573" s="4">
        <v>0.7</v>
      </c>
      <c r="E573" s="4">
        <v>0.77560854543471802</v>
      </c>
    </row>
    <row r="574" spans="1:5" x14ac:dyDescent="0.3">
      <c r="A574" t="s">
        <v>676</v>
      </c>
      <c r="B574" s="4">
        <v>2</v>
      </c>
      <c r="C574" s="4">
        <v>6.3492063492063502E-2</v>
      </c>
      <c r="D574" s="4">
        <v>0.5</v>
      </c>
      <c r="E574" s="4">
        <v>1</v>
      </c>
    </row>
    <row r="575" spans="1:5" x14ac:dyDescent="0.3">
      <c r="A575" t="s">
        <v>676</v>
      </c>
      <c r="B575" s="4">
        <v>1.1428571428571399</v>
      </c>
      <c r="C575" s="4">
        <v>7.1428571428571397E-2</v>
      </c>
      <c r="D575" s="4">
        <v>0.58333333333333304</v>
      </c>
      <c r="E575" s="4">
        <v>0.17193240147167299</v>
      </c>
    </row>
    <row r="576" spans="1:5" x14ac:dyDescent="0.3">
      <c r="A576" t="s">
        <v>676</v>
      </c>
      <c r="B576" s="4">
        <v>1.4285714285714299</v>
      </c>
      <c r="C576" s="4">
        <v>2.3809523809523801E-2</v>
      </c>
      <c r="D576" s="4">
        <v>0.46666666666666701</v>
      </c>
      <c r="E576" s="4">
        <v>0.84882850121217901</v>
      </c>
    </row>
    <row r="577" spans="1:5" x14ac:dyDescent="0.3">
      <c r="A577" t="s">
        <v>676</v>
      </c>
      <c r="B577" s="4">
        <v>0.57142857142857095</v>
      </c>
      <c r="C577" s="4">
        <v>3.1746031746031703E-2</v>
      </c>
      <c r="D577" s="4">
        <v>0.5</v>
      </c>
      <c r="E577" s="4">
        <v>8.3499528718270905E-2</v>
      </c>
    </row>
    <row r="578" spans="1:5" x14ac:dyDescent="0.3">
      <c r="A578" t="s">
        <v>676</v>
      </c>
      <c r="B578" s="4">
        <v>0.85714285714285698</v>
      </c>
      <c r="C578" s="4">
        <v>0</v>
      </c>
      <c r="D578" s="4">
        <v>0.35</v>
      </c>
      <c r="E578" s="4">
        <v>0.43493630955441398</v>
      </c>
    </row>
    <row r="579" spans="1:5" x14ac:dyDescent="0.3">
      <c r="A579" t="s">
        <v>800</v>
      </c>
      <c r="B579" s="4">
        <v>1.4666666666666668</v>
      </c>
      <c r="C579" s="4">
        <v>0.16666666666666666</v>
      </c>
      <c r="D579" s="4">
        <v>0.45574795574795601</v>
      </c>
      <c r="E579" s="4">
        <v>0.55423148319221427</v>
      </c>
    </row>
    <row r="580" spans="1:5" x14ac:dyDescent="0.3">
      <c r="A580" t="s">
        <v>677</v>
      </c>
      <c r="B580" s="4">
        <v>1.7777777777777799</v>
      </c>
      <c r="C580" s="4">
        <v>0.33055555555555499</v>
      </c>
      <c r="D580" s="4">
        <v>0.69230769230769196</v>
      </c>
      <c r="E580" s="4">
        <v>1</v>
      </c>
    </row>
    <row r="581" spans="1:5" x14ac:dyDescent="0.3">
      <c r="A581" t="s">
        <v>677</v>
      </c>
      <c r="B581" s="4">
        <v>1.55555555555556</v>
      </c>
      <c r="C581" s="4">
        <v>0.18333333333333299</v>
      </c>
      <c r="D581" s="4">
        <v>0.64285714285714302</v>
      </c>
      <c r="E581" s="4">
        <v>0.96066270097653095</v>
      </c>
    </row>
    <row r="582" spans="1:5" x14ac:dyDescent="0.3">
      <c r="A582" t="s">
        <v>677</v>
      </c>
      <c r="B582" s="4">
        <v>0.88888888888888895</v>
      </c>
      <c r="C582" s="4">
        <v>4.2592592592592599E-2</v>
      </c>
      <c r="D582" s="4">
        <v>0.52941176470588203</v>
      </c>
      <c r="E582" s="4">
        <v>0.123470946159722</v>
      </c>
    </row>
    <row r="583" spans="1:5" x14ac:dyDescent="0.3">
      <c r="A583" t="s">
        <v>677</v>
      </c>
      <c r="B583" s="4">
        <v>0.66666666666666696</v>
      </c>
      <c r="C583" s="4">
        <v>4.1666666666666699E-2</v>
      </c>
      <c r="D583" s="4">
        <v>0.5625</v>
      </c>
      <c r="E583" s="4">
        <v>7.0122550493091601E-2</v>
      </c>
    </row>
    <row r="584" spans="1:5" x14ac:dyDescent="0.3">
      <c r="A584" t="s">
        <v>677</v>
      </c>
      <c r="B584" s="4">
        <v>1.1111111111111101</v>
      </c>
      <c r="C584" s="4">
        <v>4.1666666666666699E-2</v>
      </c>
      <c r="D584" s="4">
        <v>0.52941176470588203</v>
      </c>
      <c r="E584" s="4">
        <v>0.63893228626564202</v>
      </c>
    </row>
    <row r="585" spans="1:5" x14ac:dyDescent="0.3">
      <c r="A585" t="s">
        <v>677</v>
      </c>
      <c r="B585" s="4">
        <v>0.22222222222222199</v>
      </c>
      <c r="C585" s="4">
        <v>0</v>
      </c>
      <c r="D585" s="4">
        <v>0.42857142857142899</v>
      </c>
      <c r="E585" s="4">
        <v>3.36458991434858E-2</v>
      </c>
    </row>
    <row r="586" spans="1:5" x14ac:dyDescent="0.3">
      <c r="A586" t="s">
        <v>677</v>
      </c>
      <c r="B586" s="4">
        <v>0.88888888888888895</v>
      </c>
      <c r="C586" s="4">
        <v>6.2037037037037002E-2</v>
      </c>
      <c r="D586" s="4">
        <v>0.64285714285714302</v>
      </c>
      <c r="E586" s="4">
        <v>9.0514491214182299E-2</v>
      </c>
    </row>
    <row r="587" spans="1:5" x14ac:dyDescent="0.3">
      <c r="A587" t="s">
        <v>677</v>
      </c>
      <c r="B587" s="4">
        <v>1.1111111111111101</v>
      </c>
      <c r="C587" s="4">
        <v>0.28425925925925899</v>
      </c>
      <c r="D587" s="4">
        <v>0.69230769230769196</v>
      </c>
      <c r="E587" s="4">
        <v>9.0613731156929306E-2</v>
      </c>
    </row>
    <row r="588" spans="1:5" x14ac:dyDescent="0.3">
      <c r="A588" t="s">
        <v>677</v>
      </c>
      <c r="B588" s="4">
        <v>0.22222222222222199</v>
      </c>
      <c r="C588" s="4">
        <v>0</v>
      </c>
      <c r="D588" s="4">
        <v>0.42857142857142899</v>
      </c>
      <c r="E588" s="4">
        <v>3.04878045952096E-3</v>
      </c>
    </row>
    <row r="589" spans="1:5" x14ac:dyDescent="0.3">
      <c r="A589" t="s">
        <v>677</v>
      </c>
      <c r="B589" s="4">
        <v>0.44444444444444398</v>
      </c>
      <c r="C589" s="4">
        <v>1.38888888888889E-2</v>
      </c>
      <c r="D589" s="4">
        <v>0.5</v>
      </c>
      <c r="E589" s="4">
        <v>6.5968259491450798E-2</v>
      </c>
    </row>
    <row r="590" spans="1:5" x14ac:dyDescent="0.3">
      <c r="A590" t="s">
        <v>801</v>
      </c>
      <c r="B590" s="4">
        <v>1.1428571428571421</v>
      </c>
      <c r="C590" s="4">
        <v>0.14285714285714285</v>
      </c>
      <c r="D590" s="4">
        <v>0.61332714904143459</v>
      </c>
      <c r="E590" s="4">
        <v>0.40357849174114868</v>
      </c>
    </row>
    <row r="591" spans="1:5" x14ac:dyDescent="0.3">
      <c r="A591" t="s">
        <v>678</v>
      </c>
      <c r="B591" s="4">
        <v>2</v>
      </c>
      <c r="C591" s="4">
        <v>0</v>
      </c>
      <c r="D591" s="4">
        <v>0.5</v>
      </c>
      <c r="E591" s="4">
        <v>1</v>
      </c>
    </row>
    <row r="592" spans="1:5" x14ac:dyDescent="0.3">
      <c r="A592" t="s">
        <v>678</v>
      </c>
      <c r="B592" s="4">
        <v>2</v>
      </c>
      <c r="C592" s="4">
        <v>0</v>
      </c>
      <c r="D592" s="4">
        <v>0.5</v>
      </c>
      <c r="E592" s="4">
        <v>0.97376888933608796</v>
      </c>
    </row>
    <row r="593" spans="1:5" x14ac:dyDescent="0.3">
      <c r="A593" t="s">
        <v>678</v>
      </c>
      <c r="B593" s="4">
        <v>2</v>
      </c>
      <c r="C593" s="4">
        <v>0</v>
      </c>
      <c r="D593" s="4">
        <v>0.375</v>
      </c>
      <c r="E593" s="4">
        <v>0.76755963250737502</v>
      </c>
    </row>
    <row r="594" spans="1:5" x14ac:dyDescent="0.3">
      <c r="A594" t="s">
        <v>678</v>
      </c>
      <c r="B594" s="4">
        <v>2</v>
      </c>
      <c r="C594" s="4">
        <v>1</v>
      </c>
      <c r="D594" s="4">
        <v>0.75</v>
      </c>
      <c r="E594" s="4">
        <v>0.203279190560956</v>
      </c>
    </row>
    <row r="595" spans="1:5" x14ac:dyDescent="0.3">
      <c r="A595" t="s">
        <v>802</v>
      </c>
      <c r="B595" s="4">
        <v>2</v>
      </c>
      <c r="C595" s="4">
        <v>0.25</v>
      </c>
      <c r="D595" s="4">
        <v>0.53125</v>
      </c>
      <c r="E595" s="4">
        <v>0.73615192810110475</v>
      </c>
    </row>
    <row r="596" spans="1:5" x14ac:dyDescent="0.3">
      <c r="A596" t="s">
        <v>681</v>
      </c>
      <c r="B596" s="4">
        <v>2</v>
      </c>
      <c r="C596" s="4">
        <v>0.16666666666666699</v>
      </c>
      <c r="D596" s="4">
        <v>0.375</v>
      </c>
      <c r="E596" s="4">
        <v>1</v>
      </c>
    </row>
    <row r="597" spans="1:5" x14ac:dyDescent="0.3">
      <c r="A597" t="s">
        <v>681</v>
      </c>
      <c r="B597" s="4">
        <v>2</v>
      </c>
      <c r="C597" s="4">
        <v>0.1</v>
      </c>
      <c r="D597" s="4">
        <v>0.42857142857142899</v>
      </c>
      <c r="E597" s="4">
        <v>0.984276152270392</v>
      </c>
    </row>
    <row r="598" spans="1:5" x14ac:dyDescent="0.3">
      <c r="A598" t="s">
        <v>681</v>
      </c>
      <c r="B598" s="4">
        <v>0.66666666666666696</v>
      </c>
      <c r="C598" s="4">
        <v>3.3333333333333298E-2</v>
      </c>
      <c r="D598" s="4">
        <v>0.31578947368421101</v>
      </c>
      <c r="E598" s="4">
        <v>0.12647984151049799</v>
      </c>
    </row>
    <row r="599" spans="1:5" x14ac:dyDescent="0.3">
      <c r="A599" t="s">
        <v>681</v>
      </c>
      <c r="B599" s="4">
        <v>1.3333333333333299</v>
      </c>
      <c r="C599" s="4">
        <v>0</v>
      </c>
      <c r="D599" s="4">
        <v>0.35294117647058798</v>
      </c>
      <c r="E599" s="4">
        <v>0.34022817336410599</v>
      </c>
    </row>
    <row r="600" spans="1:5" x14ac:dyDescent="0.3">
      <c r="A600" t="s">
        <v>681</v>
      </c>
      <c r="B600" s="4">
        <v>1.6666666666666701</v>
      </c>
      <c r="C600" s="4">
        <v>0</v>
      </c>
      <c r="D600" s="4">
        <v>0.31578947368421101</v>
      </c>
      <c r="E600" s="4">
        <v>0.56817564077229599</v>
      </c>
    </row>
    <row r="601" spans="1:5" x14ac:dyDescent="0.3">
      <c r="A601" t="s">
        <v>681</v>
      </c>
      <c r="B601" s="4">
        <v>1.3333333333333299</v>
      </c>
      <c r="C601" s="4">
        <v>0.46666666666666701</v>
      </c>
      <c r="D601" s="4">
        <v>0.5</v>
      </c>
      <c r="E601" s="4">
        <v>0.19465707343284999</v>
      </c>
    </row>
    <row r="602" spans="1:5" x14ac:dyDescent="0.3">
      <c r="A602" t="s">
        <v>681</v>
      </c>
      <c r="B602" s="4">
        <v>1.6666666666666701</v>
      </c>
      <c r="C602" s="4">
        <v>6.6666666666666693E-2</v>
      </c>
      <c r="D602" s="4">
        <v>0.4</v>
      </c>
      <c r="E602" s="4">
        <v>0.44808246519521699</v>
      </c>
    </row>
    <row r="603" spans="1:5" x14ac:dyDescent="0.3">
      <c r="A603" t="s">
        <v>803</v>
      </c>
      <c r="B603" s="4">
        <v>1.5999999999999999</v>
      </c>
      <c r="C603" s="4">
        <v>0.10833333333333334</v>
      </c>
      <c r="D603" s="4">
        <v>0.29290188297541248</v>
      </c>
      <c r="E603" s="4">
        <v>0.5784251892022757</v>
      </c>
    </row>
    <row r="604" spans="1:5" x14ac:dyDescent="0.3">
      <c r="A604" t="s">
        <v>679</v>
      </c>
      <c r="B604" s="4">
        <v>0.76923076923076905</v>
      </c>
      <c r="C604" s="4">
        <v>0</v>
      </c>
      <c r="D604" s="4">
        <v>0.203125</v>
      </c>
      <c r="E604" s="4">
        <v>0.68141618852756802</v>
      </c>
    </row>
    <row r="605" spans="1:5" x14ac:dyDescent="0.3">
      <c r="A605" t="s">
        <v>679</v>
      </c>
      <c r="B605" s="4">
        <v>0.92307692307692302</v>
      </c>
      <c r="C605" s="4">
        <v>0.16752136752136801</v>
      </c>
      <c r="D605" s="4">
        <v>0.36111111111111099</v>
      </c>
      <c r="E605" s="4">
        <v>0.44846481882755701</v>
      </c>
    </row>
    <row r="606" spans="1:5" x14ac:dyDescent="0.3">
      <c r="A606" t="s">
        <v>679</v>
      </c>
      <c r="B606" s="4">
        <v>1.84615384615385</v>
      </c>
      <c r="C606" s="4">
        <v>0.44615384615384601</v>
      </c>
      <c r="D606" s="4">
        <v>0.41935483870967699</v>
      </c>
      <c r="E606" s="4">
        <v>1</v>
      </c>
    </row>
    <row r="607" spans="1:5" x14ac:dyDescent="0.3">
      <c r="A607" t="s">
        <v>679</v>
      </c>
      <c r="B607" s="4">
        <v>0.92307692307692302</v>
      </c>
      <c r="C607" s="4">
        <v>2.6495726495726499E-2</v>
      </c>
      <c r="D607" s="4">
        <v>0.39393939393939398</v>
      </c>
      <c r="E607" s="4">
        <v>0.57839956439497697</v>
      </c>
    </row>
    <row r="608" spans="1:5" x14ac:dyDescent="0.3">
      <c r="A608" t="s">
        <v>679</v>
      </c>
      <c r="B608" s="4">
        <v>1.2307692307692299</v>
      </c>
      <c r="C608" s="4">
        <v>0.401709401709402</v>
      </c>
      <c r="D608" s="4">
        <v>0.43333333333333302</v>
      </c>
      <c r="E608" s="4">
        <v>0.45927866180293297</v>
      </c>
    </row>
    <row r="609" spans="1:5" x14ac:dyDescent="0.3">
      <c r="A609" t="s">
        <v>679</v>
      </c>
      <c r="B609" s="4">
        <v>1.07692307692308</v>
      </c>
      <c r="C609" s="4">
        <v>0.13931623931623899</v>
      </c>
      <c r="D609" s="4">
        <v>0.40625</v>
      </c>
      <c r="E609" s="4">
        <v>0.573906904290443</v>
      </c>
    </row>
    <row r="610" spans="1:5" x14ac:dyDescent="0.3">
      <c r="A610" t="s">
        <v>679</v>
      </c>
      <c r="B610" s="4">
        <v>0.46153846153846201</v>
      </c>
      <c r="C610" s="4">
        <v>0.16752136752136801</v>
      </c>
      <c r="D610" s="4">
        <v>0.43333333333333302</v>
      </c>
      <c r="E610" s="4">
        <v>5.7423671758472197E-2</v>
      </c>
    </row>
    <row r="611" spans="1:5" x14ac:dyDescent="0.3">
      <c r="A611" t="s">
        <v>679</v>
      </c>
      <c r="B611" s="4">
        <v>0.46153846153846201</v>
      </c>
      <c r="C611" s="4">
        <v>0.21538461538461501</v>
      </c>
      <c r="D611" s="4">
        <v>0.43333333333333302</v>
      </c>
      <c r="E611" s="4">
        <v>5.7297064409064201E-2</v>
      </c>
    </row>
    <row r="612" spans="1:5" x14ac:dyDescent="0.3">
      <c r="A612" t="s">
        <v>679</v>
      </c>
      <c r="B612" s="4">
        <v>0.15384615384615399</v>
      </c>
      <c r="C612" s="4">
        <v>0</v>
      </c>
      <c r="D612" s="4">
        <v>0.30232558139534899</v>
      </c>
      <c r="E612" s="4">
        <v>2.8180932111945198E-2</v>
      </c>
    </row>
    <row r="613" spans="1:5" x14ac:dyDescent="0.3">
      <c r="A613" t="s">
        <v>679</v>
      </c>
      <c r="B613" s="4">
        <v>0.30769230769230799</v>
      </c>
      <c r="C613" s="4">
        <v>0</v>
      </c>
      <c r="D613" s="4">
        <v>0.245283018867925</v>
      </c>
      <c r="E613" s="4">
        <v>5.9728260322517303E-2</v>
      </c>
    </row>
    <row r="614" spans="1:5" x14ac:dyDescent="0.3">
      <c r="A614" t="s">
        <v>679</v>
      </c>
      <c r="B614" s="4">
        <v>0.30769230769230799</v>
      </c>
      <c r="C614" s="4">
        <v>0</v>
      </c>
      <c r="D614" s="4">
        <v>0.245283018867925</v>
      </c>
      <c r="E614" s="4">
        <v>5.9728260322517303E-2</v>
      </c>
    </row>
    <row r="615" spans="1:5" x14ac:dyDescent="0.3">
      <c r="A615" t="s">
        <v>679</v>
      </c>
      <c r="B615" s="4">
        <v>0.30769230769230799</v>
      </c>
      <c r="C615" s="4">
        <v>0</v>
      </c>
      <c r="D615" s="4">
        <v>0.240740740740741</v>
      </c>
      <c r="E615" s="4">
        <v>0.19497139424913801</v>
      </c>
    </row>
    <row r="616" spans="1:5" x14ac:dyDescent="0.3">
      <c r="A616" t="s">
        <v>679</v>
      </c>
      <c r="B616" s="4">
        <v>0.30769230769230799</v>
      </c>
      <c r="C616" s="4">
        <v>0</v>
      </c>
      <c r="D616" s="4">
        <v>0.27659574468085102</v>
      </c>
      <c r="E616" s="4">
        <v>8.8708327240661605E-2</v>
      </c>
    </row>
    <row r="617" spans="1:5" x14ac:dyDescent="0.3">
      <c r="A617" t="s">
        <v>679</v>
      </c>
      <c r="B617" s="4">
        <v>0.15384615384615399</v>
      </c>
      <c r="C617" s="4">
        <v>0</v>
      </c>
      <c r="D617" s="4">
        <v>0.27083333333333298</v>
      </c>
      <c r="E617" s="4">
        <v>1.26381566139752E-2</v>
      </c>
    </row>
    <row r="618" spans="1:5" x14ac:dyDescent="0.3">
      <c r="A618" t="s">
        <v>804</v>
      </c>
      <c r="B618" s="4">
        <v>0.75555555555555509</v>
      </c>
      <c r="C618" s="4">
        <v>0.1583333333333333</v>
      </c>
      <c r="D618" s="4">
        <v>0.34631901402404097</v>
      </c>
      <c r="E618" s="4">
        <v>0.3464520803230331</v>
      </c>
    </row>
    <row r="619" spans="1:5" x14ac:dyDescent="0.3">
      <c r="A619" t="s">
        <v>680</v>
      </c>
      <c r="B619" s="4">
        <v>1.71428571428571</v>
      </c>
      <c r="C619" s="4">
        <v>0.41269841269841301</v>
      </c>
      <c r="D619" s="4">
        <v>0.58333333333333304</v>
      </c>
      <c r="E619" s="4">
        <v>1</v>
      </c>
    </row>
    <row r="620" spans="1:5" x14ac:dyDescent="0.3">
      <c r="A620" t="s">
        <v>680</v>
      </c>
      <c r="B620" s="4">
        <v>1.4285714285714299</v>
      </c>
      <c r="C620" s="4">
        <v>0.126984126984127</v>
      </c>
      <c r="D620" s="4">
        <v>0.5</v>
      </c>
      <c r="E620" s="4">
        <v>0.948219282717218</v>
      </c>
    </row>
    <row r="621" spans="1:5" x14ac:dyDescent="0.3">
      <c r="A621" t="s">
        <v>680</v>
      </c>
      <c r="B621" s="4">
        <v>0.85714285714285698</v>
      </c>
      <c r="C621" s="4">
        <v>9.5238095238095205E-2</v>
      </c>
      <c r="D621" s="4">
        <v>0.38888888888888901</v>
      </c>
      <c r="E621" s="4">
        <v>0.146528918554645</v>
      </c>
    </row>
    <row r="622" spans="1:5" x14ac:dyDescent="0.3">
      <c r="A622" t="s">
        <v>680</v>
      </c>
      <c r="B622" s="4">
        <v>1.1428571428571399</v>
      </c>
      <c r="C622" s="4">
        <v>3.1746031746031703E-2</v>
      </c>
      <c r="D622" s="4">
        <v>0.35</v>
      </c>
      <c r="E622" s="4">
        <v>0.88040328058378903</v>
      </c>
    </row>
    <row r="623" spans="1:5" x14ac:dyDescent="0.3">
      <c r="A623" t="s">
        <v>680</v>
      </c>
      <c r="B623" s="4">
        <v>1.1428571428571399</v>
      </c>
      <c r="C623" s="4">
        <v>0.42857142857142899</v>
      </c>
      <c r="D623" s="4">
        <v>0.58333333333333304</v>
      </c>
      <c r="E623" s="4">
        <v>0.113880976215019</v>
      </c>
    </row>
    <row r="624" spans="1:5" x14ac:dyDescent="0.3">
      <c r="A624" t="s">
        <v>680</v>
      </c>
      <c r="B624" s="4">
        <v>0.28571428571428598</v>
      </c>
      <c r="C624" s="4">
        <v>0</v>
      </c>
      <c r="D624" s="4">
        <v>0.38888888888888901</v>
      </c>
      <c r="E624" s="4">
        <v>3.4932821363226401E-3</v>
      </c>
    </row>
    <row r="625" spans="1:5" x14ac:dyDescent="0.3">
      <c r="A625" t="s">
        <v>680</v>
      </c>
      <c r="B625" s="4">
        <v>0.57142857142857095</v>
      </c>
      <c r="C625" s="4">
        <v>4.7619047619047603E-2</v>
      </c>
      <c r="D625" s="4">
        <v>0.4375</v>
      </c>
      <c r="E625" s="4">
        <v>5.9761338936062003E-2</v>
      </c>
    </row>
    <row r="626" spans="1:5" x14ac:dyDescent="0.3">
      <c r="A626" t="s">
        <v>680</v>
      </c>
      <c r="B626" s="4">
        <v>0.28571428571428598</v>
      </c>
      <c r="C626" s="4">
        <v>0</v>
      </c>
      <c r="D626" s="4">
        <v>0.38888888888888901</v>
      </c>
      <c r="E626" s="4">
        <v>3.0674852397883898E-2</v>
      </c>
    </row>
    <row r="627" spans="1:5" x14ac:dyDescent="0.3">
      <c r="A627" t="s">
        <v>805</v>
      </c>
      <c r="B627" s="4">
        <v>0.95238095238095188</v>
      </c>
      <c r="C627" s="4">
        <v>0.18095238095238095</v>
      </c>
      <c r="D627" s="4">
        <v>0.48179514720868127</v>
      </c>
      <c r="E627" s="4">
        <v>0.43432855949365601</v>
      </c>
    </row>
    <row r="628" spans="1:5" x14ac:dyDescent="0.3">
      <c r="A628" t="s">
        <v>682</v>
      </c>
      <c r="B628" s="4">
        <v>2</v>
      </c>
      <c r="C628" s="4">
        <v>8.8888888888888906E-2</v>
      </c>
      <c r="D628" s="4">
        <v>0.66666666666666696</v>
      </c>
      <c r="E628" s="4">
        <v>1</v>
      </c>
    </row>
    <row r="629" spans="1:5" x14ac:dyDescent="0.3">
      <c r="A629" t="s">
        <v>682</v>
      </c>
      <c r="B629" s="4">
        <v>1.6666666666666701</v>
      </c>
      <c r="C629" s="4">
        <v>5.5555555555555601E-2</v>
      </c>
      <c r="D629" s="4">
        <v>0.6</v>
      </c>
      <c r="E629" s="4">
        <v>0.92026656481088598</v>
      </c>
    </row>
    <row r="630" spans="1:5" x14ac:dyDescent="0.3">
      <c r="A630" t="s">
        <v>682</v>
      </c>
      <c r="B630" s="4">
        <v>2</v>
      </c>
      <c r="C630" s="4">
        <v>3.3333333333333298E-2</v>
      </c>
      <c r="D630" s="4">
        <v>0.6</v>
      </c>
      <c r="E630" s="4">
        <v>0.66597019537990598</v>
      </c>
    </row>
    <row r="631" spans="1:5" x14ac:dyDescent="0.3">
      <c r="A631" t="s">
        <v>682</v>
      </c>
      <c r="B631" s="4">
        <v>1.3333333333333299</v>
      </c>
      <c r="C631" s="4">
        <v>0.1</v>
      </c>
      <c r="D631" s="4">
        <v>0.6</v>
      </c>
      <c r="E631" s="4">
        <v>0.34515524813621501</v>
      </c>
    </row>
    <row r="632" spans="1:5" x14ac:dyDescent="0.3">
      <c r="A632" t="s">
        <v>682</v>
      </c>
      <c r="B632" s="4">
        <v>1.3333333333333299</v>
      </c>
      <c r="C632" s="4">
        <v>7.7777777777777807E-2</v>
      </c>
      <c r="D632" s="4">
        <v>0.66666666666666696</v>
      </c>
      <c r="E632" s="4">
        <v>0.359217215213536</v>
      </c>
    </row>
    <row r="633" spans="1:5" x14ac:dyDescent="0.3">
      <c r="A633" t="s">
        <v>682</v>
      </c>
      <c r="B633" s="4">
        <v>1.6666666666666701</v>
      </c>
      <c r="C633" s="4">
        <v>0</v>
      </c>
      <c r="D633" s="4">
        <v>0.5</v>
      </c>
      <c r="E633" s="4">
        <v>0.87371586460142103</v>
      </c>
    </row>
    <row r="634" spans="1:5" x14ac:dyDescent="0.3">
      <c r="A634" t="s">
        <v>682</v>
      </c>
      <c r="B634" s="4">
        <v>1.3333333333333299</v>
      </c>
      <c r="C634" s="4">
        <v>0.3</v>
      </c>
      <c r="D634" s="4">
        <v>0.75</v>
      </c>
      <c r="E634" s="4">
        <v>0.33067863265986203</v>
      </c>
    </row>
    <row r="635" spans="1:5" x14ac:dyDescent="0.3">
      <c r="A635" t="s">
        <v>806</v>
      </c>
      <c r="B635" s="4">
        <v>1.6</v>
      </c>
      <c r="C635" s="4">
        <v>0.13333333333333319</v>
      </c>
      <c r="D635" s="4">
        <v>0.55367965367965388</v>
      </c>
      <c r="E635" s="4">
        <v>0.67645579209002071</v>
      </c>
    </row>
    <row r="636" spans="1:5" x14ac:dyDescent="0.3">
      <c r="A636" t="s">
        <v>683</v>
      </c>
      <c r="B636" s="4">
        <v>1</v>
      </c>
      <c r="C636" s="4">
        <v>0</v>
      </c>
      <c r="D636" s="4">
        <v>0.30769230769230799</v>
      </c>
      <c r="E636" s="4">
        <v>0.249862355845373</v>
      </c>
    </row>
    <row r="637" spans="1:5" x14ac:dyDescent="0.3">
      <c r="A637" t="s">
        <v>683</v>
      </c>
      <c r="B637" s="4">
        <v>1</v>
      </c>
      <c r="C637" s="4">
        <v>0.107142857142857</v>
      </c>
      <c r="D637" s="4">
        <v>0.4</v>
      </c>
      <c r="E637" s="4">
        <v>0.12339669294996</v>
      </c>
    </row>
    <row r="638" spans="1:5" x14ac:dyDescent="0.3">
      <c r="A638" t="s">
        <v>683</v>
      </c>
      <c r="B638" s="4">
        <v>1.75</v>
      </c>
      <c r="C638" s="4">
        <v>0.53571428571428603</v>
      </c>
      <c r="D638" s="4">
        <v>0.42105263157894701</v>
      </c>
      <c r="E638" s="4">
        <v>0.92762381534781302</v>
      </c>
    </row>
    <row r="639" spans="1:5" x14ac:dyDescent="0.3">
      <c r="A639" t="s">
        <v>683</v>
      </c>
      <c r="B639" s="4">
        <v>2</v>
      </c>
      <c r="C639" s="4">
        <v>0.25</v>
      </c>
      <c r="D639" s="4">
        <v>0.34782608695652201</v>
      </c>
      <c r="E639" s="4">
        <v>1</v>
      </c>
    </row>
    <row r="640" spans="1:5" x14ac:dyDescent="0.3">
      <c r="A640" t="s">
        <v>683</v>
      </c>
      <c r="B640" s="4">
        <v>0.5</v>
      </c>
      <c r="C640" s="4">
        <v>0</v>
      </c>
      <c r="D640" s="4">
        <v>0.11764705882352899</v>
      </c>
      <c r="E640" s="4">
        <v>0.75293648487098197</v>
      </c>
    </row>
    <row r="641" spans="1:5" x14ac:dyDescent="0.3">
      <c r="A641" t="s">
        <v>683</v>
      </c>
      <c r="B641" s="4">
        <v>0.25</v>
      </c>
      <c r="C641" s="4">
        <v>0</v>
      </c>
      <c r="D641" s="4">
        <v>0.266666666666667</v>
      </c>
      <c r="E641" s="4">
        <v>4.8597344856600798E-2</v>
      </c>
    </row>
    <row r="642" spans="1:5" x14ac:dyDescent="0.3">
      <c r="A642" t="s">
        <v>683</v>
      </c>
      <c r="B642" s="4">
        <v>0.75</v>
      </c>
      <c r="C642" s="4">
        <v>0</v>
      </c>
      <c r="D642" s="4">
        <v>0.25</v>
      </c>
      <c r="E642" s="4">
        <v>0.30599188832642499</v>
      </c>
    </row>
    <row r="643" spans="1:5" x14ac:dyDescent="0.3">
      <c r="A643" t="s">
        <v>683</v>
      </c>
      <c r="B643" s="4">
        <v>0.75</v>
      </c>
      <c r="C643" s="4">
        <v>0</v>
      </c>
      <c r="D643" s="4">
        <v>0.32</v>
      </c>
      <c r="E643" s="4">
        <v>0.2206128756621</v>
      </c>
    </row>
    <row r="644" spans="1:5" x14ac:dyDescent="0.3">
      <c r="A644" t="s">
        <v>683</v>
      </c>
      <c r="B644" s="4">
        <v>1</v>
      </c>
      <c r="C644" s="4">
        <v>0.30357142857142899</v>
      </c>
      <c r="D644" s="4">
        <v>0.42105263157894701</v>
      </c>
      <c r="E644" s="4">
        <v>0.11181679802340801</v>
      </c>
    </row>
    <row r="645" spans="1:5" x14ac:dyDescent="0.3">
      <c r="A645" t="s">
        <v>807</v>
      </c>
      <c r="B645" s="4">
        <v>1.3333333333333333</v>
      </c>
      <c r="C645" s="4">
        <v>0.15</v>
      </c>
      <c r="D645" s="4">
        <v>0.27759297203295918</v>
      </c>
      <c r="E645" s="4">
        <v>0.55455295964918105</v>
      </c>
    </row>
    <row r="646" spans="1:5" x14ac:dyDescent="0.3">
      <c r="A646" t="s">
        <v>684</v>
      </c>
      <c r="B646" s="4">
        <v>0.85714285714285698</v>
      </c>
      <c r="C646" s="4">
        <v>7.1428571428571397E-2</v>
      </c>
      <c r="D646" s="4">
        <v>0.58333333333333304</v>
      </c>
      <c r="E646" s="4">
        <v>5.4332080378733397E-2</v>
      </c>
    </row>
    <row r="647" spans="1:5" x14ac:dyDescent="0.3">
      <c r="A647" t="s">
        <v>684</v>
      </c>
      <c r="B647" s="4">
        <v>1.4285714285714299</v>
      </c>
      <c r="C647" s="4">
        <v>0.19047619047618999</v>
      </c>
      <c r="D647" s="4">
        <v>0.58333333333333304</v>
      </c>
      <c r="E647" s="4">
        <v>8.3974561208120496E-2</v>
      </c>
    </row>
    <row r="648" spans="1:5" x14ac:dyDescent="0.3">
      <c r="A648" t="s">
        <v>684</v>
      </c>
      <c r="B648" s="4">
        <v>1.71428571428571</v>
      </c>
      <c r="C648" s="4">
        <v>0.33333333333333298</v>
      </c>
      <c r="D648" s="4">
        <v>0.63636363636363602</v>
      </c>
      <c r="E648" s="4">
        <v>0.16459326515580999</v>
      </c>
    </row>
    <row r="649" spans="1:5" x14ac:dyDescent="0.3">
      <c r="A649" t="s">
        <v>684</v>
      </c>
      <c r="B649" s="4">
        <v>1.71428571428571</v>
      </c>
      <c r="C649" s="4">
        <v>0.14285714285714299</v>
      </c>
      <c r="D649" s="4">
        <v>0.53846153846153799</v>
      </c>
      <c r="E649" s="4">
        <v>0.97131153042044005</v>
      </c>
    </row>
    <row r="650" spans="1:5" x14ac:dyDescent="0.3">
      <c r="A650" t="s">
        <v>684</v>
      </c>
      <c r="B650" s="4">
        <v>1.1428571428571399</v>
      </c>
      <c r="C650" s="4">
        <v>9.5238095238095205E-2</v>
      </c>
      <c r="D650" s="4">
        <v>0.46666666666666701</v>
      </c>
      <c r="E650" s="4">
        <v>1</v>
      </c>
    </row>
    <row r="651" spans="1:5" x14ac:dyDescent="0.3">
      <c r="A651" t="s">
        <v>684</v>
      </c>
      <c r="B651" s="4">
        <v>0.57142857142857095</v>
      </c>
      <c r="C651" s="4">
        <v>0</v>
      </c>
      <c r="D651" s="4">
        <v>0.33333333333333298</v>
      </c>
      <c r="E651" s="4">
        <v>0.175600080330336</v>
      </c>
    </row>
    <row r="652" spans="1:5" x14ac:dyDescent="0.3">
      <c r="A652" t="s">
        <v>684</v>
      </c>
      <c r="B652" s="4">
        <v>1.4285714285714299</v>
      </c>
      <c r="C652" s="4">
        <v>2.3809523809523801E-2</v>
      </c>
      <c r="D652" s="4">
        <v>0.53846153846153799</v>
      </c>
      <c r="E652" s="4">
        <v>0.49736750860164203</v>
      </c>
    </row>
    <row r="653" spans="1:5" x14ac:dyDescent="0.3">
      <c r="A653" t="s">
        <v>684</v>
      </c>
      <c r="B653" s="4">
        <v>0.85714285714285698</v>
      </c>
      <c r="C653" s="4">
        <v>2.3809523809523801E-2</v>
      </c>
      <c r="D653" s="4">
        <v>0.53846153846153799</v>
      </c>
      <c r="E653" s="4">
        <v>3.3223136657972697E-2</v>
      </c>
    </row>
    <row r="654" spans="1:5" x14ac:dyDescent="0.3">
      <c r="A654" t="s">
        <v>808</v>
      </c>
      <c r="B654" s="4">
        <v>1.6666666666666652</v>
      </c>
      <c r="C654" s="4">
        <v>0.16666666666666649</v>
      </c>
      <c r="D654" s="4">
        <v>0.25180995475113122</v>
      </c>
      <c r="E654" s="4">
        <v>0.6582068493604647</v>
      </c>
    </row>
    <row r="655" spans="1:5" x14ac:dyDescent="0.3">
      <c r="A655" t="s">
        <v>685</v>
      </c>
      <c r="B655" s="4">
        <v>1.1111111111111101</v>
      </c>
      <c r="C655" s="4">
        <v>0.38518518518518502</v>
      </c>
      <c r="D655" s="4">
        <v>0.52941176470588203</v>
      </c>
      <c r="E655" s="4">
        <v>0.105032934911888</v>
      </c>
    </row>
    <row r="656" spans="1:5" x14ac:dyDescent="0.3">
      <c r="A656" t="s">
        <v>685</v>
      </c>
      <c r="B656" s="4">
        <v>1.7777777777777799</v>
      </c>
      <c r="C656" s="4">
        <v>0.35740740740740701</v>
      </c>
      <c r="D656" s="4">
        <v>0.52941176470588203</v>
      </c>
      <c r="E656" s="4">
        <v>0.37910911212809101</v>
      </c>
    </row>
    <row r="657" spans="1:5" x14ac:dyDescent="0.3">
      <c r="A657" t="s">
        <v>685</v>
      </c>
      <c r="B657" s="4">
        <v>1.3333333333333299</v>
      </c>
      <c r="C657" s="4">
        <v>6.2037037037037002E-2</v>
      </c>
      <c r="D657" s="4">
        <v>0.40909090909090901</v>
      </c>
      <c r="E657" s="4">
        <v>0.17642403141805499</v>
      </c>
    </row>
    <row r="658" spans="1:5" x14ac:dyDescent="0.3">
      <c r="A658" t="s">
        <v>685</v>
      </c>
      <c r="B658" s="4">
        <v>1.7777777777777799</v>
      </c>
      <c r="C658" s="4">
        <v>0.1</v>
      </c>
      <c r="D658" s="4">
        <v>0.34615384615384598</v>
      </c>
      <c r="E658" s="4">
        <v>0.98191348006179202</v>
      </c>
    </row>
    <row r="659" spans="1:5" x14ac:dyDescent="0.3">
      <c r="A659" t="s">
        <v>685</v>
      </c>
      <c r="B659" s="4">
        <v>2</v>
      </c>
      <c r="C659" s="4">
        <v>9.4444444444444497E-2</v>
      </c>
      <c r="D659" s="4">
        <v>0.40909090909090901</v>
      </c>
      <c r="E659" s="4">
        <v>1</v>
      </c>
    </row>
    <row r="660" spans="1:5" x14ac:dyDescent="0.3">
      <c r="A660" t="s">
        <v>685</v>
      </c>
      <c r="B660" s="4">
        <v>1.3333333333333299</v>
      </c>
      <c r="C660" s="4">
        <v>0</v>
      </c>
      <c r="D660" s="4">
        <v>0.375</v>
      </c>
      <c r="E660" s="4">
        <v>0.58131875892537399</v>
      </c>
    </row>
    <row r="661" spans="1:5" x14ac:dyDescent="0.3">
      <c r="A661" t="s">
        <v>685</v>
      </c>
      <c r="B661" s="4">
        <v>0.44444444444444398</v>
      </c>
      <c r="C661" s="4">
        <v>0</v>
      </c>
      <c r="D661" s="4">
        <v>0.375</v>
      </c>
      <c r="E661" s="4">
        <v>4.9164834729161902E-2</v>
      </c>
    </row>
    <row r="662" spans="1:5" x14ac:dyDescent="0.3">
      <c r="A662" t="s">
        <v>685</v>
      </c>
      <c r="B662" s="4">
        <v>0.66666666666666696</v>
      </c>
      <c r="C662" s="4">
        <v>0.15833333333333299</v>
      </c>
      <c r="D662" s="4">
        <v>0.42857142857142899</v>
      </c>
      <c r="E662" s="4">
        <v>9.0121530745334202E-2</v>
      </c>
    </row>
    <row r="663" spans="1:5" x14ac:dyDescent="0.3">
      <c r="A663" t="s">
        <v>685</v>
      </c>
      <c r="B663" s="4">
        <v>1.1111111111111101</v>
      </c>
      <c r="C663" s="4">
        <v>0</v>
      </c>
      <c r="D663" s="4">
        <v>0.34615384615384598</v>
      </c>
      <c r="E663" s="4">
        <v>0.186502321912869</v>
      </c>
    </row>
    <row r="664" spans="1:5" x14ac:dyDescent="0.3">
      <c r="A664" t="s">
        <v>685</v>
      </c>
      <c r="B664" s="4">
        <v>0.44444444444444398</v>
      </c>
      <c r="C664" s="4">
        <v>0</v>
      </c>
      <c r="D664" s="4">
        <v>0.24324324324324301</v>
      </c>
      <c r="E664" s="4">
        <v>0.10257862107902101</v>
      </c>
    </row>
    <row r="665" spans="1:5" x14ac:dyDescent="0.3">
      <c r="A665" t="s">
        <v>809</v>
      </c>
      <c r="B665" s="4">
        <v>1.0476190476190481</v>
      </c>
      <c r="C665" s="4">
        <v>0.16190476190476183</v>
      </c>
      <c r="D665" s="4">
        <v>0.234931479838312</v>
      </c>
      <c r="E665" s="4">
        <v>0.42746735138384473</v>
      </c>
    </row>
    <row r="666" spans="1:5" x14ac:dyDescent="0.3">
      <c r="A666" t="s">
        <v>686</v>
      </c>
      <c r="B666" s="4">
        <v>0.36363636363636398</v>
      </c>
      <c r="C666" s="4">
        <v>2.12121212121212E-2</v>
      </c>
      <c r="D666" s="4">
        <v>0.45833333333333298</v>
      </c>
      <c r="E666" s="4">
        <v>2.1562905269955E-2</v>
      </c>
    </row>
    <row r="667" spans="1:5" x14ac:dyDescent="0.3">
      <c r="A667" t="s">
        <v>686</v>
      </c>
      <c r="B667" s="4">
        <v>1.0909090909090899</v>
      </c>
      <c r="C667" s="4">
        <v>0.13939393939393899</v>
      </c>
      <c r="D667" s="4">
        <v>0.52380952380952395</v>
      </c>
      <c r="E667" s="4">
        <v>0.242777437562916</v>
      </c>
    </row>
    <row r="668" spans="1:5" x14ac:dyDescent="0.3">
      <c r="A668" t="s">
        <v>686</v>
      </c>
      <c r="B668" s="4">
        <v>1.63636363636364</v>
      </c>
      <c r="C668" s="4">
        <v>0.3</v>
      </c>
      <c r="D668" s="4">
        <v>0.64705882352941202</v>
      </c>
      <c r="E668" s="4">
        <v>0.337871749721674</v>
      </c>
    </row>
    <row r="669" spans="1:5" x14ac:dyDescent="0.3">
      <c r="A669" t="s">
        <v>686</v>
      </c>
      <c r="B669" s="4">
        <v>0.54545454545454497</v>
      </c>
      <c r="C669" s="4">
        <v>0</v>
      </c>
      <c r="D669" s="4">
        <v>0.47826086956521702</v>
      </c>
      <c r="E669" s="4">
        <v>1.6172895738965399E-2</v>
      </c>
    </row>
    <row r="670" spans="1:5" x14ac:dyDescent="0.3">
      <c r="A670" t="s">
        <v>686</v>
      </c>
      <c r="B670" s="4">
        <v>0.90909090909090895</v>
      </c>
      <c r="C670" s="4">
        <v>0.2</v>
      </c>
      <c r="D670" s="4">
        <v>0.61111111111111105</v>
      </c>
      <c r="E670" s="4">
        <v>8.1461546738488794E-2</v>
      </c>
    </row>
    <row r="671" spans="1:5" x14ac:dyDescent="0.3">
      <c r="A671" t="s">
        <v>686</v>
      </c>
      <c r="B671" s="4">
        <v>0.54545454545454497</v>
      </c>
      <c r="C671" s="4">
        <v>0</v>
      </c>
      <c r="D671" s="4">
        <v>0.47826086956521702</v>
      </c>
      <c r="E671" s="4">
        <v>1.6172895738965399E-2</v>
      </c>
    </row>
    <row r="672" spans="1:5" x14ac:dyDescent="0.3">
      <c r="A672" t="s">
        <v>686</v>
      </c>
      <c r="B672" s="4">
        <v>0.90909090909090895</v>
      </c>
      <c r="C672" s="4">
        <v>0</v>
      </c>
      <c r="D672" s="4">
        <v>0.32352941176470601</v>
      </c>
      <c r="E672" s="4">
        <v>0.88508993641520495</v>
      </c>
    </row>
    <row r="673" spans="1:5" x14ac:dyDescent="0.3">
      <c r="A673" t="s">
        <v>686</v>
      </c>
      <c r="B673" s="4">
        <v>1.27272727272727</v>
      </c>
      <c r="C673" s="4">
        <v>4.2424242424242399E-2</v>
      </c>
      <c r="D673" s="4">
        <v>0.45833333333333298</v>
      </c>
      <c r="E673" s="4">
        <v>0.908798316735833</v>
      </c>
    </row>
    <row r="674" spans="1:5" x14ac:dyDescent="0.3">
      <c r="A674" t="s">
        <v>686</v>
      </c>
      <c r="B674" s="4">
        <v>1.27272727272727</v>
      </c>
      <c r="C674" s="4">
        <v>9.6969696969696997E-2</v>
      </c>
      <c r="D674" s="4">
        <v>0.52380952380952395</v>
      </c>
      <c r="E674" s="4">
        <v>0.91459304200050895</v>
      </c>
    </row>
    <row r="675" spans="1:5" x14ac:dyDescent="0.3">
      <c r="A675" t="s">
        <v>686</v>
      </c>
      <c r="B675" s="4">
        <v>1.27272727272727</v>
      </c>
      <c r="C675" s="4">
        <v>0.221212121212121</v>
      </c>
      <c r="D675" s="4">
        <v>0.57894736842105299</v>
      </c>
      <c r="E675" s="4">
        <v>1</v>
      </c>
    </row>
    <row r="676" spans="1:5" x14ac:dyDescent="0.3">
      <c r="A676" t="s">
        <v>686</v>
      </c>
      <c r="B676" s="4">
        <v>0.36363636363636398</v>
      </c>
      <c r="C676" s="4">
        <v>1.5151515151515201E-2</v>
      </c>
      <c r="D676" s="4">
        <v>0.42307692307692302</v>
      </c>
      <c r="E676" s="4">
        <v>7.1100053697203805E-2</v>
      </c>
    </row>
    <row r="677" spans="1:5" x14ac:dyDescent="0.3">
      <c r="A677" t="s">
        <v>686</v>
      </c>
      <c r="B677" s="4">
        <v>0.36363636363636398</v>
      </c>
      <c r="C677" s="4">
        <v>2.7272727272727299E-2</v>
      </c>
      <c r="D677" s="4">
        <v>0.42307692307692302</v>
      </c>
      <c r="E677" s="4">
        <v>7.0884861607584296E-2</v>
      </c>
    </row>
    <row r="678" spans="1:5" x14ac:dyDescent="0.3">
      <c r="A678" t="s">
        <v>810</v>
      </c>
      <c r="B678" s="4">
        <v>1.3333333333333333</v>
      </c>
      <c r="C678" s="4">
        <v>0.21666666666666667</v>
      </c>
      <c r="D678" s="4">
        <v>0.27883555183591052</v>
      </c>
      <c r="E678" s="4">
        <v>0.63092962098974048</v>
      </c>
    </row>
    <row r="679" spans="1:5" x14ac:dyDescent="0.3">
      <c r="A679" t="s">
        <v>687</v>
      </c>
      <c r="B679" s="4">
        <v>0.76923076923076905</v>
      </c>
      <c r="C679" s="4">
        <v>0.31709401709401702</v>
      </c>
      <c r="D679" s="4">
        <v>0.5</v>
      </c>
      <c r="E679" s="4">
        <v>4.5984114858239299E-2</v>
      </c>
    </row>
    <row r="680" spans="1:5" x14ac:dyDescent="0.3">
      <c r="A680" t="s">
        <v>687</v>
      </c>
      <c r="B680" s="4">
        <v>1.07692307692308</v>
      </c>
      <c r="C680" s="4">
        <v>7.3504273504273507E-2</v>
      </c>
      <c r="D680" s="4">
        <v>0.39393939393939398</v>
      </c>
      <c r="E680" s="4">
        <v>0.307657367464586</v>
      </c>
    </row>
    <row r="681" spans="1:5" x14ac:dyDescent="0.3">
      <c r="A681" t="s">
        <v>687</v>
      </c>
      <c r="B681" s="4">
        <v>0.61538461538461497</v>
      </c>
      <c r="C681" s="4">
        <v>0.17948717948717899</v>
      </c>
      <c r="D681" s="4">
        <v>0.40625</v>
      </c>
      <c r="E681" s="4">
        <v>0.117431747516998</v>
      </c>
    </row>
    <row r="682" spans="1:5" x14ac:dyDescent="0.3">
      <c r="A682" t="s">
        <v>687</v>
      </c>
      <c r="B682" s="4">
        <v>1.3846153846153799</v>
      </c>
      <c r="C682" s="4">
        <v>0.36410256410256397</v>
      </c>
      <c r="D682" s="4">
        <v>0.46428571428571402</v>
      </c>
      <c r="E682" s="4">
        <v>0.97785628605020203</v>
      </c>
    </row>
    <row r="683" spans="1:5" x14ac:dyDescent="0.3">
      <c r="A683" t="s">
        <v>687</v>
      </c>
      <c r="B683" s="4">
        <v>0.61538461538461497</v>
      </c>
      <c r="C683" s="4">
        <v>4.9145299145299103E-2</v>
      </c>
      <c r="D683" s="4">
        <v>0.41935483870967699</v>
      </c>
      <c r="E683" s="4">
        <v>0.121372341707753</v>
      </c>
    </row>
    <row r="684" spans="1:5" x14ac:dyDescent="0.3">
      <c r="A684" t="s">
        <v>687</v>
      </c>
      <c r="B684" s="4">
        <v>0.61538461538461497</v>
      </c>
      <c r="C684" s="4">
        <v>1.7094017094017099E-2</v>
      </c>
      <c r="D684" s="4">
        <v>0.38235294117647101</v>
      </c>
      <c r="E684" s="4">
        <v>0.15095729380255399</v>
      </c>
    </row>
    <row r="685" spans="1:5" x14ac:dyDescent="0.3">
      <c r="A685" t="s">
        <v>687</v>
      </c>
      <c r="B685" s="4">
        <v>1.3846153846153799</v>
      </c>
      <c r="C685" s="4">
        <v>0.29316239316239301</v>
      </c>
      <c r="D685" s="4">
        <v>0.39393939393939398</v>
      </c>
      <c r="E685" s="4">
        <v>1</v>
      </c>
    </row>
    <row r="686" spans="1:5" x14ac:dyDescent="0.3">
      <c r="A686" t="s">
        <v>687</v>
      </c>
      <c r="B686" s="4">
        <v>0.30769230769230799</v>
      </c>
      <c r="C686" s="4">
        <v>0</v>
      </c>
      <c r="D686" s="4">
        <v>0.236363636363636</v>
      </c>
      <c r="E686" s="4">
        <v>9.8557499703066098E-2</v>
      </c>
    </row>
    <row r="687" spans="1:5" x14ac:dyDescent="0.3">
      <c r="A687" t="s">
        <v>687</v>
      </c>
      <c r="B687" s="4">
        <v>0.30769230769230799</v>
      </c>
      <c r="C687" s="4">
        <v>0.15384615384615399</v>
      </c>
      <c r="D687" s="4">
        <v>0.30232558139534899</v>
      </c>
      <c r="E687" s="4">
        <v>3.56663310923978E-2</v>
      </c>
    </row>
    <row r="688" spans="1:5" x14ac:dyDescent="0.3">
      <c r="A688" t="s">
        <v>687</v>
      </c>
      <c r="B688" s="4">
        <v>0.46153846153846201</v>
      </c>
      <c r="C688" s="4">
        <v>0</v>
      </c>
      <c r="D688" s="4">
        <v>0.23214285714285701</v>
      </c>
      <c r="E688" s="4">
        <v>0.29685228032116701</v>
      </c>
    </row>
    <row r="689" spans="1:5" x14ac:dyDescent="0.3">
      <c r="A689" t="s">
        <v>687</v>
      </c>
      <c r="B689" s="4">
        <v>0.46153846153846201</v>
      </c>
      <c r="C689" s="4">
        <v>0.17307692307692299</v>
      </c>
      <c r="D689" s="4">
        <v>0.40625</v>
      </c>
      <c r="E689" s="4">
        <v>0.11595612583702899</v>
      </c>
    </row>
    <row r="690" spans="1:5" x14ac:dyDescent="0.3">
      <c r="A690" t="s">
        <v>687</v>
      </c>
      <c r="B690" s="4">
        <v>0.15384615384615399</v>
      </c>
      <c r="C690" s="4">
        <v>0</v>
      </c>
      <c r="D690" s="4">
        <v>0.32500000000000001</v>
      </c>
      <c r="E690" s="4">
        <v>3.1747583598014599E-2</v>
      </c>
    </row>
    <row r="691" spans="1:5" x14ac:dyDescent="0.3">
      <c r="A691" t="s">
        <v>687</v>
      </c>
      <c r="B691" s="4">
        <v>0.46153846153846201</v>
      </c>
      <c r="C691" s="4">
        <v>1.4957264957265E-2</v>
      </c>
      <c r="D691" s="4">
        <v>0.38235294117647101</v>
      </c>
      <c r="E691" s="4">
        <v>1.15421426600784E-2</v>
      </c>
    </row>
    <row r="692" spans="1:5" x14ac:dyDescent="0.3">
      <c r="A692" t="s">
        <v>687</v>
      </c>
      <c r="B692" s="4">
        <v>0.30769230769230799</v>
      </c>
      <c r="C692" s="4">
        <v>0</v>
      </c>
      <c r="D692" s="4">
        <v>0.35135135135135098</v>
      </c>
      <c r="E692" s="4">
        <v>1.8676769743135599E-3</v>
      </c>
    </row>
    <row r="693" spans="1:5" x14ac:dyDescent="0.3">
      <c r="A693" t="s">
        <v>811</v>
      </c>
      <c r="B693" s="4">
        <v>0.83333333333333337</v>
      </c>
      <c r="C693" s="4">
        <v>0.17460317460317468</v>
      </c>
      <c r="D693" s="4">
        <v>0.34467604463790574</v>
      </c>
      <c r="E693" s="4">
        <v>0.31723472434353123</v>
      </c>
    </row>
    <row r="694" spans="1:5" x14ac:dyDescent="0.3">
      <c r="A694" t="s">
        <v>688</v>
      </c>
      <c r="B694" s="4">
        <v>1.8181818181818199</v>
      </c>
      <c r="C694" s="4">
        <v>0.28787878787878801</v>
      </c>
      <c r="D694" s="4">
        <v>0.52380952380952395</v>
      </c>
      <c r="E694" s="4">
        <v>0.90701574679323904</v>
      </c>
    </row>
    <row r="695" spans="1:5" x14ac:dyDescent="0.3">
      <c r="A695" t="s">
        <v>688</v>
      </c>
      <c r="B695" s="4">
        <v>0.54545454545454497</v>
      </c>
      <c r="C695" s="4">
        <v>0</v>
      </c>
      <c r="D695" s="4">
        <v>0.34375</v>
      </c>
      <c r="E695" s="4">
        <v>0.27813151364816802</v>
      </c>
    </row>
    <row r="696" spans="1:5" x14ac:dyDescent="0.3">
      <c r="A696" t="s">
        <v>688</v>
      </c>
      <c r="B696" s="4">
        <v>1.4545454545454499</v>
      </c>
      <c r="C696" s="4">
        <v>0.11363636363636399</v>
      </c>
      <c r="D696" s="4">
        <v>0.42307692307692302</v>
      </c>
      <c r="E696" s="4">
        <v>1</v>
      </c>
    </row>
    <row r="697" spans="1:5" x14ac:dyDescent="0.3">
      <c r="A697" t="s">
        <v>688</v>
      </c>
      <c r="B697" s="4">
        <v>0.72727272727272696</v>
      </c>
      <c r="C697" s="4">
        <v>6.5151515151515099E-2</v>
      </c>
      <c r="D697" s="4">
        <v>0.44</v>
      </c>
      <c r="E697" s="4">
        <v>0.18814170662016499</v>
      </c>
    </row>
    <row r="698" spans="1:5" x14ac:dyDescent="0.3">
      <c r="A698" t="s">
        <v>688</v>
      </c>
      <c r="B698" s="4">
        <v>0.72727272727272696</v>
      </c>
      <c r="C698" s="4">
        <v>6.5151515151515099E-2</v>
      </c>
      <c r="D698" s="4">
        <v>0.44</v>
      </c>
      <c r="E698" s="4">
        <v>0.18814170662016499</v>
      </c>
    </row>
    <row r="699" spans="1:5" x14ac:dyDescent="0.3">
      <c r="A699" t="s">
        <v>688</v>
      </c>
      <c r="B699" s="4">
        <v>1.63636363636364</v>
      </c>
      <c r="C699" s="4">
        <v>0.25909090909090898</v>
      </c>
      <c r="D699" s="4">
        <v>0.52380952380952395</v>
      </c>
      <c r="E699" s="4">
        <v>0.92776046395437695</v>
      </c>
    </row>
    <row r="700" spans="1:5" x14ac:dyDescent="0.3">
      <c r="A700" t="s">
        <v>688</v>
      </c>
      <c r="B700" s="4">
        <v>0.72727272727272696</v>
      </c>
      <c r="C700" s="4">
        <v>3.03030303030303E-2</v>
      </c>
      <c r="D700" s="4">
        <v>0.5</v>
      </c>
      <c r="E700" s="4">
        <v>9.9800548210675605E-2</v>
      </c>
    </row>
    <row r="701" spans="1:5" x14ac:dyDescent="0.3">
      <c r="A701" t="s">
        <v>688</v>
      </c>
      <c r="B701" s="4">
        <v>0.72727272727272696</v>
      </c>
      <c r="C701" s="4">
        <v>3.03030303030303E-2</v>
      </c>
      <c r="D701" s="4">
        <v>0.5</v>
      </c>
      <c r="E701" s="4">
        <v>9.9800548210675702E-2</v>
      </c>
    </row>
    <row r="702" spans="1:5" x14ac:dyDescent="0.3">
      <c r="A702" t="s">
        <v>688</v>
      </c>
      <c r="B702" s="4">
        <v>0.72727272727272696</v>
      </c>
      <c r="C702" s="4">
        <v>3.03030303030303E-2</v>
      </c>
      <c r="D702" s="4">
        <v>0.5</v>
      </c>
      <c r="E702" s="4">
        <v>9.9800548210675702E-2</v>
      </c>
    </row>
    <row r="703" spans="1:5" x14ac:dyDescent="0.3">
      <c r="A703" t="s">
        <v>688</v>
      </c>
      <c r="B703" s="4">
        <v>1.0909090909090899</v>
      </c>
      <c r="C703" s="4">
        <v>6.0606060606060597E-3</v>
      </c>
      <c r="D703" s="4">
        <v>0.35483870967741898</v>
      </c>
      <c r="E703" s="4">
        <v>0.55186232296880899</v>
      </c>
    </row>
    <row r="704" spans="1:5" x14ac:dyDescent="0.3">
      <c r="A704" t="s">
        <v>688</v>
      </c>
      <c r="B704" s="4">
        <v>0.36363636363636398</v>
      </c>
      <c r="C704" s="4">
        <v>0</v>
      </c>
      <c r="D704" s="4">
        <v>0.29729729729729698</v>
      </c>
      <c r="E704" s="4">
        <v>0.189140480916241</v>
      </c>
    </row>
    <row r="705" spans="1:5" x14ac:dyDescent="0.3">
      <c r="A705" t="s">
        <v>688</v>
      </c>
      <c r="B705" s="4">
        <v>0.72727272727272696</v>
      </c>
      <c r="C705" s="4">
        <v>7.2727272727272696E-2</v>
      </c>
      <c r="D705" s="4">
        <v>0.42307692307692302</v>
      </c>
      <c r="E705" s="4">
        <v>0.48725706686535503</v>
      </c>
    </row>
    <row r="706" spans="1:5" x14ac:dyDescent="0.3">
      <c r="A706" t="s">
        <v>812</v>
      </c>
      <c r="B706" s="4">
        <v>0.85714285714285665</v>
      </c>
      <c r="C706" s="4">
        <v>0.20238095238095224</v>
      </c>
      <c r="D706" s="4">
        <v>0.27333333333333326</v>
      </c>
      <c r="E706" s="4">
        <v>0.37289156746819729</v>
      </c>
    </row>
    <row r="707" spans="1:5" x14ac:dyDescent="0.3">
      <c r="A707" t="s">
        <v>689</v>
      </c>
      <c r="B707" s="4">
        <v>0.33333333333333298</v>
      </c>
      <c r="C707" s="4">
        <v>0</v>
      </c>
      <c r="D707" s="4">
        <v>0.42857142857142899</v>
      </c>
      <c r="E707" s="4">
        <v>5.5872170514744898E-2</v>
      </c>
    </row>
    <row r="708" spans="1:5" x14ac:dyDescent="0.3">
      <c r="A708" t="s">
        <v>689</v>
      </c>
      <c r="B708" s="4">
        <v>2</v>
      </c>
      <c r="C708" s="4">
        <v>0.8</v>
      </c>
      <c r="D708" s="4">
        <v>0.66666666666666696</v>
      </c>
      <c r="E708" s="4">
        <v>0.95046662253583902</v>
      </c>
    </row>
    <row r="709" spans="1:5" x14ac:dyDescent="0.3">
      <c r="A709" t="s">
        <v>689</v>
      </c>
      <c r="B709" s="4">
        <v>1.3333333333333299</v>
      </c>
      <c r="C709" s="4">
        <v>0</v>
      </c>
      <c r="D709" s="4">
        <v>0.42857142857142899</v>
      </c>
      <c r="E709" s="4">
        <v>1</v>
      </c>
    </row>
    <row r="710" spans="1:5" x14ac:dyDescent="0.3">
      <c r="A710" t="s">
        <v>689</v>
      </c>
      <c r="B710" s="4">
        <v>0.66666666666666696</v>
      </c>
      <c r="C710" s="4">
        <v>0</v>
      </c>
      <c r="D710" s="4">
        <v>0.42857142857142899</v>
      </c>
      <c r="E710" s="4">
        <v>0.40857579538698902</v>
      </c>
    </row>
    <row r="711" spans="1:5" x14ac:dyDescent="0.3">
      <c r="A711" t="s">
        <v>689</v>
      </c>
      <c r="B711" s="4">
        <v>0.33333333333333298</v>
      </c>
      <c r="C711" s="4">
        <v>0</v>
      </c>
      <c r="D711" s="4">
        <v>0.31578947368421101</v>
      </c>
      <c r="E711" s="4">
        <v>0.11174434102949</v>
      </c>
    </row>
    <row r="712" spans="1:5" x14ac:dyDescent="0.3">
      <c r="A712" t="s">
        <v>689</v>
      </c>
      <c r="B712" s="4">
        <v>1</v>
      </c>
      <c r="C712" s="4">
        <v>0</v>
      </c>
      <c r="D712" s="4">
        <v>0.42857142857142899</v>
      </c>
      <c r="E712" s="4">
        <v>0.17788289947755201</v>
      </c>
    </row>
    <row r="713" spans="1:5" x14ac:dyDescent="0.3">
      <c r="A713" t="s">
        <v>689</v>
      </c>
      <c r="B713" s="4">
        <v>1</v>
      </c>
      <c r="C713" s="4">
        <v>0.4</v>
      </c>
      <c r="D713" s="4">
        <v>0.6</v>
      </c>
      <c r="E713" s="4">
        <v>0.125112765234872</v>
      </c>
    </row>
    <row r="714" spans="1:5" x14ac:dyDescent="0.3">
      <c r="A714" t="s">
        <v>813</v>
      </c>
      <c r="B714" s="4">
        <v>0.93333333333333324</v>
      </c>
      <c r="C714" s="4">
        <v>0.21666666666666667</v>
      </c>
      <c r="D714" s="4">
        <v>0.48281348281348296</v>
      </c>
      <c r="E714" s="4">
        <v>0.44048927684736577</v>
      </c>
    </row>
    <row r="715" spans="1:5" x14ac:dyDescent="0.3">
      <c r="A715" t="s">
        <v>690</v>
      </c>
      <c r="B715" s="4">
        <v>0.54545454545454497</v>
      </c>
      <c r="C715" s="4">
        <v>7.1212121212121199E-2</v>
      </c>
      <c r="D715" s="4">
        <v>0.28205128205128199</v>
      </c>
      <c r="E715" s="4">
        <v>1.9644788420148902E-2</v>
      </c>
    </row>
    <row r="716" spans="1:5" x14ac:dyDescent="0.3">
      <c r="A716" t="s">
        <v>690</v>
      </c>
      <c r="B716" s="4">
        <v>2</v>
      </c>
      <c r="C716" s="4">
        <v>0.123333333333333</v>
      </c>
      <c r="D716" s="4">
        <v>0.33333333333333298</v>
      </c>
      <c r="E716" s="4">
        <v>1</v>
      </c>
    </row>
    <row r="717" spans="1:5" x14ac:dyDescent="0.3">
      <c r="A717" t="s">
        <v>690</v>
      </c>
      <c r="B717" s="4">
        <v>1.8181818181818199</v>
      </c>
      <c r="C717" s="4">
        <v>4.4545454545454499E-2</v>
      </c>
      <c r="D717" s="4">
        <v>0.30555555555555602</v>
      </c>
      <c r="E717" s="4">
        <v>0.82867463053518398</v>
      </c>
    </row>
    <row r="718" spans="1:5" x14ac:dyDescent="0.3">
      <c r="A718" t="s">
        <v>690</v>
      </c>
      <c r="B718" s="4">
        <v>1.27272727272727</v>
      </c>
      <c r="C718" s="4">
        <v>1.6969696969696999E-2</v>
      </c>
      <c r="D718" s="4">
        <v>0.26829268292682901</v>
      </c>
      <c r="E718" s="4">
        <v>0.169660753669754</v>
      </c>
    </row>
    <row r="719" spans="1:5" x14ac:dyDescent="0.3">
      <c r="A719" t="s">
        <v>690</v>
      </c>
      <c r="B719" s="4">
        <v>1.0909090909090899</v>
      </c>
      <c r="C719" s="4">
        <v>0.18484848484848501</v>
      </c>
      <c r="D719" s="4">
        <v>0.35483870967741898</v>
      </c>
      <c r="E719" s="4">
        <v>9.6795780028945802E-2</v>
      </c>
    </row>
    <row r="720" spans="1:5" x14ac:dyDescent="0.3">
      <c r="A720" t="s">
        <v>690</v>
      </c>
      <c r="B720" s="4">
        <v>1.4545454545454499</v>
      </c>
      <c r="C720" s="4">
        <v>1.8181818181818198E-2</v>
      </c>
      <c r="D720" s="4">
        <v>0.21153846153846201</v>
      </c>
      <c r="E720" s="4">
        <v>0.73965160026573396</v>
      </c>
    </row>
    <row r="721" spans="1:5" x14ac:dyDescent="0.3">
      <c r="A721" t="s">
        <v>690</v>
      </c>
      <c r="B721" s="4">
        <v>0.54545454545454497</v>
      </c>
      <c r="C721" s="4">
        <v>4.9696969696969698E-2</v>
      </c>
      <c r="D721" s="4">
        <v>0.26190476190476197</v>
      </c>
      <c r="E721" s="4">
        <v>6.3562425929819699E-2</v>
      </c>
    </row>
    <row r="722" spans="1:5" x14ac:dyDescent="0.3">
      <c r="A722" t="s">
        <v>690</v>
      </c>
      <c r="B722" s="4">
        <v>1.8181818181818199</v>
      </c>
      <c r="C722" s="4">
        <v>0.36727272727272697</v>
      </c>
      <c r="D722" s="4">
        <v>0.407407407407407</v>
      </c>
      <c r="E722" s="4">
        <v>0.767718674805701</v>
      </c>
    </row>
    <row r="723" spans="1:5" x14ac:dyDescent="0.3">
      <c r="A723" t="s">
        <v>690</v>
      </c>
      <c r="B723" s="4">
        <v>0.54545454545454497</v>
      </c>
      <c r="C723" s="4">
        <v>0.147878787878788</v>
      </c>
      <c r="D723" s="4">
        <v>0.35483870967741898</v>
      </c>
      <c r="E723" s="4">
        <v>2.3526608856837699E-2</v>
      </c>
    </row>
    <row r="724" spans="1:5" x14ac:dyDescent="0.3">
      <c r="A724" t="s">
        <v>690</v>
      </c>
      <c r="B724" s="4">
        <v>0.90909090909090895</v>
      </c>
      <c r="C724" s="4">
        <v>0</v>
      </c>
      <c r="D724" s="4">
        <v>0.19642857142857101</v>
      </c>
      <c r="E724" s="4">
        <v>0.19478451278609099</v>
      </c>
    </row>
    <row r="725" spans="1:5" x14ac:dyDescent="0.3">
      <c r="A725" t="s">
        <v>690</v>
      </c>
      <c r="B725" s="4">
        <v>1.4545454545454499</v>
      </c>
      <c r="C725" s="4">
        <v>0.12121212121212099</v>
      </c>
      <c r="D725" s="4">
        <v>0.26829268292682901</v>
      </c>
      <c r="E725" s="4">
        <v>0.59585351553792598</v>
      </c>
    </row>
    <row r="726" spans="1:5" x14ac:dyDescent="0.3">
      <c r="A726" t="s">
        <v>690</v>
      </c>
      <c r="B726" s="4">
        <v>0.72727272727272696</v>
      </c>
      <c r="C726" s="4">
        <v>9.6666666666666706E-2</v>
      </c>
      <c r="D726" s="4">
        <v>0.35483870967741898</v>
      </c>
      <c r="E726" s="4">
        <v>5.47418509489166E-2</v>
      </c>
    </row>
    <row r="727" spans="1:5" x14ac:dyDescent="0.3">
      <c r="A727" t="s">
        <v>814</v>
      </c>
      <c r="B727" s="4">
        <v>1.571428571428571</v>
      </c>
      <c r="C727" s="4">
        <v>0.19246031746031744</v>
      </c>
      <c r="D727" s="4">
        <v>0.23223824786324773</v>
      </c>
      <c r="E727" s="4">
        <v>0.52733271186621111</v>
      </c>
    </row>
    <row r="728" spans="1:5" x14ac:dyDescent="0.3">
      <c r="A728" t="s">
        <v>691</v>
      </c>
      <c r="B728" s="4">
        <v>2</v>
      </c>
      <c r="C728" s="4">
        <v>0</v>
      </c>
      <c r="D728" s="4">
        <v>0.35294117647058798</v>
      </c>
      <c r="E728" s="4">
        <v>1</v>
      </c>
    </row>
    <row r="729" spans="1:5" x14ac:dyDescent="0.3">
      <c r="A729" t="s">
        <v>691</v>
      </c>
      <c r="B729" s="4">
        <v>2</v>
      </c>
      <c r="C729" s="4">
        <v>8.8888888888888906E-2</v>
      </c>
      <c r="D729" s="4">
        <v>0.5</v>
      </c>
      <c r="E729" s="4">
        <v>0.73612366825026698</v>
      </c>
    </row>
    <row r="730" spans="1:5" x14ac:dyDescent="0.3">
      <c r="A730" t="s">
        <v>691</v>
      </c>
      <c r="B730" s="4">
        <v>1</v>
      </c>
      <c r="C730" s="4">
        <v>2.2222222222222199E-2</v>
      </c>
      <c r="D730" s="4">
        <v>0.4</v>
      </c>
      <c r="E730" s="4">
        <v>0.37759047367619297</v>
      </c>
    </row>
    <row r="731" spans="1:5" x14ac:dyDescent="0.3">
      <c r="A731" t="s">
        <v>691</v>
      </c>
      <c r="B731" s="4">
        <v>1.6666666666666701</v>
      </c>
      <c r="C731" s="4">
        <v>0.18888888888888899</v>
      </c>
      <c r="D731" s="4">
        <v>0.5</v>
      </c>
      <c r="E731" s="4">
        <v>0.71520132618169097</v>
      </c>
    </row>
    <row r="732" spans="1:5" x14ac:dyDescent="0.3">
      <c r="A732" t="s">
        <v>691</v>
      </c>
      <c r="B732" s="4">
        <v>1.3333333333333299</v>
      </c>
      <c r="C732" s="4">
        <v>2.2222222222222199E-2</v>
      </c>
      <c r="D732" s="4">
        <v>0.42857142857142899</v>
      </c>
      <c r="E732" s="4">
        <v>0.48751857219051598</v>
      </c>
    </row>
    <row r="733" spans="1:5" x14ac:dyDescent="0.3">
      <c r="A733" t="s">
        <v>691</v>
      </c>
      <c r="B733" s="4">
        <v>1.6666666666666701</v>
      </c>
      <c r="C733" s="4">
        <v>0.133333333333333</v>
      </c>
      <c r="D733" s="4">
        <v>0.5</v>
      </c>
      <c r="E733" s="4">
        <v>0.57125610268656202</v>
      </c>
    </row>
    <row r="734" spans="1:5" x14ac:dyDescent="0.3">
      <c r="A734" t="s">
        <v>691</v>
      </c>
      <c r="B734" s="4">
        <v>1</v>
      </c>
      <c r="C734" s="4">
        <v>0.18888888888888899</v>
      </c>
      <c r="D734" s="4">
        <v>0.5</v>
      </c>
      <c r="E734" s="4">
        <v>0.25472654527077199</v>
      </c>
    </row>
    <row r="735" spans="1:5" x14ac:dyDescent="0.3">
      <c r="A735" t="s">
        <v>815</v>
      </c>
      <c r="B735" s="4">
        <v>1.7333333333333334</v>
      </c>
      <c r="C735" s="4">
        <v>7.4999999999999997E-2</v>
      </c>
      <c r="D735" s="4">
        <v>0.41644385026737996</v>
      </c>
      <c r="E735" s="4">
        <v>0.65630845632510415</v>
      </c>
    </row>
    <row r="736" spans="1:5" x14ac:dyDescent="0.3">
      <c r="A736" t="s">
        <v>692</v>
      </c>
      <c r="B736" s="4">
        <v>1.1428571428571399</v>
      </c>
      <c r="C736" s="4">
        <v>0</v>
      </c>
      <c r="D736" s="4">
        <v>0.25</v>
      </c>
      <c r="E736" s="4">
        <v>0.46911234209456698</v>
      </c>
    </row>
    <row r="737" spans="1:5" x14ac:dyDescent="0.3">
      <c r="A737" t="s">
        <v>692</v>
      </c>
      <c r="B737" s="4">
        <v>1.1428571428571399</v>
      </c>
      <c r="C737" s="4">
        <v>0.30158730158730201</v>
      </c>
      <c r="D737" s="4">
        <v>0.53846153846153799</v>
      </c>
      <c r="E737" s="4">
        <v>0.154739695182432</v>
      </c>
    </row>
    <row r="738" spans="1:5" x14ac:dyDescent="0.3">
      <c r="A738" t="s">
        <v>692</v>
      </c>
      <c r="B738" s="4">
        <v>2</v>
      </c>
      <c r="C738" s="4">
        <v>0.24603174603174599</v>
      </c>
      <c r="D738" s="4">
        <v>0.53846153846153799</v>
      </c>
      <c r="E738" s="4">
        <v>1</v>
      </c>
    </row>
    <row r="739" spans="1:5" x14ac:dyDescent="0.3">
      <c r="A739" t="s">
        <v>692</v>
      </c>
      <c r="B739" s="4">
        <v>1.71428571428571</v>
      </c>
      <c r="C739" s="4">
        <v>0.17460317460317501</v>
      </c>
      <c r="D739" s="4">
        <v>0.5</v>
      </c>
      <c r="E739" s="4">
        <v>0.77254361043187103</v>
      </c>
    </row>
    <row r="740" spans="1:5" x14ac:dyDescent="0.3">
      <c r="A740" t="s">
        <v>692</v>
      </c>
      <c r="B740" s="4">
        <v>1.71428571428571</v>
      </c>
      <c r="C740" s="4">
        <v>0.103174603174603</v>
      </c>
      <c r="D740" s="4">
        <v>0.46666666666666701</v>
      </c>
      <c r="E740" s="4">
        <v>0.94410131340812797</v>
      </c>
    </row>
    <row r="741" spans="1:5" x14ac:dyDescent="0.3">
      <c r="A741" t="s">
        <v>692</v>
      </c>
      <c r="B741" s="4">
        <v>0.85714285714285698</v>
      </c>
      <c r="C741" s="4">
        <v>0</v>
      </c>
      <c r="D741" s="4">
        <v>0.35</v>
      </c>
      <c r="E741" s="4">
        <v>0.20386743323223999</v>
      </c>
    </row>
    <row r="742" spans="1:5" x14ac:dyDescent="0.3">
      <c r="A742" t="s">
        <v>692</v>
      </c>
      <c r="B742" s="4">
        <v>0.57142857142857095</v>
      </c>
      <c r="C742" s="4">
        <v>3.9682539682539701E-2</v>
      </c>
      <c r="D742" s="4">
        <v>0.4375</v>
      </c>
      <c r="E742" s="4">
        <v>6.6509228530345299E-2</v>
      </c>
    </row>
    <row r="743" spans="1:5" x14ac:dyDescent="0.3">
      <c r="A743" t="s">
        <v>692</v>
      </c>
      <c r="B743" s="4">
        <v>0.57142857142857095</v>
      </c>
      <c r="C743" s="4">
        <v>3.9682539682539701E-2</v>
      </c>
      <c r="D743" s="4">
        <v>0.41176470588235298</v>
      </c>
      <c r="E743" s="4">
        <v>7.2946401870531197E-2</v>
      </c>
    </row>
    <row r="744" spans="1:5" x14ac:dyDescent="0.3">
      <c r="A744" t="s">
        <v>816</v>
      </c>
      <c r="B744" s="4">
        <v>1.6</v>
      </c>
      <c r="C744" s="4">
        <v>0.20000000000000018</v>
      </c>
      <c r="D744" s="4">
        <v>0.3999999999999998</v>
      </c>
      <c r="E744" s="4">
        <v>0.60500527552488559</v>
      </c>
    </row>
    <row r="745" spans="1:5" x14ac:dyDescent="0.3">
      <c r="A745" t="s">
        <v>693</v>
      </c>
      <c r="B745" s="4">
        <v>0.66666666666666696</v>
      </c>
      <c r="C745" s="4">
        <v>0</v>
      </c>
      <c r="D745" s="4">
        <v>0.35714285714285698</v>
      </c>
      <c r="E745" s="4">
        <v>0.56185803964949699</v>
      </c>
    </row>
    <row r="746" spans="1:5" x14ac:dyDescent="0.3">
      <c r="A746" t="s">
        <v>693</v>
      </c>
      <c r="B746" s="4">
        <v>0.93333333333333302</v>
      </c>
      <c r="C746" s="4">
        <v>0</v>
      </c>
      <c r="D746" s="4">
        <v>0.33333333333333298</v>
      </c>
      <c r="E746" s="4">
        <v>0.33952735952873497</v>
      </c>
    </row>
    <row r="747" spans="1:5" x14ac:dyDescent="0.3">
      <c r="A747" t="s">
        <v>693</v>
      </c>
      <c r="B747" s="4">
        <v>1.7333333333333301</v>
      </c>
      <c r="C747" s="4">
        <v>0.13809523809523799</v>
      </c>
      <c r="D747" s="4">
        <v>0.3125</v>
      </c>
      <c r="E747" s="4">
        <v>1</v>
      </c>
    </row>
    <row r="748" spans="1:5" x14ac:dyDescent="0.3">
      <c r="A748" t="s">
        <v>693</v>
      </c>
      <c r="B748" s="4">
        <v>0.8</v>
      </c>
      <c r="C748" s="4">
        <v>3.0952380952380901E-2</v>
      </c>
      <c r="D748" s="4">
        <v>0.38461538461538503</v>
      </c>
      <c r="E748" s="4">
        <v>0.26871723001571901</v>
      </c>
    </row>
    <row r="749" spans="1:5" x14ac:dyDescent="0.3">
      <c r="A749" t="s">
        <v>693</v>
      </c>
      <c r="B749" s="4">
        <v>1.06666666666667</v>
      </c>
      <c r="C749" s="4">
        <v>0.17857142857142899</v>
      </c>
      <c r="D749" s="4">
        <v>0.441176470588235</v>
      </c>
      <c r="E749" s="4">
        <v>0.288870519284956</v>
      </c>
    </row>
    <row r="750" spans="1:5" x14ac:dyDescent="0.3">
      <c r="A750" t="s">
        <v>693</v>
      </c>
      <c r="B750" s="4">
        <v>1.4666666666666699</v>
      </c>
      <c r="C750" s="4">
        <v>0.36111111111111099</v>
      </c>
      <c r="D750" s="4">
        <v>0.483870967741935</v>
      </c>
      <c r="E750" s="4">
        <v>0.61658043982329103</v>
      </c>
    </row>
    <row r="751" spans="1:5" x14ac:dyDescent="0.3">
      <c r="A751" t="s">
        <v>693</v>
      </c>
      <c r="B751" s="4">
        <v>0.133333333333333</v>
      </c>
      <c r="C751" s="4">
        <v>0</v>
      </c>
      <c r="D751" s="4">
        <v>0.33333333333333298</v>
      </c>
      <c r="E751" s="4">
        <v>1.78600286283928E-2</v>
      </c>
    </row>
    <row r="752" spans="1:5" x14ac:dyDescent="0.3">
      <c r="A752" t="s">
        <v>693</v>
      </c>
      <c r="B752" s="4">
        <v>0.53333333333333299</v>
      </c>
      <c r="C752" s="4">
        <v>9.1269841269841306E-2</v>
      </c>
      <c r="D752" s="4">
        <v>0.394736842105263</v>
      </c>
      <c r="E752" s="4">
        <v>0.110755589471654</v>
      </c>
    </row>
    <row r="753" spans="1:5" x14ac:dyDescent="0.3">
      <c r="A753" t="s">
        <v>693</v>
      </c>
      <c r="B753" s="4">
        <v>0.53333333333333299</v>
      </c>
      <c r="C753" s="4">
        <v>1.26984126984127E-2</v>
      </c>
      <c r="D753" s="4">
        <v>0.36585365853658502</v>
      </c>
      <c r="E753" s="4">
        <v>0.218216955402699</v>
      </c>
    </row>
    <row r="754" spans="1:5" x14ac:dyDescent="0.3">
      <c r="A754" t="s">
        <v>693</v>
      </c>
      <c r="B754" s="4">
        <v>0.93333333333333302</v>
      </c>
      <c r="C754" s="4">
        <v>0.12380952380952399</v>
      </c>
      <c r="D754" s="4">
        <v>0.394736842105263</v>
      </c>
      <c r="E754" s="4">
        <v>0.37443893984781501</v>
      </c>
    </row>
    <row r="755" spans="1:5" x14ac:dyDescent="0.3">
      <c r="A755" t="s">
        <v>693</v>
      </c>
      <c r="B755" s="4">
        <v>0.133333333333333</v>
      </c>
      <c r="C755" s="4">
        <v>0</v>
      </c>
      <c r="D755" s="4">
        <v>0.241935483870968</v>
      </c>
      <c r="E755" s="4">
        <v>2.8966258860743999E-2</v>
      </c>
    </row>
    <row r="756" spans="1:5" x14ac:dyDescent="0.3">
      <c r="A756" t="s">
        <v>693</v>
      </c>
      <c r="B756" s="4">
        <v>0.266666666666667</v>
      </c>
      <c r="C756" s="4">
        <v>0</v>
      </c>
      <c r="D756" s="4">
        <v>0.35714285714285698</v>
      </c>
      <c r="E756" s="4">
        <v>3.2474276193730799E-2</v>
      </c>
    </row>
    <row r="757" spans="1:5" x14ac:dyDescent="0.3">
      <c r="A757" t="s">
        <v>693</v>
      </c>
      <c r="B757" s="4">
        <v>0.93333333333333302</v>
      </c>
      <c r="C757" s="4">
        <v>0.26190476190476197</v>
      </c>
      <c r="D757" s="4">
        <v>0.5</v>
      </c>
      <c r="E757" s="4">
        <v>0.37222914174789701</v>
      </c>
    </row>
    <row r="758" spans="1:5" x14ac:dyDescent="0.3">
      <c r="A758" t="s">
        <v>693</v>
      </c>
      <c r="B758" s="4">
        <v>0.4</v>
      </c>
      <c r="C758" s="4">
        <v>5.2380952380952403E-2</v>
      </c>
      <c r="D758" s="4">
        <v>0.35714285714285698</v>
      </c>
      <c r="E758" s="4">
        <v>9.0342784331426507E-2</v>
      </c>
    </row>
    <row r="759" spans="1:5" x14ac:dyDescent="0.3">
      <c r="A759" t="s">
        <v>693</v>
      </c>
      <c r="B759" s="4">
        <v>0.66666666666666696</v>
      </c>
      <c r="C759" s="4">
        <v>4.7619047619047597E-3</v>
      </c>
      <c r="D759" s="4">
        <v>0.375</v>
      </c>
      <c r="E759" s="4">
        <v>0.195897191130913</v>
      </c>
    </row>
    <row r="760" spans="1:5" x14ac:dyDescent="0.3">
      <c r="A760" t="s">
        <v>693</v>
      </c>
      <c r="B760" s="4">
        <v>0.266666666666667</v>
      </c>
      <c r="C760" s="4">
        <v>6.19047619047619E-2</v>
      </c>
      <c r="D760" s="4">
        <v>0.36585365853658502</v>
      </c>
      <c r="E760" s="4">
        <v>7.5792546349880696E-2</v>
      </c>
    </row>
    <row r="761" spans="1:5" x14ac:dyDescent="0.3">
      <c r="A761" t="s">
        <v>817</v>
      </c>
      <c r="B761" s="4">
        <v>0.66666666666666663</v>
      </c>
      <c r="C761" s="4">
        <v>0.10819735819735819</v>
      </c>
      <c r="D761" s="4">
        <v>0.358852442256686</v>
      </c>
      <c r="E761" s="4">
        <v>0.30075783346052398</v>
      </c>
    </row>
    <row r="762" spans="1:5" x14ac:dyDescent="0.3">
      <c r="A762" t="s">
        <v>694</v>
      </c>
      <c r="B762" s="4">
        <v>2</v>
      </c>
      <c r="C762" s="4">
        <v>0</v>
      </c>
      <c r="D762" s="4">
        <v>0.33333333333333298</v>
      </c>
      <c r="E762" s="4">
        <v>0</v>
      </c>
    </row>
    <row r="763" spans="1:5" x14ac:dyDescent="0.3">
      <c r="A763" t="s">
        <v>694</v>
      </c>
      <c r="B763" s="4">
        <v>2</v>
      </c>
      <c r="C763" s="4">
        <v>0</v>
      </c>
      <c r="D763" s="4">
        <v>0.33333333333333298</v>
      </c>
      <c r="E763" s="4">
        <v>0</v>
      </c>
    </row>
    <row r="764" spans="1:5" x14ac:dyDescent="0.3">
      <c r="A764" t="s">
        <v>818</v>
      </c>
      <c r="B764" s="4">
        <v>0</v>
      </c>
      <c r="C764" s="4">
        <v>0</v>
      </c>
      <c r="D764" s="4">
        <v>0</v>
      </c>
      <c r="E764" s="4">
        <v>0</v>
      </c>
    </row>
    <row r="765" spans="1:5" x14ac:dyDescent="0.3">
      <c r="A765" t="s">
        <v>695</v>
      </c>
      <c r="B765" s="4">
        <v>1.1111111111111101</v>
      </c>
      <c r="C765" s="4">
        <v>2.3148148148148098E-2</v>
      </c>
      <c r="D765" s="4">
        <v>0.29032258064516098</v>
      </c>
      <c r="E765" s="4">
        <v>0.43068054818111901</v>
      </c>
    </row>
    <row r="766" spans="1:5" x14ac:dyDescent="0.3">
      <c r="A766" t="s">
        <v>695</v>
      </c>
      <c r="B766" s="4">
        <v>1.3333333333333299</v>
      </c>
      <c r="C766" s="4">
        <v>0.17592592592592601</v>
      </c>
      <c r="D766" s="4">
        <v>0.36</v>
      </c>
      <c r="E766" s="4">
        <v>0.56692582363208499</v>
      </c>
    </row>
    <row r="767" spans="1:5" x14ac:dyDescent="0.3">
      <c r="A767" t="s">
        <v>695</v>
      </c>
      <c r="B767" s="4">
        <v>0.88888888888888895</v>
      </c>
      <c r="C767" s="4">
        <v>0.38425925925925902</v>
      </c>
      <c r="D767" s="4">
        <v>0.40909090909090901</v>
      </c>
      <c r="E767" s="4">
        <v>0.46434536158532602</v>
      </c>
    </row>
    <row r="768" spans="1:5" x14ac:dyDescent="0.3">
      <c r="A768" t="s">
        <v>695</v>
      </c>
      <c r="B768" s="4">
        <v>0.22222222222222199</v>
      </c>
      <c r="C768" s="4">
        <v>0</v>
      </c>
      <c r="D768" s="4">
        <v>0.19565217391304299</v>
      </c>
      <c r="E768" s="4">
        <v>6.6744869146789995E-2</v>
      </c>
    </row>
    <row r="769" spans="1:5" x14ac:dyDescent="0.3">
      <c r="A769" t="s">
        <v>695</v>
      </c>
      <c r="B769" s="4">
        <v>1.7777777777777799</v>
      </c>
      <c r="C769" s="4">
        <v>7.8703703703703706E-2</v>
      </c>
      <c r="D769" s="4">
        <v>0.33333333333333298</v>
      </c>
      <c r="E769" s="4">
        <v>1</v>
      </c>
    </row>
    <row r="770" spans="1:5" x14ac:dyDescent="0.3">
      <c r="A770" t="s">
        <v>695</v>
      </c>
      <c r="B770" s="4">
        <v>1.7777777777777799</v>
      </c>
      <c r="C770" s="4">
        <v>0.37962962962962998</v>
      </c>
      <c r="D770" s="4">
        <v>0.42857142857142899</v>
      </c>
      <c r="E770" s="4">
        <v>0.92421888761077198</v>
      </c>
    </row>
    <row r="771" spans="1:5" x14ac:dyDescent="0.3">
      <c r="A771" t="s">
        <v>695</v>
      </c>
      <c r="B771" s="4">
        <v>1.1111111111111101</v>
      </c>
      <c r="C771" s="4">
        <v>9.2592592592592605E-3</v>
      </c>
      <c r="D771" s="4">
        <v>0.27272727272727298</v>
      </c>
      <c r="E771" s="4">
        <v>0.549371429895948</v>
      </c>
    </row>
    <row r="772" spans="1:5" x14ac:dyDescent="0.3">
      <c r="A772" t="s">
        <v>695</v>
      </c>
      <c r="B772" s="4">
        <v>1.1111111111111101</v>
      </c>
      <c r="C772" s="4">
        <v>9.2592592592592605E-3</v>
      </c>
      <c r="D772" s="4">
        <v>0.31034482758620702</v>
      </c>
      <c r="E772" s="4">
        <v>0.424828101699813</v>
      </c>
    </row>
    <row r="773" spans="1:5" x14ac:dyDescent="0.3">
      <c r="A773" t="s">
        <v>695</v>
      </c>
      <c r="B773" s="4">
        <v>0.66666666666666696</v>
      </c>
      <c r="C773" s="4">
        <v>0.12037037037037</v>
      </c>
      <c r="D773" s="4">
        <v>0.36</v>
      </c>
      <c r="E773" s="4">
        <v>9.9136207924846606E-2</v>
      </c>
    </row>
    <row r="774" spans="1:5" x14ac:dyDescent="0.3">
      <c r="A774" t="s">
        <v>695</v>
      </c>
      <c r="B774" s="4">
        <v>0.66666666666666696</v>
      </c>
      <c r="C774" s="4">
        <v>0</v>
      </c>
      <c r="D774" s="4">
        <v>0.33333333333333298</v>
      </c>
      <c r="E774" s="4">
        <v>0.14485873154617901</v>
      </c>
    </row>
    <row r="775" spans="1:5" x14ac:dyDescent="0.3">
      <c r="A775" t="s">
        <v>819</v>
      </c>
      <c r="B775" s="4">
        <v>1</v>
      </c>
      <c r="C775" s="4">
        <v>0.28333333333333338</v>
      </c>
      <c r="D775" s="4">
        <v>0.14909496300800659</v>
      </c>
      <c r="E775" s="4">
        <v>0.5379341407574274</v>
      </c>
    </row>
    <row r="776" spans="1:5" x14ac:dyDescent="0.3">
      <c r="A776" t="s">
        <v>696</v>
      </c>
      <c r="B776" s="4">
        <v>2</v>
      </c>
      <c r="C776" s="4">
        <v>0.48148148148148101</v>
      </c>
      <c r="D776" s="4">
        <v>0.75</v>
      </c>
      <c r="E776" s="4">
        <v>0.57032589899501696</v>
      </c>
    </row>
    <row r="777" spans="1:5" x14ac:dyDescent="0.3">
      <c r="A777" t="s">
        <v>696</v>
      </c>
      <c r="B777" s="4">
        <v>0.88888888888888895</v>
      </c>
      <c r="C777" s="4">
        <v>5.5555555555555601E-2</v>
      </c>
      <c r="D777" s="4">
        <v>0.5</v>
      </c>
      <c r="E777" s="4">
        <v>0.16023411123229001</v>
      </c>
    </row>
    <row r="778" spans="1:5" x14ac:dyDescent="0.3">
      <c r="A778" t="s">
        <v>696</v>
      </c>
      <c r="B778" s="4">
        <v>0.66666666666666696</v>
      </c>
      <c r="C778" s="4">
        <v>0</v>
      </c>
      <c r="D778" s="4">
        <v>0.45</v>
      </c>
      <c r="E778" s="4">
        <v>0.37261968505017501</v>
      </c>
    </row>
    <row r="779" spans="1:5" x14ac:dyDescent="0.3">
      <c r="A779" t="s">
        <v>696</v>
      </c>
      <c r="B779" s="4">
        <v>1.55555555555556</v>
      </c>
      <c r="C779" s="4">
        <v>0.106481481481481</v>
      </c>
      <c r="D779" s="4">
        <v>0.5625</v>
      </c>
      <c r="E779" s="4">
        <v>0.92057181418633705</v>
      </c>
    </row>
    <row r="780" spans="1:5" x14ac:dyDescent="0.3">
      <c r="A780" t="s">
        <v>696</v>
      </c>
      <c r="B780" s="4">
        <v>0.66666666666666696</v>
      </c>
      <c r="C780" s="4">
        <v>2.3148148148148098E-2</v>
      </c>
      <c r="D780" s="4">
        <v>0.5625</v>
      </c>
      <c r="E780" s="4">
        <v>0.20542778169997999</v>
      </c>
    </row>
    <row r="781" spans="1:5" x14ac:dyDescent="0.3">
      <c r="A781" t="s">
        <v>696</v>
      </c>
      <c r="B781" s="4">
        <v>1.3333333333333299</v>
      </c>
      <c r="C781" s="4">
        <v>0</v>
      </c>
      <c r="D781" s="4">
        <v>0.42857142857142899</v>
      </c>
      <c r="E781" s="4">
        <v>1</v>
      </c>
    </row>
    <row r="782" spans="1:5" x14ac:dyDescent="0.3">
      <c r="A782" t="s">
        <v>696</v>
      </c>
      <c r="B782" s="4">
        <v>0.88888888888888895</v>
      </c>
      <c r="C782" s="4">
        <v>0</v>
      </c>
      <c r="D782" s="4">
        <v>0.52941176470588203</v>
      </c>
      <c r="E782" s="4">
        <v>0.67313589470135304</v>
      </c>
    </row>
    <row r="783" spans="1:5" x14ac:dyDescent="0.3">
      <c r="A783" t="s">
        <v>696</v>
      </c>
      <c r="B783" s="4">
        <v>0.88888888888888895</v>
      </c>
      <c r="C783" s="4">
        <v>0.240740740740741</v>
      </c>
      <c r="D783" s="4">
        <v>0.64285714285714302</v>
      </c>
      <c r="E783" s="4">
        <v>0.186192910447434</v>
      </c>
    </row>
    <row r="784" spans="1:5" x14ac:dyDescent="0.3">
      <c r="A784" t="s">
        <v>696</v>
      </c>
      <c r="B784" s="4">
        <v>0.66666666666666696</v>
      </c>
      <c r="C784" s="4">
        <v>3.7037037037037E-2</v>
      </c>
      <c r="D784" s="4">
        <v>0.5625</v>
      </c>
      <c r="E784" s="4">
        <v>4.5679103881508601E-2</v>
      </c>
    </row>
    <row r="785" spans="1:5" x14ac:dyDescent="0.3">
      <c r="A785" t="s">
        <v>696</v>
      </c>
      <c r="B785" s="4">
        <v>0.66666666666666696</v>
      </c>
      <c r="C785" s="4">
        <v>3.7037037037037E-2</v>
      </c>
      <c r="D785" s="4">
        <v>0.5625</v>
      </c>
      <c r="E785" s="4">
        <v>4.5679103881508601E-2</v>
      </c>
    </row>
    <row r="786" spans="1:5" x14ac:dyDescent="0.3">
      <c r="A786" t="s">
        <v>820</v>
      </c>
      <c r="B786" s="4">
        <v>1.3333333333333333</v>
      </c>
      <c r="C786" s="4">
        <v>0.16666666666666666</v>
      </c>
      <c r="D786" s="4">
        <v>0.44592517618833433</v>
      </c>
      <c r="E786" s="4">
        <v>0.56315669928584211</v>
      </c>
    </row>
    <row r="787" spans="1:5" x14ac:dyDescent="0.3">
      <c r="A787" t="s">
        <v>698</v>
      </c>
      <c r="B787" s="4">
        <v>2</v>
      </c>
      <c r="C787" s="4">
        <v>0.16666666666666699</v>
      </c>
      <c r="D787" s="4">
        <v>0.75</v>
      </c>
      <c r="E787" s="4">
        <v>1</v>
      </c>
    </row>
    <row r="788" spans="1:5" x14ac:dyDescent="0.3">
      <c r="A788" t="s">
        <v>698</v>
      </c>
      <c r="B788" s="4">
        <v>2</v>
      </c>
      <c r="C788" s="4">
        <v>0.16666666666666699</v>
      </c>
      <c r="D788" s="4">
        <v>0.75</v>
      </c>
      <c r="E788" s="4">
        <v>1</v>
      </c>
    </row>
    <row r="789" spans="1:5" x14ac:dyDescent="0.3">
      <c r="A789" t="s">
        <v>698</v>
      </c>
      <c r="B789" s="4">
        <v>1.3333333333333299</v>
      </c>
      <c r="C789" s="4">
        <v>0.16666666666666699</v>
      </c>
      <c r="D789" s="4">
        <v>0.75</v>
      </c>
      <c r="E789" s="4">
        <v>0.140054944640259</v>
      </c>
    </row>
    <row r="790" spans="1:5" x14ac:dyDescent="0.3">
      <c r="A790" t="s">
        <v>698</v>
      </c>
      <c r="B790" s="4">
        <v>1.3333333333333299</v>
      </c>
      <c r="C790" s="4">
        <v>0.16666666666666699</v>
      </c>
      <c r="D790" s="4">
        <v>0.75</v>
      </c>
      <c r="E790" s="4">
        <v>0.140054944640259</v>
      </c>
    </row>
    <row r="791" spans="1:5" x14ac:dyDescent="0.3">
      <c r="A791" t="s">
        <v>824</v>
      </c>
      <c r="B791" s="4">
        <v>1.6666666666666652</v>
      </c>
      <c r="C791" s="4">
        <v>0.16666666666666699</v>
      </c>
      <c r="D791" s="4">
        <v>0.75</v>
      </c>
      <c r="E791" s="4">
        <v>0.57002747232012951</v>
      </c>
    </row>
    <row r="792" spans="1:5" x14ac:dyDescent="0.3">
      <c r="A792" t="s">
        <v>699</v>
      </c>
      <c r="B792" s="4">
        <v>0.33333333333333298</v>
      </c>
      <c r="C792" s="4">
        <v>0</v>
      </c>
      <c r="D792" s="4">
        <v>0.16666666666666699</v>
      </c>
      <c r="E792" s="4">
        <v>0</v>
      </c>
    </row>
    <row r="793" spans="1:5" x14ac:dyDescent="0.3">
      <c r="A793" t="s">
        <v>699</v>
      </c>
      <c r="B793" s="4">
        <v>0.33333333333333298</v>
      </c>
      <c r="C793" s="4">
        <v>0</v>
      </c>
      <c r="D793" s="4">
        <v>0.16666666666666699</v>
      </c>
      <c r="E793" s="4">
        <v>1.20572554635705E-17</v>
      </c>
    </row>
    <row r="794" spans="1:5" x14ac:dyDescent="0.3">
      <c r="A794" t="s">
        <v>699</v>
      </c>
      <c r="B794" s="4">
        <v>1.3333333333333299</v>
      </c>
      <c r="C794" s="4">
        <v>0.1</v>
      </c>
      <c r="D794" s="4">
        <v>0.230769230769231</v>
      </c>
      <c r="E794" s="4">
        <v>1</v>
      </c>
    </row>
    <row r="795" spans="1:5" x14ac:dyDescent="0.3">
      <c r="A795" t="s">
        <v>699</v>
      </c>
      <c r="B795" s="4">
        <v>1.3333333333333299</v>
      </c>
      <c r="C795" s="4">
        <v>0.1</v>
      </c>
      <c r="D795" s="4">
        <v>0.230769230769231</v>
      </c>
      <c r="E795" s="4">
        <v>0.999999999999999</v>
      </c>
    </row>
    <row r="796" spans="1:5" x14ac:dyDescent="0.3">
      <c r="A796" t="s">
        <v>699</v>
      </c>
      <c r="B796" s="4">
        <v>0.66666666666666696</v>
      </c>
      <c r="C796" s="4">
        <v>6.6666666666666693E-2</v>
      </c>
      <c r="D796" s="4">
        <v>0.22222222222222199</v>
      </c>
      <c r="E796" s="4">
        <v>0.11111111111111099</v>
      </c>
    </row>
    <row r="797" spans="1:5" x14ac:dyDescent="0.3">
      <c r="A797" t="s">
        <v>699</v>
      </c>
      <c r="B797" s="4">
        <v>0.66666666666666696</v>
      </c>
      <c r="C797" s="4">
        <v>0</v>
      </c>
      <c r="D797" s="4">
        <v>0.2</v>
      </c>
      <c r="E797" s="4">
        <v>0.22222222222222199</v>
      </c>
    </row>
    <row r="798" spans="1:5" x14ac:dyDescent="0.3">
      <c r="A798" t="s">
        <v>699</v>
      </c>
      <c r="B798" s="4">
        <v>0.66666666666666696</v>
      </c>
      <c r="C798" s="4">
        <v>0</v>
      </c>
      <c r="D798" s="4">
        <v>0.133333333333333</v>
      </c>
      <c r="E798" s="4">
        <v>0.77777777777777701</v>
      </c>
    </row>
    <row r="799" spans="1:5" x14ac:dyDescent="0.3">
      <c r="A799" t="s">
        <v>822</v>
      </c>
      <c r="B799" s="4">
        <v>1.4</v>
      </c>
      <c r="C799" s="4">
        <v>0.13333333333333339</v>
      </c>
      <c r="D799" s="4">
        <v>0.27067824648469802</v>
      </c>
      <c r="E799" s="4">
        <v>0.62222222222222223</v>
      </c>
    </row>
    <row r="800" spans="1:5" x14ac:dyDescent="0.3">
      <c r="A800" t="s">
        <v>700</v>
      </c>
      <c r="B800" s="4">
        <v>0.73684210526315796</v>
      </c>
      <c r="C800" s="4">
        <v>4.5808966861598403E-2</v>
      </c>
      <c r="D800" s="4">
        <v>0.32758620689655199</v>
      </c>
      <c r="E800" s="4">
        <v>0.32233879310279001</v>
      </c>
    </row>
    <row r="801" spans="1:5" x14ac:dyDescent="0.3">
      <c r="A801" t="s">
        <v>700</v>
      </c>
      <c r="B801" s="4">
        <v>0.52631578947368396</v>
      </c>
      <c r="C801" s="4">
        <v>9.3790030632135896E-2</v>
      </c>
      <c r="D801" s="4">
        <v>0.38775510204081598</v>
      </c>
      <c r="E801" s="4">
        <v>0.10046599749393199</v>
      </c>
    </row>
    <row r="802" spans="1:5" x14ac:dyDescent="0.3">
      <c r="A802" t="s">
        <v>700</v>
      </c>
      <c r="B802" s="4">
        <v>0.42105263157894701</v>
      </c>
      <c r="C802" s="4">
        <v>2.01893622946255E-2</v>
      </c>
      <c r="D802" s="4">
        <v>0.30158730158730201</v>
      </c>
      <c r="E802" s="4">
        <v>0.14632959119202699</v>
      </c>
    </row>
    <row r="803" spans="1:5" x14ac:dyDescent="0.3">
      <c r="A803" t="s">
        <v>700</v>
      </c>
      <c r="B803" s="4">
        <v>0.52631578947368396</v>
      </c>
      <c r="C803" s="4">
        <v>2.01893622946255E-2</v>
      </c>
      <c r="D803" s="4">
        <v>0.30158730158730201</v>
      </c>
      <c r="E803" s="4">
        <v>0.17217285201326399</v>
      </c>
    </row>
    <row r="804" spans="1:5" x14ac:dyDescent="0.3">
      <c r="A804" t="s">
        <v>700</v>
      </c>
      <c r="B804" s="4">
        <v>1.26315789473684</v>
      </c>
      <c r="C804" s="4">
        <v>0.47968532442216599</v>
      </c>
      <c r="D804" s="4">
        <v>0.51351351351351304</v>
      </c>
      <c r="E804" s="4">
        <v>0.85299320203933804</v>
      </c>
    </row>
    <row r="805" spans="1:5" x14ac:dyDescent="0.3">
      <c r="A805" t="s">
        <v>700</v>
      </c>
      <c r="B805" s="4">
        <v>1.4736842105263199</v>
      </c>
      <c r="C805" s="4">
        <v>0.26761347813979403</v>
      </c>
      <c r="D805" s="4">
        <v>0.39583333333333298</v>
      </c>
      <c r="E805" s="4">
        <v>1</v>
      </c>
    </row>
    <row r="806" spans="1:5" x14ac:dyDescent="0.3">
      <c r="A806" t="s">
        <v>700</v>
      </c>
      <c r="B806" s="4">
        <v>0.21052631578947401</v>
      </c>
      <c r="C806" s="4">
        <v>0</v>
      </c>
      <c r="D806" s="4">
        <v>0.28787878787878801</v>
      </c>
      <c r="E806" s="4">
        <v>4.5846002110974698E-2</v>
      </c>
    </row>
    <row r="807" spans="1:5" x14ac:dyDescent="0.3">
      <c r="A807" t="s">
        <v>700</v>
      </c>
      <c r="B807" s="4">
        <v>0.42105263157894701</v>
      </c>
      <c r="C807" s="4">
        <v>0</v>
      </c>
      <c r="D807" s="4">
        <v>0.30645161290322598</v>
      </c>
      <c r="E807" s="4">
        <v>0.21476514564517399</v>
      </c>
    </row>
    <row r="808" spans="1:5" x14ac:dyDescent="0.3">
      <c r="A808" t="s">
        <v>700</v>
      </c>
      <c r="B808" s="4">
        <v>1.0526315789473699</v>
      </c>
      <c r="C808" s="4">
        <v>9.8064605959342799E-2</v>
      </c>
      <c r="D808" s="4">
        <v>0.40425531914893598</v>
      </c>
      <c r="E808" s="4">
        <v>0.87593618786227501</v>
      </c>
    </row>
    <row r="809" spans="1:5" x14ac:dyDescent="0.3">
      <c r="A809" t="s">
        <v>700</v>
      </c>
      <c r="B809" s="4">
        <v>0.42105263157894701</v>
      </c>
      <c r="C809" s="4">
        <v>0.21247563352826501</v>
      </c>
      <c r="D809" s="4">
        <v>0.40425531914893598</v>
      </c>
      <c r="E809" s="4">
        <v>4.2727841173527598E-2</v>
      </c>
    </row>
    <row r="810" spans="1:5" x14ac:dyDescent="0.3">
      <c r="A810" t="s">
        <v>700</v>
      </c>
      <c r="B810" s="4">
        <v>0.21052631578947401</v>
      </c>
      <c r="C810" s="4">
        <v>0</v>
      </c>
      <c r="D810" s="4">
        <v>0.234567901234568</v>
      </c>
      <c r="E810" s="4">
        <v>2.13259589999453E-3</v>
      </c>
    </row>
    <row r="811" spans="1:5" x14ac:dyDescent="0.3">
      <c r="A811" t="s">
        <v>700</v>
      </c>
      <c r="B811" s="4">
        <v>0.21052631578947401</v>
      </c>
      <c r="C811" s="4">
        <v>5.2631578947368397E-2</v>
      </c>
      <c r="D811" s="4">
        <v>0.30158730158730201</v>
      </c>
      <c r="E811" s="4">
        <v>1.10522392036191E-3</v>
      </c>
    </row>
    <row r="812" spans="1:5" x14ac:dyDescent="0.3">
      <c r="A812" t="s">
        <v>700</v>
      </c>
      <c r="B812" s="4">
        <v>0.31578947368421101</v>
      </c>
      <c r="C812" s="4">
        <v>0.18357003620161499</v>
      </c>
      <c r="D812" s="4">
        <v>0.44186046511627902</v>
      </c>
      <c r="E812" s="4">
        <v>6.7232471091508594E-2</v>
      </c>
    </row>
    <row r="813" spans="1:5" x14ac:dyDescent="0.3">
      <c r="A813" t="s">
        <v>700</v>
      </c>
      <c r="B813" s="4">
        <v>0.63157894736842102</v>
      </c>
      <c r="C813" s="4">
        <v>8.9612921191868505E-2</v>
      </c>
      <c r="D813" s="4">
        <v>0.40425531914893598</v>
      </c>
      <c r="E813" s="4">
        <v>0.22449094547770199</v>
      </c>
    </row>
    <row r="814" spans="1:5" x14ac:dyDescent="0.3">
      <c r="A814" t="s">
        <v>700</v>
      </c>
      <c r="B814" s="4">
        <v>0.42105263157894701</v>
      </c>
      <c r="C814" s="4">
        <v>0</v>
      </c>
      <c r="D814" s="4">
        <v>0.37254901960784298</v>
      </c>
      <c r="E814" s="4">
        <v>0.20835867330257599</v>
      </c>
    </row>
    <row r="815" spans="1:5" x14ac:dyDescent="0.3">
      <c r="A815" t="s">
        <v>700</v>
      </c>
      <c r="B815" s="4">
        <v>0.52631578947368396</v>
      </c>
      <c r="C815" s="4">
        <v>0.10655806182122</v>
      </c>
      <c r="D815" s="4">
        <v>0.38775510204081598</v>
      </c>
      <c r="E815" s="4">
        <v>0.53041214084031996</v>
      </c>
    </row>
    <row r="816" spans="1:5" x14ac:dyDescent="0.3">
      <c r="A816" t="s">
        <v>700</v>
      </c>
      <c r="B816" s="4">
        <v>0.21052631578947401</v>
      </c>
      <c r="C816" s="4">
        <v>2.9727095516569199E-2</v>
      </c>
      <c r="D816" s="4">
        <v>0.296875</v>
      </c>
      <c r="E816" s="4">
        <v>2.88787528467617E-2</v>
      </c>
    </row>
    <row r="817" spans="1:5" x14ac:dyDescent="0.3">
      <c r="A817" t="s">
        <v>700</v>
      </c>
      <c r="B817" s="4">
        <v>0.21052631578947401</v>
      </c>
      <c r="C817" s="4">
        <v>2.9727095516569199E-2</v>
      </c>
      <c r="D817" s="4">
        <v>0.296875</v>
      </c>
      <c r="E817" s="4">
        <v>2.8242053966789301E-2</v>
      </c>
    </row>
    <row r="818" spans="1:5" x14ac:dyDescent="0.3">
      <c r="A818" t="s">
        <v>700</v>
      </c>
      <c r="B818" s="4">
        <v>0.105263157894737</v>
      </c>
      <c r="C818" s="4">
        <v>0</v>
      </c>
      <c r="D818" s="4">
        <v>0.34545454545454501</v>
      </c>
      <c r="E818" s="4">
        <v>2.1015142791741801E-2</v>
      </c>
    </row>
    <row r="819" spans="1:5" x14ac:dyDescent="0.3">
      <c r="A819" t="s">
        <v>700</v>
      </c>
      <c r="B819" s="4">
        <v>0.21052631578947401</v>
      </c>
      <c r="C819" s="4">
        <v>1.03453077137288E-2</v>
      </c>
      <c r="D819" s="4">
        <v>0.31147540983606598</v>
      </c>
      <c r="E819" s="4">
        <v>1.04166164820301E-2</v>
      </c>
    </row>
    <row r="820" spans="1:5" x14ac:dyDescent="0.3">
      <c r="A820" t="s">
        <v>823</v>
      </c>
      <c r="B820" s="4">
        <v>0.60952380952380969</v>
      </c>
      <c r="C820" s="4">
        <v>0.11904761904761901</v>
      </c>
      <c r="D820" s="4">
        <v>0.36079227241608419</v>
      </c>
      <c r="E820" s="4">
        <v>0.28863957895031611</v>
      </c>
    </row>
    <row r="821" spans="1:5" x14ac:dyDescent="0.3">
      <c r="A821" t="s">
        <v>851</v>
      </c>
      <c r="B821" s="4">
        <v>1.55555555555556</v>
      </c>
      <c r="C821" s="4">
        <v>6.9444444444444406E-2</v>
      </c>
      <c r="D821" s="4">
        <v>0.39130434782608697</v>
      </c>
      <c r="E821" s="4">
        <v>0.68723480271770299</v>
      </c>
    </row>
    <row r="822" spans="1:5" x14ac:dyDescent="0.3">
      <c r="A822" t="s">
        <v>851</v>
      </c>
      <c r="B822" s="4">
        <v>1.55555555555556</v>
      </c>
      <c r="C822" s="4">
        <v>0.33055555555555499</v>
      </c>
      <c r="D822" s="4">
        <v>0.47368421052631599</v>
      </c>
      <c r="E822" s="4">
        <v>0.811734277068903</v>
      </c>
    </row>
    <row r="823" spans="1:5" x14ac:dyDescent="0.3">
      <c r="A823" t="s">
        <v>851</v>
      </c>
      <c r="B823" s="4">
        <v>1.55555555555556</v>
      </c>
      <c r="C823" s="4">
        <v>0.20092592592592601</v>
      </c>
      <c r="D823" s="4">
        <v>0.42857142857142899</v>
      </c>
      <c r="E823" s="4">
        <v>1</v>
      </c>
    </row>
    <row r="824" spans="1:5" x14ac:dyDescent="0.3">
      <c r="A824" t="s">
        <v>851</v>
      </c>
      <c r="B824" s="4">
        <v>2</v>
      </c>
      <c r="C824" s="4">
        <v>9.0740740740740705E-2</v>
      </c>
      <c r="D824" s="4">
        <v>0.39130434782608697</v>
      </c>
      <c r="E824" s="4">
        <v>0.96558739483465805</v>
      </c>
    </row>
    <row r="825" spans="1:5" x14ac:dyDescent="0.3">
      <c r="A825" t="s">
        <v>851</v>
      </c>
      <c r="B825" s="4">
        <v>0.88888888888888895</v>
      </c>
      <c r="C825" s="4">
        <v>4.1666666666666699E-2</v>
      </c>
      <c r="D825" s="4">
        <v>0.36</v>
      </c>
      <c r="E825" s="4">
        <v>0.44119177254382003</v>
      </c>
    </row>
    <row r="826" spans="1:5" x14ac:dyDescent="0.3">
      <c r="A826" t="s">
        <v>851</v>
      </c>
      <c r="B826" s="4">
        <v>0.44444444444444398</v>
      </c>
      <c r="C826" s="4">
        <v>0</v>
      </c>
      <c r="D826" s="4">
        <v>0.25714285714285701</v>
      </c>
      <c r="E826" s="4">
        <v>0.113415250393356</v>
      </c>
    </row>
    <row r="827" spans="1:5" x14ac:dyDescent="0.3">
      <c r="A827" t="s">
        <v>851</v>
      </c>
      <c r="B827" s="4">
        <v>0.88888888888888895</v>
      </c>
      <c r="C827" s="4">
        <v>0.483333333333333</v>
      </c>
      <c r="D827" s="4">
        <v>0.52941176470588203</v>
      </c>
      <c r="E827" s="4">
        <v>9.9953210196523798E-2</v>
      </c>
    </row>
    <row r="828" spans="1:5" x14ac:dyDescent="0.3">
      <c r="A828" t="s">
        <v>851</v>
      </c>
      <c r="B828" s="4">
        <v>1.3333333333333299</v>
      </c>
      <c r="C828" s="4">
        <v>1.94444444444444E-2</v>
      </c>
      <c r="D828" s="4">
        <v>0.29032258064516098</v>
      </c>
      <c r="E828" s="4">
        <v>0.65431990766178705</v>
      </c>
    </row>
    <row r="829" spans="1:5" x14ac:dyDescent="0.3">
      <c r="A829" t="s">
        <v>851</v>
      </c>
      <c r="B829" s="4">
        <v>1.1111111111111101</v>
      </c>
      <c r="C829" s="4">
        <v>0.181018518518518</v>
      </c>
      <c r="D829" s="4">
        <v>0.39130434782608697</v>
      </c>
      <c r="E829" s="4">
        <v>0.38444313996726798</v>
      </c>
    </row>
    <row r="830" spans="1:5" x14ac:dyDescent="0.3">
      <c r="A830" t="s">
        <v>851</v>
      </c>
      <c r="B830" s="4">
        <v>0.66666666666666696</v>
      </c>
      <c r="C830" s="4">
        <v>4.8611111111111098E-2</v>
      </c>
      <c r="D830" s="4">
        <v>0.31034482758620702</v>
      </c>
      <c r="E830" s="4">
        <v>0.16027544071918401</v>
      </c>
    </row>
    <row r="831" spans="1:5" x14ac:dyDescent="0.3">
      <c r="A831" t="s">
        <v>852</v>
      </c>
      <c r="B831" s="4">
        <v>1.2000000000000011</v>
      </c>
      <c r="C831" s="4">
        <v>0.14657407407407394</v>
      </c>
      <c r="D831" s="4">
        <v>0.38233907126561129</v>
      </c>
      <c r="E831" s="4">
        <v>0.53181551961032025</v>
      </c>
    </row>
    <row r="832" spans="1:5" x14ac:dyDescent="0.3">
      <c r="A832" t="s">
        <v>853</v>
      </c>
      <c r="B832" s="4">
        <v>0.77777777777777779</v>
      </c>
      <c r="C832" s="4">
        <v>7.9365079365079305E-2</v>
      </c>
      <c r="D832" s="4">
        <v>0.33326109887513389</v>
      </c>
      <c r="E832" s="4">
        <v>0.31307703384659641</v>
      </c>
    </row>
  </sheetData>
  <pageMargins left="0.7" right="0.7" top="0.78740157499999996" bottom="0.78740157499999996" header="0.3" footer="0.3"/>
  <tableParts count="1">
    <tablePart r:id="rId1"/>
  </tableParts>
  <extLst>
    <ext xmlns:x14="http://schemas.microsoft.com/office/spreadsheetml/2009/9/main" uri="{05C60535-1F16-4fd2-B633-F4F36F0B64E0}">
      <x14:sparklineGroups xmlns:xm="http://schemas.microsoft.com/office/excel/2006/main">
        <x14:sparklineGroup displayEmptyCellsAs="span" xr2:uid="{12AF33AC-8F77-4AC4-ACB2-9C7E76D3BEC7}">
          <x14:colorSeries rgb="FF376092"/>
          <x14:colorNegative rgb="FFD00000"/>
          <x14:colorAxis rgb="FF000000"/>
          <x14:colorMarkers rgb="FFD00000"/>
          <x14:colorFirst rgb="FFD00000"/>
          <x14:colorLast rgb="FFD00000"/>
          <x14:colorHigh rgb="FFD00000"/>
          <x14:colorLow rgb="FFD00000"/>
          <x14:sparklines>
            <x14:sparkline>
              <xm:f>Durchschnitt!B2:B2</xm:f>
              <xm:sqref>C2</xm:sqref>
            </x14:sparkline>
            <x14:sparkline>
              <xm:f>Durchschnitt!B3:B3</xm:f>
              <xm:sqref>C3</xm:sqref>
            </x14:sparkline>
            <x14:sparkline>
              <xm:f>Durchschnitt!B4:B4</xm:f>
              <xm:sqref>C4</xm:sqref>
            </x14:sparkline>
          </x14:sparklines>
        </x14:sparklineGroup>
        <x14:sparklineGroup displayEmptyCellsAs="span" xr2:uid="{5B353F3A-1A90-4707-B5F0-89EFF0E1D883}">
          <x14:colorSeries rgb="FF376092"/>
          <x14:colorNegative rgb="FFD00000"/>
          <x14:colorAxis rgb="FF000000"/>
          <x14:colorMarkers rgb="FFD00000"/>
          <x14:colorFirst rgb="FFD00000"/>
          <x14:colorLast rgb="FFD00000"/>
          <x14:colorHigh rgb="FFD00000"/>
          <x14:colorLow rgb="FFD00000"/>
          <x14:sparklines>
            <x14:sparkline>
              <xm:f>Durchschnitt!B6:B6</xm:f>
              <xm:sqref>C6</xm:sqref>
            </x14:sparkline>
            <x14:sparkline>
              <xm:f>Durchschnitt!B7:B7</xm:f>
              <xm:sqref>C7</xm:sqref>
            </x14:sparkline>
            <x14:sparkline>
              <xm:f>Durchschnitt!B8:B8</xm:f>
              <xm:sqref>C8</xm:sqref>
            </x14:sparkline>
            <x14:sparkline>
              <xm:f>Durchschnitt!B9:B9</xm:f>
              <xm:sqref>C9</xm:sqref>
            </x14:sparkline>
            <x14:sparkline>
              <xm:f>Durchschnitt!B10:B10</xm:f>
              <xm:sqref>C10</xm:sqref>
            </x14:sparkline>
            <x14:sparkline>
              <xm:f>Durchschnitt!B11:B11</xm:f>
              <xm:sqref>C11</xm:sqref>
            </x14:sparkline>
            <x14:sparkline>
              <xm:f>Durchschnitt!B12:B12</xm:f>
              <xm:sqref>C12</xm:sqref>
            </x14:sparkline>
            <x14:sparkline>
              <xm:f>Durchschnitt!B13:B13</xm:f>
              <xm:sqref>C13</xm:sqref>
            </x14:sparkline>
            <x14:sparkline>
              <xm:f>Durchschnitt!B14:B14</xm:f>
              <xm:sqref>C14</xm:sqref>
            </x14:sparkline>
            <x14:sparkline>
              <xm:f>Durchschnitt!B15:B15</xm:f>
              <xm:sqref>C15</xm:sqref>
            </x14:sparkline>
          </x14:sparklines>
        </x14:sparklineGroup>
        <x14:sparklineGroup displayEmptyCellsAs="span" xr2:uid="{FD1C015C-1797-46E1-A76C-0C5FCEEE8448}">
          <x14:colorSeries rgb="FF376092"/>
          <x14:colorNegative rgb="FFD00000"/>
          <x14:colorAxis rgb="FF000000"/>
          <x14:colorMarkers rgb="FFD00000"/>
          <x14:colorFirst rgb="FFD00000"/>
          <x14:colorLast rgb="FFD00000"/>
          <x14:colorHigh rgb="FFD00000"/>
          <x14:colorLow rgb="FFD00000"/>
          <x14:sparklines>
            <x14:sparkline>
              <xm:f>Durchschnitt!B17:B17</xm:f>
              <xm:sqref>C17</xm:sqref>
            </x14:sparkline>
            <x14:sparkline>
              <xm:f>Durchschnitt!B18:B18</xm:f>
              <xm:sqref>C18</xm:sqref>
            </x14:sparkline>
            <x14:sparkline>
              <xm:f>Durchschnitt!B19:B19</xm:f>
              <xm:sqref>C19</xm:sqref>
            </x14:sparkline>
            <x14:sparkline>
              <xm:f>Durchschnitt!B20:B20</xm:f>
              <xm:sqref>C20</xm:sqref>
            </x14:sparkline>
            <x14:sparkline>
              <xm:f>Durchschnitt!B21:B21</xm:f>
              <xm:sqref>C21</xm:sqref>
            </x14:sparkline>
            <x14:sparkline>
              <xm:f>Durchschnitt!B22:B22</xm:f>
              <xm:sqref>C22</xm:sqref>
            </x14:sparkline>
          </x14:sparklines>
        </x14:sparklineGroup>
        <x14:sparklineGroup displayEmptyCellsAs="span" xr2:uid="{AB221B20-B5C7-4342-B90E-9CE4795FB203}">
          <x14:colorSeries rgb="FF376092"/>
          <x14:colorNegative rgb="FFD00000"/>
          <x14:colorAxis rgb="FF000000"/>
          <x14:colorMarkers rgb="FFD00000"/>
          <x14:colorFirst rgb="FFD00000"/>
          <x14:colorLast rgb="FFD00000"/>
          <x14:colorHigh rgb="FFD00000"/>
          <x14:colorLow rgb="FFD00000"/>
          <x14:sparklines>
            <x14:sparkline>
              <xm:f>Durchschnitt!B24:B24</xm:f>
              <xm:sqref>C24</xm:sqref>
            </x14:sparkline>
            <x14:sparkline>
              <xm:f>Durchschnitt!B25:B25</xm:f>
              <xm:sqref>C25</xm:sqref>
            </x14:sparkline>
            <x14:sparkline>
              <xm:f>Durchschnitt!B26:B26</xm:f>
              <xm:sqref>C26</xm:sqref>
            </x14:sparkline>
            <x14:sparkline>
              <xm:f>Durchschnitt!B27:B27</xm:f>
              <xm:sqref>C27</xm:sqref>
            </x14:sparkline>
          </x14:sparklines>
        </x14:sparklineGroup>
        <x14:sparklineGroup displayEmptyCellsAs="span" xr2:uid="{937379A6-F450-45FC-9FC8-7186EBE1C7AA}">
          <x14:colorSeries rgb="FF376092"/>
          <x14:colorNegative rgb="FFD00000"/>
          <x14:colorAxis rgb="FF000000"/>
          <x14:colorMarkers rgb="FFD00000"/>
          <x14:colorFirst rgb="FFD00000"/>
          <x14:colorLast rgb="FFD00000"/>
          <x14:colorHigh rgb="FFD00000"/>
          <x14:colorLow rgb="FFD00000"/>
          <x14:sparklines>
            <x14:sparkline>
              <xm:f>Durchschnitt!B29:B29</xm:f>
              <xm:sqref>C29</xm:sqref>
            </x14:sparkline>
            <x14:sparkline>
              <xm:f>Durchschnitt!B30:B30</xm:f>
              <xm:sqref>C30</xm:sqref>
            </x14:sparkline>
            <x14:sparkline>
              <xm:f>Durchschnitt!B31:B31</xm:f>
              <xm:sqref>C31</xm:sqref>
            </x14:sparkline>
            <x14:sparkline>
              <xm:f>Durchschnitt!B32:B32</xm:f>
              <xm:sqref>C32</xm:sqref>
            </x14:sparkline>
          </x14:sparklines>
        </x14:sparklineGroup>
        <x14:sparklineGroup displayEmptyCellsAs="span" xr2:uid="{C9B1E468-A241-497F-8924-AA2C4B7EB10B}">
          <x14:colorSeries rgb="FF376092"/>
          <x14:colorNegative rgb="FFD00000"/>
          <x14:colorAxis rgb="FF000000"/>
          <x14:colorMarkers rgb="FFD00000"/>
          <x14:colorFirst rgb="FFD00000"/>
          <x14:colorLast rgb="FFD00000"/>
          <x14:colorHigh rgb="FFD00000"/>
          <x14:colorLow rgb="FFD00000"/>
          <x14:sparklines>
            <x14:sparkline>
              <xm:f>Durchschnitt!B34:B34</xm:f>
              <xm:sqref>C34</xm:sqref>
            </x14:sparkline>
            <x14:sparkline>
              <xm:f>Durchschnitt!B35:B35</xm:f>
              <xm:sqref>C35</xm:sqref>
            </x14:sparkline>
            <x14:sparkline>
              <xm:f>Durchschnitt!B36:B36</xm:f>
              <xm:sqref>C36</xm:sqref>
            </x14:sparkline>
            <x14:sparkline>
              <xm:f>Durchschnitt!B37:B37</xm:f>
              <xm:sqref>C37</xm:sqref>
            </x14:sparkline>
            <x14:sparkline>
              <xm:f>Durchschnitt!B38:B38</xm:f>
              <xm:sqref>C38</xm:sqref>
            </x14:sparkline>
            <x14:sparkline>
              <xm:f>Durchschnitt!B39:B39</xm:f>
              <xm:sqref>C39</xm:sqref>
            </x14:sparkline>
            <x14:sparkline>
              <xm:f>Durchschnitt!B40:B40</xm:f>
              <xm:sqref>C40</xm:sqref>
            </x14:sparkline>
          </x14:sparklines>
        </x14:sparklineGroup>
        <x14:sparklineGroup displayEmptyCellsAs="span" xr2:uid="{905C4DAB-0827-467B-9483-9E01BB2D644A}">
          <x14:colorSeries rgb="FF376092"/>
          <x14:colorNegative rgb="FFD00000"/>
          <x14:colorAxis rgb="FF000000"/>
          <x14:colorMarkers rgb="FFD00000"/>
          <x14:colorFirst rgb="FFD00000"/>
          <x14:colorLast rgb="FFD00000"/>
          <x14:colorHigh rgb="FFD00000"/>
          <x14:colorLow rgb="FFD00000"/>
          <x14:sparklines>
            <x14:sparkline>
              <xm:f>Durchschnitt!B42:B42</xm:f>
              <xm:sqref>C42</xm:sqref>
            </x14:sparkline>
            <x14:sparkline>
              <xm:f>Durchschnitt!B43:B43</xm:f>
              <xm:sqref>C43</xm:sqref>
            </x14:sparkline>
            <x14:sparkline>
              <xm:f>Durchschnitt!B44:B44</xm:f>
              <xm:sqref>C44</xm:sqref>
            </x14:sparkline>
            <x14:sparkline>
              <xm:f>Durchschnitt!B45:B45</xm:f>
              <xm:sqref>C45</xm:sqref>
            </x14:sparkline>
            <x14:sparkline>
              <xm:f>Durchschnitt!B46:B46</xm:f>
              <xm:sqref>C46</xm:sqref>
            </x14:sparkline>
            <x14:sparkline>
              <xm:f>Durchschnitt!B47:B47</xm:f>
              <xm:sqref>C47</xm:sqref>
            </x14:sparkline>
            <x14:sparkline>
              <xm:f>Durchschnitt!B48:B48</xm:f>
              <xm:sqref>C48</xm:sqref>
            </x14:sparkline>
          </x14:sparklines>
        </x14:sparklineGroup>
        <x14:sparklineGroup displayEmptyCellsAs="span" xr2:uid="{EC24D9C9-BA3C-488E-A16D-43A5167AF9AF}">
          <x14:colorSeries rgb="FF376092"/>
          <x14:colorNegative rgb="FFD00000"/>
          <x14:colorAxis rgb="FF000000"/>
          <x14:colorMarkers rgb="FFD00000"/>
          <x14:colorFirst rgb="FFD00000"/>
          <x14:colorLast rgb="FFD00000"/>
          <x14:colorHigh rgb="FFD00000"/>
          <x14:colorLow rgb="FFD00000"/>
          <x14:sparklines>
            <x14:sparkline>
              <xm:f>Durchschnitt!B50:B50</xm:f>
              <xm:sqref>C50</xm:sqref>
            </x14:sparkline>
            <x14:sparkline>
              <xm:f>Durchschnitt!B51:B51</xm:f>
              <xm:sqref>C51</xm:sqref>
            </x14:sparkline>
          </x14:sparklines>
        </x14:sparklineGroup>
        <x14:sparklineGroup displayEmptyCellsAs="span" xr2:uid="{7447399C-3B30-4866-8710-2FEEC42BF6DD}">
          <x14:colorSeries rgb="FF376092"/>
          <x14:colorNegative rgb="FFD00000"/>
          <x14:colorAxis rgb="FF000000"/>
          <x14:colorMarkers rgb="FFD00000"/>
          <x14:colorFirst rgb="FFD00000"/>
          <x14:colorLast rgb="FFD00000"/>
          <x14:colorHigh rgb="FFD00000"/>
          <x14:colorLow rgb="FFD00000"/>
          <x14:sparklines>
            <x14:sparkline>
              <xm:f>Durchschnitt!B53:B53</xm:f>
              <xm:sqref>C53</xm:sqref>
            </x14:sparkline>
            <x14:sparkline>
              <xm:f>Durchschnitt!B54:B54</xm:f>
              <xm:sqref>C54</xm:sqref>
            </x14:sparkline>
            <x14:sparkline>
              <xm:f>Durchschnitt!B55:B55</xm:f>
              <xm:sqref>C55</xm:sqref>
            </x14:sparkline>
            <x14:sparkline>
              <xm:f>Durchschnitt!B56:B56</xm:f>
              <xm:sqref>C56</xm:sqref>
            </x14:sparkline>
            <x14:sparkline>
              <xm:f>Durchschnitt!B57:B57</xm:f>
              <xm:sqref>C57</xm:sqref>
            </x14:sparkline>
          </x14:sparklines>
        </x14:sparklineGroup>
        <x14:sparklineGroup displayEmptyCellsAs="span" xr2:uid="{9A00A09B-B268-48DF-AFA9-B69AD726CBFF}">
          <x14:colorSeries rgb="FF376092"/>
          <x14:colorNegative rgb="FFD00000"/>
          <x14:colorAxis rgb="FF000000"/>
          <x14:colorMarkers rgb="FFD00000"/>
          <x14:colorFirst rgb="FFD00000"/>
          <x14:colorLast rgb="FFD00000"/>
          <x14:colorHigh rgb="FFD00000"/>
          <x14:colorLow rgb="FFD00000"/>
          <x14:sparklines>
            <x14:sparkline>
              <xm:f>Durchschnitt!B59:B59</xm:f>
              <xm:sqref>C59</xm:sqref>
            </x14:sparkline>
            <x14:sparkline>
              <xm:f>Durchschnitt!B60:B60</xm:f>
              <xm:sqref>C60</xm:sqref>
            </x14:sparkline>
            <x14:sparkline>
              <xm:f>Durchschnitt!B61:B61</xm:f>
              <xm:sqref>C61</xm:sqref>
            </x14:sparkline>
            <x14:sparkline>
              <xm:f>Durchschnitt!B62:B62</xm:f>
              <xm:sqref>C62</xm:sqref>
            </x14:sparkline>
            <x14:sparkline>
              <xm:f>Durchschnitt!B63:B63</xm:f>
              <xm:sqref>C63</xm:sqref>
            </x14:sparkline>
            <x14:sparkline>
              <xm:f>Durchschnitt!B64:B64</xm:f>
              <xm:sqref>C64</xm:sqref>
            </x14:sparkline>
            <x14:sparkline>
              <xm:f>Durchschnitt!B65:B65</xm:f>
              <xm:sqref>C65</xm:sqref>
            </x14:sparkline>
            <x14:sparkline>
              <xm:f>Durchschnitt!B66:B66</xm:f>
              <xm:sqref>C66</xm:sqref>
            </x14:sparkline>
            <x14:sparkline>
              <xm:f>Durchschnitt!B67:B67</xm:f>
              <xm:sqref>C67</xm:sqref>
            </x14:sparkline>
            <x14:sparkline>
              <xm:f>Durchschnitt!B68:B68</xm:f>
              <xm:sqref>C68</xm:sqref>
            </x14:sparkline>
            <x14:sparkline>
              <xm:f>Durchschnitt!B69:B69</xm:f>
              <xm:sqref>C69</xm:sqref>
            </x14:sparkline>
            <x14:sparkline>
              <xm:f>Durchschnitt!B70:B70</xm:f>
              <xm:sqref>C70</xm:sqref>
            </x14:sparkline>
            <x14:sparkline>
              <xm:f>Durchschnitt!B71:B71</xm:f>
              <xm:sqref>C71</xm:sqref>
            </x14:sparkline>
            <x14:sparkline>
              <xm:f>Durchschnitt!B72:B72</xm:f>
              <xm:sqref>C72</xm:sqref>
            </x14:sparkline>
            <x14:sparkline>
              <xm:f>Durchschnitt!B73:B73</xm:f>
              <xm:sqref>C73</xm:sqref>
            </x14:sparkline>
            <x14:sparkline>
              <xm:f>Durchschnitt!B74:B74</xm:f>
              <xm:sqref>C74</xm:sqref>
            </x14:sparkline>
            <x14:sparkline>
              <xm:f>Durchschnitt!B75:B75</xm:f>
              <xm:sqref>C75</xm:sqref>
            </x14:sparkline>
            <x14:sparkline>
              <xm:f>Durchschnitt!B76:B76</xm:f>
              <xm:sqref>C76</xm:sqref>
            </x14:sparkline>
            <x14:sparkline>
              <xm:f>Durchschnitt!B77:B77</xm:f>
              <xm:sqref>C77</xm:sqref>
            </x14:sparkline>
            <x14:sparkline>
              <xm:f>Durchschnitt!B78:B78</xm:f>
              <xm:sqref>C78</xm:sqref>
            </x14:sparkline>
            <x14:sparkline>
              <xm:f>Durchschnitt!B79:B79</xm:f>
              <xm:sqref>C79</xm:sqref>
            </x14:sparkline>
            <x14:sparkline>
              <xm:f>Durchschnitt!B80:B80</xm:f>
              <xm:sqref>C80</xm:sqref>
            </x14:sparkline>
          </x14:sparklines>
        </x14:sparklineGroup>
        <x14:sparklineGroup displayEmptyCellsAs="span" xr2:uid="{7DC786FA-4339-4047-83B5-D10448ECA609}">
          <x14:colorSeries rgb="FF376092"/>
          <x14:colorNegative rgb="FFD00000"/>
          <x14:colorAxis rgb="FF000000"/>
          <x14:colorMarkers rgb="FFD00000"/>
          <x14:colorFirst rgb="FFD00000"/>
          <x14:colorLast rgb="FFD00000"/>
          <x14:colorHigh rgb="FFD00000"/>
          <x14:colorLow rgb="FFD00000"/>
          <x14:sparklines>
            <x14:sparkline>
              <xm:f>Durchschnitt!B82:B82</xm:f>
              <xm:sqref>C82</xm:sqref>
            </x14:sparkline>
            <x14:sparkline>
              <xm:f>Durchschnitt!B83:B83</xm:f>
              <xm:sqref>C83</xm:sqref>
            </x14:sparkline>
            <x14:sparkline>
              <xm:f>Durchschnitt!B84:B84</xm:f>
              <xm:sqref>C84</xm:sqref>
            </x14:sparkline>
            <x14:sparkline>
              <xm:f>Durchschnitt!B85:B85</xm:f>
              <xm:sqref>C85</xm:sqref>
            </x14:sparkline>
            <x14:sparkline>
              <xm:f>Durchschnitt!B86:B86</xm:f>
              <xm:sqref>C86</xm:sqref>
            </x14:sparkline>
            <x14:sparkline>
              <xm:f>Durchschnitt!B87:B87</xm:f>
              <xm:sqref>C87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90"/>
  <sheetViews>
    <sheetView zoomScale="80" zoomScaleNormal="80" workbookViewId="0">
      <selection activeCell="A56" sqref="A56"/>
    </sheetView>
  </sheetViews>
  <sheetFormatPr baseColWidth="10" defaultColWidth="11.5546875" defaultRowHeight="14.4" x14ac:dyDescent="0.3"/>
  <cols>
    <col min="1" max="1" width="58.44140625" bestFit="1" customWidth="1"/>
    <col min="2" max="2" width="31.5546875" bestFit="1" customWidth="1"/>
    <col min="3" max="3" width="25.109375" bestFit="1" customWidth="1"/>
    <col min="4" max="4" width="25.21875" bestFit="1" customWidth="1"/>
    <col min="5" max="5" width="10.21875" bestFit="1" customWidth="1"/>
    <col min="6" max="6" width="29.5546875" bestFit="1" customWidth="1"/>
    <col min="7" max="7" width="10.5546875" bestFit="1" customWidth="1"/>
    <col min="8" max="8" width="10.77734375" bestFit="1" customWidth="1"/>
    <col min="9" max="9" width="29" bestFit="1" customWidth="1"/>
    <col min="10" max="10" width="19" bestFit="1" customWidth="1"/>
    <col min="11" max="11" width="24.77734375" bestFit="1" customWidth="1"/>
    <col min="12" max="12" width="21.33203125" bestFit="1" customWidth="1"/>
    <col min="13" max="13" width="23.33203125" bestFit="1" customWidth="1"/>
    <col min="14" max="14" width="19.33203125" bestFit="1" customWidth="1"/>
    <col min="15" max="15" width="21.5546875" bestFit="1" customWidth="1"/>
    <col min="16" max="16" width="11.33203125" bestFit="1" customWidth="1"/>
    <col min="17" max="17" width="13.5546875" bestFit="1" customWidth="1"/>
    <col min="18" max="18" width="12.33203125" bestFit="1" customWidth="1"/>
    <col min="20" max="20" width="15.21875" bestFit="1" customWidth="1"/>
  </cols>
  <sheetData>
    <row r="1" spans="1:20" x14ac:dyDescent="0.3">
      <c r="A1" t="s">
        <v>9</v>
      </c>
      <c r="B1" t="s">
        <v>10</v>
      </c>
      <c r="C1" t="s">
        <v>11</v>
      </c>
      <c r="D1" t="s">
        <v>12</v>
      </c>
      <c r="E1" t="s">
        <v>13</v>
      </c>
      <c r="F1" t="s">
        <v>14</v>
      </c>
      <c r="G1" t="s">
        <v>15</v>
      </c>
      <c r="H1" t="s">
        <v>550</v>
      </c>
      <c r="I1" t="s">
        <v>553</v>
      </c>
      <c r="J1" t="s">
        <v>615</v>
      </c>
      <c r="K1" t="s">
        <v>702</v>
      </c>
      <c r="L1" t="s">
        <v>701</v>
      </c>
      <c r="M1" t="s">
        <v>703</v>
      </c>
      <c r="N1" t="s">
        <v>723</v>
      </c>
      <c r="O1" t="s">
        <v>831</v>
      </c>
      <c r="P1" t="s">
        <v>832</v>
      </c>
      <c r="Q1" t="s">
        <v>833</v>
      </c>
      <c r="R1" t="s">
        <v>834</v>
      </c>
      <c r="S1" t="s">
        <v>835</v>
      </c>
      <c r="T1" t="s">
        <v>836</v>
      </c>
    </row>
    <row r="2" spans="1:20" x14ac:dyDescent="0.3">
      <c r="A2" t="s">
        <v>16</v>
      </c>
      <c r="B2" t="s">
        <v>17</v>
      </c>
      <c r="C2" t="s">
        <v>18</v>
      </c>
      <c r="D2" t="s">
        <v>19</v>
      </c>
      <c r="E2" t="s">
        <v>20</v>
      </c>
      <c r="F2" t="s">
        <v>21</v>
      </c>
      <c r="G2" t="s">
        <v>22</v>
      </c>
      <c r="H2" t="str">
        <f t="shared" ref="H2:H65" si="0">IF(LEFT(D2,4)="adel","adel",IF(LEFT(D2,11)="buergerlich","buergerlich",IF(LEFT(D2,6)="klerus","klerus",IF(D2="NA","NA",IF(LEFT(D2,9)="unbekannt","unbekannt",IF(LEFT(D2,5)="bauer","bauer","not found"))))))</f>
        <v>NA</v>
      </c>
      <c r="I2" t="str" cm="1">
        <f t="array" ref="I2">_xlfn.SWITCH(A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2" s="4">
        <f>IF(AND(B2=Werte!B2,LEFT(A2,5)=LEFT(Werte!A2,5)),Werte!C2,"not found")</f>
        <v>0</v>
      </c>
      <c r="K2" s="4">
        <f>IF(AND(B2=Werte!B2,LEFT(A2,5)=LEFT(Werte!A2,5)),Werte!D2,"not found")</f>
        <v>0</v>
      </c>
      <c r="L2" s="4">
        <f>IF(AND(B2=Werte!B2,LEFT(A2,5)=LEFT(Werte!A2,5)),Werte!E2,"not found")</f>
        <v>0</v>
      </c>
      <c r="M2" s="4">
        <f>IF(AND(B2=Werte!B2,LEFT(A2,5)=LEFT(Werte!A2,5)),Werte!F2,"not found")</f>
        <v>0</v>
      </c>
      <c r="N2" s="4" t="str">
        <f t="shared" ref="N2:N65" si="1">IF(RIGHT(F2,10)="betrogener","betrogener",IF(RIGHT(F2,9)="betrueger","betrueger",F2))</f>
        <v>ehemann</v>
      </c>
      <c r="O2" s="4" cm="1">
        <f t="array" ref="O2">_xlfn.SWITCH(A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2" s="4" t="str">
        <f>IF(Nodes[[#This Row],[Bezeichnung2]] = "betrueger",1,"")</f>
        <v/>
      </c>
      <c r="Q2" s="4" t="str">
        <f>IF(Nodes[[#This Row],[Bezeichnung2]] = "betrogener",2,"")</f>
        <v/>
      </c>
      <c r="R2" s="4" t="str">
        <f>IF(Nodes[[#This Row],[Bezeichnung2]] = "liebender",3,"")</f>
        <v/>
      </c>
      <c r="S2" s="4" t="str">
        <f>IF(Nodes[[#This Row],[Bezeichnung2]] = "liebende",4,"")</f>
        <v/>
      </c>
      <c r="T2" s="4" t="str">
        <f>IF(Nodes[[#This Row],[Bezeichnung2]] = "gegenspieler",5,"")</f>
        <v/>
      </c>
    </row>
    <row r="3" spans="1:20" x14ac:dyDescent="0.3">
      <c r="A3" t="s">
        <v>16</v>
      </c>
      <c r="B3" t="s">
        <v>23</v>
      </c>
      <c r="C3" t="s">
        <v>24</v>
      </c>
      <c r="D3" t="s">
        <v>19</v>
      </c>
      <c r="E3" t="s">
        <v>20</v>
      </c>
      <c r="F3" t="s">
        <v>25</v>
      </c>
      <c r="G3" t="s">
        <v>22</v>
      </c>
      <c r="H3" t="str">
        <f t="shared" si="0"/>
        <v>NA</v>
      </c>
      <c r="I3" t="str" cm="1">
        <f t="array" ref="I3">_xlfn.SWITCH(A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3" s="4">
        <f>IF(AND(B3=Werte!B3,LEFT(A3,5)=LEFT(Werte!A3,5)),Werte!C3,"not found")</f>
        <v>0</v>
      </c>
      <c r="K3" s="4">
        <f>IF(AND(B3=Werte!B3,LEFT(A3,5)=LEFT(Werte!A3,5)),Werte!D3,"not found")</f>
        <v>0</v>
      </c>
      <c r="L3" s="4">
        <f>IF(AND(B3=Werte!B3,LEFT(A3,5)=LEFT(Werte!A3,5)),Werte!E3,"not found")</f>
        <v>0</v>
      </c>
      <c r="M3" s="4">
        <f>IF(AND(B3=Werte!B3,LEFT(A3,5)=LEFT(Werte!A3,5)),Werte!F3,"not found")</f>
        <v>0</v>
      </c>
      <c r="N3" s="4" t="str">
        <f t="shared" si="1"/>
        <v>ehefrau</v>
      </c>
      <c r="O3" s="4" cm="1">
        <f t="array" ref="O3">_xlfn.SWITCH(A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3" s="4" t="str">
        <f>IF(Nodes[[#This Row],[Bezeichnung2]] = "betrueger",1,"")</f>
        <v/>
      </c>
      <c r="Q3" s="4" t="str">
        <f>IF(Nodes[[#This Row],[Bezeichnung2]] = "betrogener",2,"")</f>
        <v/>
      </c>
      <c r="R3" s="4" t="str">
        <f>IF(Nodes[[#This Row],[Bezeichnung2]] = "liebender",3,"")</f>
        <v/>
      </c>
      <c r="S3" s="4" t="str">
        <f>IF(Nodes[[#This Row],[Bezeichnung2]] = "liebende",4,"")</f>
        <v/>
      </c>
      <c r="T3" s="4" t="str">
        <f>IF(Nodes[[#This Row],[Bezeichnung2]] = "gegenspieler",5,"")</f>
        <v/>
      </c>
    </row>
    <row r="4" spans="1:20" x14ac:dyDescent="0.3">
      <c r="A4" t="s">
        <v>16</v>
      </c>
      <c r="B4" t="s">
        <v>27</v>
      </c>
      <c r="C4" t="s">
        <v>18</v>
      </c>
      <c r="D4" t="s">
        <v>19</v>
      </c>
      <c r="E4" t="s">
        <v>28</v>
      </c>
      <c r="F4" t="s">
        <v>136</v>
      </c>
      <c r="G4" t="s">
        <v>26</v>
      </c>
      <c r="H4" t="str">
        <f t="shared" si="0"/>
        <v>NA</v>
      </c>
      <c r="I4" t="str" cm="1">
        <f t="array" ref="I4">_xlfn.SWITCH(A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4" s="4">
        <f>IF(AND(B4=Werte!B4,LEFT(A4,5)=LEFT(Werte!A4,5)),Werte!C4,"not found")</f>
        <v>0</v>
      </c>
      <c r="K4" s="4">
        <f>IF(AND(B4=Werte!B4,LEFT(A4,5)=LEFT(Werte!A4,5)),Werte!D4,"not found")</f>
        <v>0</v>
      </c>
      <c r="L4" s="4">
        <f>IF(AND(B4=Werte!B4,LEFT(A4,5)=LEFT(Werte!A4,5)),Werte!E4,"not found")</f>
        <v>0</v>
      </c>
      <c r="M4" s="4">
        <f>IF(AND(B4=Werte!B4,LEFT(A4,5)=LEFT(Werte!A4,5)),Werte!F4,"not found")</f>
        <v>0</v>
      </c>
      <c r="N4" s="4" t="str">
        <f t="shared" si="1"/>
        <v>kind</v>
      </c>
      <c r="O4" s="4" cm="1">
        <f t="array" ref="O4">_xlfn.SWITCH(A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4" s="4" t="str">
        <f>IF(Nodes[[#This Row],[Bezeichnung2]] = "betrueger",1,"")</f>
        <v/>
      </c>
      <c r="Q4" s="4" t="str">
        <f>IF(Nodes[[#This Row],[Bezeichnung2]] = "betrogener",2,"")</f>
        <v/>
      </c>
      <c r="R4" s="4" t="str">
        <f>IF(Nodes[[#This Row],[Bezeichnung2]] = "liebender",3,"")</f>
        <v/>
      </c>
      <c r="S4" s="4" t="str">
        <f>IF(Nodes[[#This Row],[Bezeichnung2]] = "liebende",4,"")</f>
        <v/>
      </c>
      <c r="T4" s="4" t="str">
        <f>IF(Nodes[[#This Row],[Bezeichnung2]] = "gegenspieler",5,"")</f>
        <v/>
      </c>
    </row>
    <row r="5" spans="1:20" x14ac:dyDescent="0.3">
      <c r="A5" t="s">
        <v>559</v>
      </c>
      <c r="B5" t="s">
        <v>560</v>
      </c>
      <c r="C5" t="s">
        <v>18</v>
      </c>
      <c r="D5" t="s">
        <v>31</v>
      </c>
      <c r="E5" t="s">
        <v>32</v>
      </c>
      <c r="F5" t="s">
        <v>47</v>
      </c>
      <c r="G5" t="s">
        <v>26</v>
      </c>
      <c r="H5" t="str">
        <f t="shared" si="0"/>
        <v>adel</v>
      </c>
      <c r="I5" t="str" cm="1">
        <f t="array" ref="I5">_xlfn.SWITCH(A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 s="4">
        <f>IF(AND(B5=Werte!B5,LEFT(A5,5)=LEFT(Werte!A5,5)),Werte!C5,"not found")</f>
        <v>0.44444444444444398</v>
      </c>
      <c r="K5" s="4">
        <f>IF(AND(B5=Werte!B5,LEFT(A5,5)=LEFT(Werte!A5,5)),Werte!D5,"not found")</f>
        <v>0.22222222222222199</v>
      </c>
      <c r="L5" s="4">
        <f>IF(AND(B5=Werte!B5,LEFT(A5,5)=LEFT(Werte!A5,5)),Werte!E5,"not found")</f>
        <v>0.40909090909090901</v>
      </c>
      <c r="M5" s="4">
        <f>IF(AND(B5=Werte!B5,LEFT(A5,5)=LEFT(Werte!A5,5)),Werte!F5,"not found")</f>
        <v>3.83871767284353E-2</v>
      </c>
      <c r="N5" s="4" t="str">
        <f t="shared" si="1"/>
        <v>unbekannt</v>
      </c>
      <c r="O5" s="4" cm="1">
        <f t="array" ref="O5">_xlfn.SWITCH(A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 s="4" t="str">
        <f>IF(Nodes[[#This Row],[Bezeichnung2]] = "betrueger",1,"")</f>
        <v/>
      </c>
      <c r="Q5" s="4" t="str">
        <f>IF(Nodes[[#This Row],[Bezeichnung2]] = "betrogener",2,"")</f>
        <v/>
      </c>
      <c r="R5" s="4" t="str">
        <f>IF(Nodes[[#This Row],[Bezeichnung2]] = "liebender",3,"")</f>
        <v/>
      </c>
      <c r="S5" s="4" t="str">
        <f>IF(Nodes[[#This Row],[Bezeichnung2]] = "liebende",4,"")</f>
        <v/>
      </c>
      <c r="T5" s="4" t="str">
        <f>IF(Nodes[[#This Row],[Bezeichnung2]] = "gegenspieler",5,"")</f>
        <v/>
      </c>
    </row>
    <row r="6" spans="1:20" x14ac:dyDescent="0.3">
      <c r="A6" t="s">
        <v>559</v>
      </c>
      <c r="B6" t="s">
        <v>601</v>
      </c>
      <c r="C6" t="s">
        <v>18</v>
      </c>
      <c r="D6" t="s">
        <v>47</v>
      </c>
      <c r="E6" t="s">
        <v>32</v>
      </c>
      <c r="F6" t="s">
        <v>47</v>
      </c>
      <c r="G6" t="s">
        <v>26</v>
      </c>
      <c r="H6" t="str">
        <f t="shared" si="0"/>
        <v>unbekannt</v>
      </c>
      <c r="I6" t="str" cm="1">
        <f t="array" ref="I6">_xlfn.SWITCH(A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6" s="4">
        <f>IF(AND(B6=Werte!B6,LEFT(A6,5)=LEFT(Werte!A6,5)),Werte!C6,"not found")</f>
        <v>0.22222222222222199</v>
      </c>
      <c r="K6" s="4">
        <f>IF(AND(B6=Werte!B6,LEFT(A6,5)=LEFT(Werte!A6,5)),Werte!D6,"not found")</f>
        <v>0</v>
      </c>
      <c r="L6" s="4">
        <f>IF(AND(B6=Werte!B6,LEFT(A6,5)=LEFT(Werte!A6,5)),Werte!E6,"not found")</f>
        <v>0.3</v>
      </c>
      <c r="M6" s="4">
        <f>IF(AND(B6=Werte!B6,LEFT(A6,5)=LEFT(Werte!A6,5)),Werte!F6,"not found")</f>
        <v>1.47141028894164E-3</v>
      </c>
      <c r="N6" s="4" t="str">
        <f t="shared" si="1"/>
        <v>unbekannt</v>
      </c>
      <c r="O6" s="4" cm="1">
        <f t="array" ref="O6">_xlfn.SWITCH(A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6" s="4" t="str">
        <f>IF(Nodes[[#This Row],[Bezeichnung2]] = "betrueger",1,"")</f>
        <v/>
      </c>
      <c r="Q6" s="4" t="str">
        <f>IF(Nodes[[#This Row],[Bezeichnung2]] = "betrogener",2,"")</f>
        <v/>
      </c>
      <c r="R6" s="4" t="str">
        <f>IF(Nodes[[#This Row],[Bezeichnung2]] = "liebender",3,"")</f>
        <v/>
      </c>
      <c r="S6" s="4" t="str">
        <f>IF(Nodes[[#This Row],[Bezeichnung2]] = "liebende",4,"")</f>
        <v/>
      </c>
      <c r="T6" s="4" t="str">
        <f>IF(Nodes[[#This Row],[Bezeichnung2]] = "gegenspieler",5,"")</f>
        <v/>
      </c>
    </row>
    <row r="7" spans="1:20" x14ac:dyDescent="0.3">
      <c r="A7" t="s">
        <v>559</v>
      </c>
      <c r="B7" t="s">
        <v>561</v>
      </c>
      <c r="C7" t="s">
        <v>24</v>
      </c>
      <c r="D7" t="s">
        <v>108</v>
      </c>
      <c r="E7" t="s">
        <v>32</v>
      </c>
      <c r="F7" t="s">
        <v>96</v>
      </c>
      <c r="G7" t="s">
        <v>22</v>
      </c>
      <c r="H7" t="str">
        <f t="shared" si="0"/>
        <v>buergerlich</v>
      </c>
      <c r="I7" t="str" cm="1">
        <f t="array" ref="I7">_xlfn.SWITCH(A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7" s="4">
        <f>IF(AND(B7=Werte!B7,LEFT(A7,5)=LEFT(Werte!A7,5)),Werte!C7,"not found")</f>
        <v>1.7777777777777799</v>
      </c>
      <c r="K7" s="4">
        <f>IF(AND(B7=Werte!B7,LEFT(A7,5)=LEFT(Werte!A7,5)),Werte!D7,"not found")</f>
        <v>0.72222222222222199</v>
      </c>
      <c r="L7" s="4">
        <f>IF(AND(B7=Werte!B7,LEFT(A7,5)=LEFT(Werte!A7,5)),Werte!E7,"not found")</f>
        <v>0.5625</v>
      </c>
      <c r="M7" s="4">
        <f>IF(AND(B7=Werte!B7,LEFT(A7,5)=LEFT(Werte!A7,5)),Werte!F7,"not found")</f>
        <v>1</v>
      </c>
      <c r="N7" s="4" t="str">
        <f t="shared" si="1"/>
        <v>betrueger</v>
      </c>
      <c r="O7" s="4" cm="1">
        <f t="array" ref="O7">_xlfn.SWITCH(A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7" s="4">
        <f>IF(Nodes[[#This Row],[Bezeichnung2]] = "betrueger",1,"")</f>
        <v>1</v>
      </c>
      <c r="Q7" s="4" t="str">
        <f>IF(Nodes[[#This Row],[Bezeichnung2]] = "betrogener",2,"")</f>
        <v/>
      </c>
      <c r="R7" s="4" t="str">
        <f>IF(Nodes[[#This Row],[Bezeichnung2]] = "liebender",3,"")</f>
        <v/>
      </c>
      <c r="S7" s="4" t="str">
        <f>IF(Nodes[[#This Row],[Bezeichnung2]] = "liebende",4,"")</f>
        <v/>
      </c>
      <c r="T7" s="4" t="str">
        <f>IF(Nodes[[#This Row],[Bezeichnung2]] = "gegenspieler",5,"")</f>
        <v/>
      </c>
    </row>
    <row r="8" spans="1:20" x14ac:dyDescent="0.3">
      <c r="A8" t="s">
        <v>559</v>
      </c>
      <c r="B8" t="s">
        <v>602</v>
      </c>
      <c r="C8" t="s">
        <v>46</v>
      </c>
      <c r="D8" t="s">
        <v>562</v>
      </c>
      <c r="E8" t="s">
        <v>47</v>
      </c>
      <c r="F8" t="s">
        <v>47</v>
      </c>
      <c r="G8" t="s">
        <v>26</v>
      </c>
      <c r="H8" t="str">
        <f t="shared" si="0"/>
        <v>klerus</v>
      </c>
      <c r="I8" t="str" cm="1">
        <f t="array" ref="I8">_xlfn.SWITCH(A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8" s="4">
        <f>IF(AND(B8=Werte!B8,LEFT(A8,5)=LEFT(Werte!A8,5)),Werte!C8,"not found")</f>
        <v>0.88888888888888895</v>
      </c>
      <c r="K8" s="4">
        <f>IF(AND(B8=Werte!B8,LEFT(A8,5)=LEFT(Werte!A8,5)),Werte!D8,"not found")</f>
        <v>0</v>
      </c>
      <c r="L8" s="4">
        <f>IF(AND(B8=Werte!B8,LEFT(A8,5)=LEFT(Werte!A8,5)),Werte!E8,"not found")</f>
        <v>0.34615384615384598</v>
      </c>
      <c r="M8" s="4">
        <f>IF(AND(B8=Werte!B8,LEFT(A8,5)=LEFT(Werte!A8,5)),Werte!F8,"not found")</f>
        <v>0.183761782169198</v>
      </c>
      <c r="N8" s="4" t="str">
        <f t="shared" si="1"/>
        <v>unbekannt</v>
      </c>
      <c r="O8" s="4" cm="1">
        <f t="array" ref="O8">_xlfn.SWITCH(A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8" s="4" t="str">
        <f>IF(Nodes[[#This Row],[Bezeichnung2]] = "betrueger",1,"")</f>
        <v/>
      </c>
      <c r="Q8" s="4" t="str">
        <f>IF(Nodes[[#This Row],[Bezeichnung2]] = "betrogener",2,"")</f>
        <v/>
      </c>
      <c r="R8" s="4" t="str">
        <f>IF(Nodes[[#This Row],[Bezeichnung2]] = "liebender",3,"")</f>
        <v/>
      </c>
      <c r="S8" s="4" t="str">
        <f>IF(Nodes[[#This Row],[Bezeichnung2]] = "liebende",4,"")</f>
        <v/>
      </c>
      <c r="T8" s="4" t="str">
        <f>IF(Nodes[[#This Row],[Bezeichnung2]] = "gegenspieler",5,"")</f>
        <v/>
      </c>
    </row>
    <row r="9" spans="1:20" x14ac:dyDescent="0.3">
      <c r="A9" t="s">
        <v>559</v>
      </c>
      <c r="B9" t="s">
        <v>563</v>
      </c>
      <c r="C9" t="s">
        <v>18</v>
      </c>
      <c r="D9" t="s">
        <v>564</v>
      </c>
      <c r="E9" t="s">
        <v>20</v>
      </c>
      <c r="F9" t="s">
        <v>47</v>
      </c>
      <c r="G9" t="s">
        <v>22</v>
      </c>
      <c r="H9" t="str">
        <f t="shared" si="0"/>
        <v>klerus</v>
      </c>
      <c r="I9" t="str" cm="1">
        <f t="array" ref="I9">_xlfn.SWITCH(A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9" s="4">
        <f>IF(AND(B9=Werte!B9,LEFT(A9,5)=LEFT(Werte!A9,5)),Werte!C9,"not found")</f>
        <v>1.1111111111111101</v>
      </c>
      <c r="K9" s="4">
        <f>IF(AND(B9=Werte!B9,LEFT(A9,5)=LEFT(Werte!A9,5)),Werte!D9,"not found")</f>
        <v>0</v>
      </c>
      <c r="L9" s="4">
        <f>IF(AND(B9=Werte!B9,LEFT(A9,5)=LEFT(Werte!A9,5)),Werte!E9,"not found")</f>
        <v>0.28125</v>
      </c>
      <c r="M9" s="4">
        <f>IF(AND(B9=Werte!B9,LEFT(A9,5)=LEFT(Werte!A9,5)),Werte!F9,"not found")</f>
        <v>0.72175853524477496</v>
      </c>
      <c r="N9" s="4" t="str">
        <f t="shared" si="1"/>
        <v>unbekannt</v>
      </c>
      <c r="O9" s="4" cm="1">
        <f t="array" ref="O9">_xlfn.SWITCH(A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9" s="4" t="str">
        <f>IF(Nodes[[#This Row],[Bezeichnung2]] = "betrueger",1,"")</f>
        <v/>
      </c>
      <c r="Q9" s="4" t="str">
        <f>IF(Nodes[[#This Row],[Bezeichnung2]] = "betrogener",2,"")</f>
        <v/>
      </c>
      <c r="R9" s="4" t="str">
        <f>IF(Nodes[[#This Row],[Bezeichnung2]] = "liebender",3,"")</f>
        <v/>
      </c>
      <c r="S9" s="4" t="str">
        <f>IF(Nodes[[#This Row],[Bezeichnung2]] = "liebende",4,"")</f>
        <v/>
      </c>
      <c r="T9" s="4" t="str">
        <f>IF(Nodes[[#This Row],[Bezeichnung2]] = "gegenspieler",5,"")</f>
        <v/>
      </c>
    </row>
    <row r="10" spans="1:20" x14ac:dyDescent="0.3">
      <c r="A10" t="s">
        <v>559</v>
      </c>
      <c r="B10" t="s">
        <v>85</v>
      </c>
      <c r="C10" t="s">
        <v>24</v>
      </c>
      <c r="D10" t="s">
        <v>124</v>
      </c>
      <c r="E10" t="s">
        <v>20</v>
      </c>
      <c r="F10" t="s">
        <v>162</v>
      </c>
      <c r="G10" t="s">
        <v>22</v>
      </c>
      <c r="H10" t="str">
        <f t="shared" si="0"/>
        <v>buergerlich</v>
      </c>
      <c r="I10" t="str" cm="1">
        <f t="array" ref="I10">_xlfn.SWITCH(A10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0" s="4">
        <f>IF(AND(B10=Werte!B10,LEFT(A10,5)=LEFT(Werte!A10,5)),Werte!C10,"not found")</f>
        <v>1.1111111111111101</v>
      </c>
      <c r="K10" s="4">
        <f>IF(AND(B10=Werte!B10,LEFT(A10,5)=LEFT(Werte!A10,5)),Werte!D10,"not found")</f>
        <v>0</v>
      </c>
      <c r="L10" s="4">
        <f>IF(AND(B10=Werte!B10,LEFT(A10,5)=LEFT(Werte!A10,5)),Werte!E10,"not found")</f>
        <v>0.31034482758620702</v>
      </c>
      <c r="M10" s="4">
        <f>IF(AND(B10=Werte!B10,LEFT(A10,5)=LEFT(Werte!A10,5)),Werte!F10,"not found")</f>
        <v>0.81643093382051901</v>
      </c>
      <c r="N10" s="4" t="str">
        <f t="shared" si="1"/>
        <v>betrogener</v>
      </c>
      <c r="O10" s="4" cm="1">
        <f t="array" ref="O10">_xlfn.SWITCH(A10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0" s="4" t="str">
        <f>IF(Nodes[[#This Row],[Bezeichnung2]] = "betrueger",1,"")</f>
        <v/>
      </c>
      <c r="Q10" s="4">
        <f>IF(Nodes[[#This Row],[Bezeichnung2]] = "betrogener",2,"")</f>
        <v>2</v>
      </c>
      <c r="R10" s="4" t="str">
        <f>IF(Nodes[[#This Row],[Bezeichnung2]] = "liebender",3,"")</f>
        <v/>
      </c>
      <c r="S10" s="4" t="str">
        <f>IF(Nodes[[#This Row],[Bezeichnung2]] = "liebende",4,"")</f>
        <v/>
      </c>
      <c r="T10" s="4" t="str">
        <f>IF(Nodes[[#This Row],[Bezeichnung2]] = "gegenspieler",5,"")</f>
        <v/>
      </c>
    </row>
    <row r="11" spans="1:20" x14ac:dyDescent="0.3">
      <c r="A11" t="s">
        <v>559</v>
      </c>
      <c r="B11" t="s">
        <v>603</v>
      </c>
      <c r="C11" t="s">
        <v>24</v>
      </c>
      <c r="D11" t="s">
        <v>395</v>
      </c>
      <c r="E11" t="s">
        <v>47</v>
      </c>
      <c r="F11" t="s">
        <v>47</v>
      </c>
      <c r="G11" t="s">
        <v>26</v>
      </c>
      <c r="H11" t="str">
        <f t="shared" si="0"/>
        <v>buergerlich</v>
      </c>
      <c r="I11" t="str" cm="1">
        <f t="array" ref="I11">_xlfn.SWITCH(A11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1" s="4">
        <f>IF(AND(B11=Werte!B11,LEFT(A11,5)=LEFT(Werte!A11,5)),Werte!C11,"not found")</f>
        <v>0.44444444444444398</v>
      </c>
      <c r="K11" s="4">
        <f>IF(AND(B11=Werte!B11,LEFT(A11,5)=LEFT(Werte!A11,5)),Werte!D11,"not found")</f>
        <v>0.16666666666666699</v>
      </c>
      <c r="L11" s="4">
        <f>IF(AND(B11=Werte!B11,LEFT(A11,5)=LEFT(Werte!A11,5)),Werte!E11,"not found")</f>
        <v>0.40909090909090901</v>
      </c>
      <c r="M11" s="4">
        <f>IF(AND(B11=Werte!B11,LEFT(A11,5)=LEFT(Werte!A11,5)),Werte!F11,"not found")</f>
        <v>6.9625208024108598E-2</v>
      </c>
      <c r="N11" s="4" t="str">
        <f t="shared" si="1"/>
        <v>unbekannt</v>
      </c>
      <c r="O11" s="4" cm="1">
        <f t="array" ref="O11">_xlfn.SWITCH(A11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1" s="4" t="str">
        <f>IF(Nodes[[#This Row],[Bezeichnung2]] = "betrueger",1,"")</f>
        <v/>
      </c>
      <c r="Q11" s="4" t="str">
        <f>IF(Nodes[[#This Row],[Bezeichnung2]] = "betrogener",2,"")</f>
        <v/>
      </c>
      <c r="R11" s="4" t="str">
        <f>IF(Nodes[[#This Row],[Bezeichnung2]] = "liebender",3,"")</f>
        <v/>
      </c>
      <c r="S11" s="4" t="str">
        <f>IF(Nodes[[#This Row],[Bezeichnung2]] = "liebende",4,"")</f>
        <v/>
      </c>
      <c r="T11" s="4" t="str">
        <f>IF(Nodes[[#This Row],[Bezeichnung2]] = "gegenspieler",5,"")</f>
        <v/>
      </c>
    </row>
    <row r="12" spans="1:20" x14ac:dyDescent="0.3">
      <c r="A12" t="s">
        <v>559</v>
      </c>
      <c r="B12" t="s">
        <v>604</v>
      </c>
      <c r="C12" t="s">
        <v>24</v>
      </c>
      <c r="D12" t="s">
        <v>129</v>
      </c>
      <c r="E12" t="s">
        <v>20</v>
      </c>
      <c r="F12" t="s">
        <v>53</v>
      </c>
      <c r="G12" t="s">
        <v>26</v>
      </c>
      <c r="H12" t="str">
        <f t="shared" si="0"/>
        <v>buergerlich</v>
      </c>
      <c r="I12" t="str" cm="1">
        <f t="array" ref="I12">_xlfn.SWITCH(A12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2" s="4">
        <f>IF(AND(B12=Werte!B12,LEFT(A12,5)=LEFT(Werte!A12,5)),Werte!C12,"not found")</f>
        <v>0.44444444444444398</v>
      </c>
      <c r="K12" s="4">
        <f>IF(AND(B12=Werte!B12,LEFT(A12,5)=LEFT(Werte!A12,5)),Werte!D12,"not found")</f>
        <v>0</v>
      </c>
      <c r="L12" s="4">
        <f>IF(AND(B12=Werte!B12,LEFT(A12,5)=LEFT(Werte!A12,5)),Werte!E12,"not found")</f>
        <v>0.28125</v>
      </c>
      <c r="M12" s="4">
        <f>IF(AND(B12=Werte!B12,LEFT(A12,5)=LEFT(Werte!A12,5)),Werte!F12,"not found")</f>
        <v>0.20183927923720699</v>
      </c>
      <c r="N12" s="4" t="str">
        <f t="shared" si="1"/>
        <v>helfer</v>
      </c>
      <c r="O12" s="4" cm="1">
        <f t="array" ref="O12">_xlfn.SWITCH(A12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2" s="4" t="str">
        <f>IF(Nodes[[#This Row],[Bezeichnung2]] = "betrueger",1,"")</f>
        <v/>
      </c>
      <c r="Q12" s="4" t="str">
        <f>IF(Nodes[[#This Row],[Bezeichnung2]] = "betrogener",2,"")</f>
        <v/>
      </c>
      <c r="R12" s="4" t="str">
        <f>IF(Nodes[[#This Row],[Bezeichnung2]] = "liebender",3,"")</f>
        <v/>
      </c>
      <c r="S12" s="4" t="str">
        <f>IF(Nodes[[#This Row],[Bezeichnung2]] = "liebende",4,"")</f>
        <v/>
      </c>
      <c r="T12" s="4" t="str">
        <f>IF(Nodes[[#This Row],[Bezeichnung2]] = "gegenspieler",5,"")</f>
        <v/>
      </c>
    </row>
    <row r="13" spans="1:20" x14ac:dyDescent="0.3">
      <c r="A13" t="s">
        <v>559</v>
      </c>
      <c r="B13" t="s">
        <v>605</v>
      </c>
      <c r="C13" t="s">
        <v>18</v>
      </c>
      <c r="D13" t="s">
        <v>565</v>
      </c>
      <c r="E13" t="s">
        <v>47</v>
      </c>
      <c r="F13" t="s">
        <v>53</v>
      </c>
      <c r="G13" t="s">
        <v>26</v>
      </c>
      <c r="H13" t="str">
        <f t="shared" si="0"/>
        <v>klerus</v>
      </c>
      <c r="I13" t="str" cm="1">
        <f t="array" ref="I13">_xlfn.SWITCH(A13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3" s="4">
        <f>IF(AND(B13=Werte!B13,LEFT(A13,5)=LEFT(Werte!A13,5)),Werte!C13,"not found")</f>
        <v>0.88888888888888895</v>
      </c>
      <c r="K13" s="4">
        <f>IF(AND(B13=Werte!B13,LEFT(A13,5)=LEFT(Werte!A13,5)),Werte!D13,"not found")</f>
        <v>0.29166666666666702</v>
      </c>
      <c r="L13" s="4">
        <f>IF(AND(B13=Werte!B13,LEFT(A13,5)=LEFT(Werte!A13,5)),Werte!E13,"not found")</f>
        <v>0.47368421052631599</v>
      </c>
      <c r="M13" s="4">
        <f>IF(AND(B13=Werte!B13,LEFT(A13,5)=LEFT(Werte!A13,5)),Werte!F13,"not found")</f>
        <v>0.12246457943637699</v>
      </c>
      <c r="N13" s="4" t="str">
        <f t="shared" si="1"/>
        <v>helfer</v>
      </c>
      <c r="O13" s="4" cm="1">
        <f t="array" ref="O13">_xlfn.SWITCH(A13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3" s="4" t="str">
        <f>IF(Nodes[[#This Row],[Bezeichnung2]] = "betrueger",1,"")</f>
        <v/>
      </c>
      <c r="Q13" s="4" t="str">
        <f>IF(Nodes[[#This Row],[Bezeichnung2]] = "betrogener",2,"")</f>
        <v/>
      </c>
      <c r="R13" s="4" t="str">
        <f>IF(Nodes[[#This Row],[Bezeichnung2]] = "liebender",3,"")</f>
        <v/>
      </c>
      <c r="S13" s="4" t="str">
        <f>IF(Nodes[[#This Row],[Bezeichnung2]] = "liebende",4,"")</f>
        <v/>
      </c>
      <c r="T13" s="4" t="str">
        <f>IF(Nodes[[#This Row],[Bezeichnung2]] = "gegenspieler",5,"")</f>
        <v/>
      </c>
    </row>
    <row r="14" spans="1:20" x14ac:dyDescent="0.3">
      <c r="A14" t="s">
        <v>559</v>
      </c>
      <c r="B14" t="s">
        <v>606</v>
      </c>
      <c r="C14" t="s">
        <v>18</v>
      </c>
      <c r="D14" t="s">
        <v>600</v>
      </c>
      <c r="E14" t="s">
        <v>20</v>
      </c>
      <c r="F14" t="s">
        <v>50</v>
      </c>
      <c r="G14" t="s">
        <v>22</v>
      </c>
      <c r="H14" t="str">
        <f t="shared" si="0"/>
        <v>buergerlich</v>
      </c>
      <c r="I14" t="str" cm="1">
        <f t="array" ref="I14">_xlfn.SWITCH(A14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4" s="4">
        <f>IF(AND(B14=Werte!B14,LEFT(A14,5)=LEFT(Werte!A14,5)),Werte!C14,"not found")</f>
        <v>1.1111111111111101</v>
      </c>
      <c r="K14" s="4">
        <f>IF(AND(B14=Werte!B14,LEFT(A14,5)=LEFT(Werte!A14,5)),Werte!D14,"not found")</f>
        <v>2.7777777777777801E-2</v>
      </c>
      <c r="L14" s="4">
        <f>IF(AND(B14=Werte!B14,LEFT(A14,5)=LEFT(Werte!A14,5)),Werte!E14,"not found")</f>
        <v>0.375</v>
      </c>
      <c r="M14" s="4">
        <f>IF(AND(B14=Werte!B14,LEFT(A14,5)=LEFT(Werte!A14,5)),Werte!F14,"not found")</f>
        <v>0.383900632830871</v>
      </c>
      <c r="N14" s="4" t="str">
        <f t="shared" si="1"/>
        <v>betrogener</v>
      </c>
      <c r="O14" s="4" cm="1">
        <f t="array" ref="O14">_xlfn.SWITCH(A14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4" s="4" t="str">
        <f>IF(Nodes[[#This Row],[Bezeichnung2]] = "betrueger",1,"")</f>
        <v/>
      </c>
      <c r="Q14" s="4">
        <f>IF(Nodes[[#This Row],[Bezeichnung2]] = "betrogener",2,"")</f>
        <v>2</v>
      </c>
      <c r="R14" s="4" t="str">
        <f>IF(Nodes[[#This Row],[Bezeichnung2]] = "liebender",3,"")</f>
        <v/>
      </c>
      <c r="S14" s="4" t="str">
        <f>IF(Nodes[[#This Row],[Bezeichnung2]] = "liebende",4,"")</f>
        <v/>
      </c>
      <c r="T14" s="4" t="str">
        <f>IF(Nodes[[#This Row],[Bezeichnung2]] = "gegenspieler",5,"")</f>
        <v/>
      </c>
    </row>
    <row r="15" spans="1:20" x14ac:dyDescent="0.3">
      <c r="A15" t="s">
        <v>29</v>
      </c>
      <c r="B15" t="s">
        <v>30</v>
      </c>
      <c r="C15" t="s">
        <v>18</v>
      </c>
      <c r="D15" t="s">
        <v>31</v>
      </c>
      <c r="E15" t="s">
        <v>32</v>
      </c>
      <c r="F15" t="s">
        <v>33</v>
      </c>
      <c r="G15" t="s">
        <v>26</v>
      </c>
      <c r="H15" t="str">
        <f t="shared" si="0"/>
        <v>adel</v>
      </c>
      <c r="I15" t="str" cm="1">
        <f t="array" ref="I15">_xlfn.SWITCH(A15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15" s="4">
        <f>IF(AND(B15=Werte!B15,LEFT(A15,5)=LEFT(Werte!A15,5)),Werte!C15,"not found")</f>
        <v>1.6</v>
      </c>
      <c r="K15" s="4">
        <f>IF(AND(B15=Werte!B15,LEFT(A15,5)=LEFT(Werte!A15,5)),Werte!D15,"not found")</f>
        <v>0</v>
      </c>
      <c r="L15" s="4">
        <f>IF(AND(B15=Werte!B15,LEFT(A15,5)=LEFT(Werte!A15,5)),Werte!E15,"not found")</f>
        <v>0.27777777777777801</v>
      </c>
      <c r="M15" s="4">
        <f>IF(AND(B15=Werte!B15,LEFT(A15,5)=LEFT(Werte!A15,5)),Werte!F15,"not found")</f>
        <v>0.45186423914524898</v>
      </c>
      <c r="N15" s="4" t="str">
        <f t="shared" si="1"/>
        <v>vater</v>
      </c>
      <c r="O15" s="4" cm="1">
        <f t="array" ref="O15">_xlfn.SWITCH(A15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15" s="4" t="str">
        <f>IF(Nodes[[#This Row],[Bezeichnung2]] = "betrueger",1,"")</f>
        <v/>
      </c>
      <c r="Q15" s="4" t="str">
        <f>IF(Nodes[[#This Row],[Bezeichnung2]] = "betrogener",2,"")</f>
        <v/>
      </c>
      <c r="R15" s="4" t="str">
        <f>IF(Nodes[[#This Row],[Bezeichnung2]] = "liebender",3,"")</f>
        <v/>
      </c>
      <c r="S15" s="4" t="str">
        <f>IF(Nodes[[#This Row],[Bezeichnung2]] = "liebende",4,"")</f>
        <v/>
      </c>
      <c r="T15" s="4" t="str">
        <f>IF(Nodes[[#This Row],[Bezeichnung2]] = "gegenspieler",5,"")</f>
        <v/>
      </c>
    </row>
    <row r="16" spans="1:20" x14ac:dyDescent="0.3">
      <c r="A16" t="s">
        <v>29</v>
      </c>
      <c r="B16" t="s">
        <v>34</v>
      </c>
      <c r="C16" t="s">
        <v>24</v>
      </c>
      <c r="D16" t="s">
        <v>35</v>
      </c>
      <c r="E16" t="s">
        <v>32</v>
      </c>
      <c r="F16" t="s">
        <v>36</v>
      </c>
      <c r="G16" t="s">
        <v>26</v>
      </c>
      <c r="H16" t="str">
        <f t="shared" si="0"/>
        <v>adel</v>
      </c>
      <c r="I16" t="str" cm="1">
        <f t="array" ref="I16">_xlfn.SWITCH(A16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16" s="4">
        <f>IF(AND(B16=Werte!B16,LEFT(A16,5)=LEFT(Werte!A16,5)),Werte!C16,"not found")</f>
        <v>2</v>
      </c>
      <c r="K16" s="4">
        <f>IF(AND(B16=Werte!B16,LEFT(A16,5)=LEFT(Werte!A16,5)),Werte!D16,"not found")</f>
        <v>0.4</v>
      </c>
      <c r="L16" s="4">
        <f>IF(AND(B16=Werte!B16,LEFT(A16,5)=LEFT(Werte!A16,5)),Werte!E16,"not found")</f>
        <v>0.35714285714285698</v>
      </c>
      <c r="M16" s="4">
        <f>IF(AND(B16=Werte!B16,LEFT(A16,5)=LEFT(Werte!A16,5)),Werte!F16,"not found")</f>
        <v>0.40780303044572702</v>
      </c>
      <c r="N16" s="4" t="str">
        <f t="shared" si="1"/>
        <v>mutter</v>
      </c>
      <c r="O16" s="4" cm="1">
        <f t="array" ref="O16">_xlfn.SWITCH(A16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16" s="4" t="str">
        <f>IF(Nodes[[#This Row],[Bezeichnung2]] = "betrueger",1,"")</f>
        <v/>
      </c>
      <c r="Q16" s="4" t="str">
        <f>IF(Nodes[[#This Row],[Bezeichnung2]] = "betrogener",2,"")</f>
        <v/>
      </c>
      <c r="R16" s="4" t="str">
        <f>IF(Nodes[[#This Row],[Bezeichnung2]] = "liebender",3,"")</f>
        <v/>
      </c>
      <c r="S16" s="4" t="str">
        <f>IF(Nodes[[#This Row],[Bezeichnung2]] = "liebende",4,"")</f>
        <v/>
      </c>
      <c r="T16" s="4" t="str">
        <f>IF(Nodes[[#This Row],[Bezeichnung2]] = "gegenspieler",5,"")</f>
        <v/>
      </c>
    </row>
    <row r="17" spans="1:20" x14ac:dyDescent="0.3">
      <c r="A17" t="s">
        <v>29</v>
      </c>
      <c r="B17" t="s">
        <v>37</v>
      </c>
      <c r="C17" t="s">
        <v>18</v>
      </c>
      <c r="D17" t="s">
        <v>38</v>
      </c>
      <c r="E17" t="s">
        <v>20</v>
      </c>
      <c r="F17" t="s">
        <v>39</v>
      </c>
      <c r="G17" t="s">
        <v>22</v>
      </c>
      <c r="H17" t="str">
        <f t="shared" si="0"/>
        <v>adel</v>
      </c>
      <c r="I17" t="str" cm="1">
        <f t="array" ref="I17">_xlfn.SWITCH(A17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17" s="4">
        <f>IF(AND(B17=Werte!B17,LEFT(A17,5)=LEFT(Werte!A17,5)),Werte!C17,"not found")</f>
        <v>2</v>
      </c>
      <c r="K17" s="4">
        <f>IF(AND(B17=Werte!B17,LEFT(A17,5)=LEFT(Werte!A17,5)),Werte!D17,"not found")</f>
        <v>0.1</v>
      </c>
      <c r="L17" s="4">
        <f>IF(AND(B17=Werte!B17,LEFT(A17,5)=LEFT(Werte!A17,5)),Werte!E17,"not found")</f>
        <v>0.33333333333333298</v>
      </c>
      <c r="M17" s="4">
        <f>IF(AND(B17=Werte!B17,LEFT(A17,5)=LEFT(Werte!A17,5)),Werte!F17,"not found")</f>
        <v>0.68260571356004196</v>
      </c>
      <c r="N17" s="4" t="str">
        <f t="shared" si="1"/>
        <v>liebender</v>
      </c>
      <c r="O17" s="4" cm="1">
        <f t="array" ref="O17">_xlfn.SWITCH(A17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17" s="4" t="str">
        <f>IF(Nodes[[#This Row],[Bezeichnung2]] = "betrueger",1,"")</f>
        <v/>
      </c>
      <c r="Q17" s="4" t="str">
        <f>IF(Nodes[[#This Row],[Bezeichnung2]] = "betrogener",2,"")</f>
        <v/>
      </c>
      <c r="R17" s="4">
        <f>IF(Nodes[[#This Row],[Bezeichnung2]] = "liebender",3,"")</f>
        <v>3</v>
      </c>
      <c r="S17" s="4" t="str">
        <f>IF(Nodes[[#This Row],[Bezeichnung2]] = "liebende",4,"")</f>
        <v/>
      </c>
      <c r="T17" s="4" t="str">
        <f>IF(Nodes[[#This Row],[Bezeichnung2]] = "gegenspieler",5,"")</f>
        <v/>
      </c>
    </row>
    <row r="18" spans="1:20" x14ac:dyDescent="0.3">
      <c r="A18" t="s">
        <v>29</v>
      </c>
      <c r="B18" t="s">
        <v>40</v>
      </c>
      <c r="C18" t="s">
        <v>18</v>
      </c>
      <c r="D18" t="s">
        <v>41</v>
      </c>
      <c r="E18" t="s">
        <v>32</v>
      </c>
      <c r="F18" t="s">
        <v>87</v>
      </c>
      <c r="G18" t="s">
        <v>22</v>
      </c>
      <c r="H18" t="str">
        <f t="shared" si="0"/>
        <v>buergerlich</v>
      </c>
      <c r="I18" t="str" cm="1">
        <f t="array" ref="I18">_xlfn.SWITCH(A18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18" s="4">
        <f>IF(AND(B18=Werte!B18,LEFT(A18,5)=LEFT(Werte!A18,5)),Werte!C18,"not found")</f>
        <v>1.6</v>
      </c>
      <c r="K18" s="4">
        <f>IF(AND(B18=Werte!B18,LEFT(A18,5)=LEFT(Werte!A18,5)),Werte!D18,"not found")</f>
        <v>0</v>
      </c>
      <c r="L18" s="4">
        <f>IF(AND(B18=Werte!B18,LEFT(A18,5)=LEFT(Werte!A18,5)),Werte!E18,"not found")</f>
        <v>0.22727272727272699</v>
      </c>
      <c r="M18" s="4">
        <f>IF(AND(B18=Werte!B18,LEFT(A18,5)=LEFT(Werte!A18,5)),Werte!F18,"not found")</f>
        <v>0.92457227880880199</v>
      </c>
      <c r="N18" s="4" t="str">
        <f t="shared" si="1"/>
        <v>gegenspieler</v>
      </c>
      <c r="O18" s="4" cm="1">
        <f t="array" ref="O18">_xlfn.SWITCH(A18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18" s="4" t="str">
        <f>IF(Nodes[[#This Row],[Bezeichnung2]] = "betrueger",1,"")</f>
        <v/>
      </c>
      <c r="Q18" s="4" t="str">
        <f>IF(Nodes[[#This Row],[Bezeichnung2]] = "betrogener",2,"")</f>
        <v/>
      </c>
      <c r="R18" s="4" t="str">
        <f>IF(Nodes[[#This Row],[Bezeichnung2]] = "liebender",3,"")</f>
        <v/>
      </c>
      <c r="S18" s="4" t="str">
        <f>IF(Nodes[[#This Row],[Bezeichnung2]] = "liebende",4,"")</f>
        <v/>
      </c>
      <c r="T18" s="4">
        <f>IF(Nodes[[#This Row],[Bezeichnung2]] = "gegenspieler",5,"")</f>
        <v>5</v>
      </c>
    </row>
    <row r="19" spans="1:20" x14ac:dyDescent="0.3">
      <c r="A19" t="s">
        <v>29</v>
      </c>
      <c r="B19" t="s">
        <v>42</v>
      </c>
      <c r="C19" t="s">
        <v>24</v>
      </c>
      <c r="D19" t="s">
        <v>43</v>
      </c>
      <c r="E19" t="s">
        <v>20</v>
      </c>
      <c r="F19" t="s">
        <v>44</v>
      </c>
      <c r="G19" t="s">
        <v>22</v>
      </c>
      <c r="H19" t="str">
        <f t="shared" si="0"/>
        <v>adel</v>
      </c>
      <c r="I19" t="str" cm="1">
        <f t="array" ref="I19">_xlfn.SWITCH(A19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19" s="4">
        <f>IF(AND(B19=Werte!B19,LEFT(A19,5)=LEFT(Werte!A19,5)),Werte!C19,"not found")</f>
        <v>2</v>
      </c>
      <c r="K19" s="4">
        <f>IF(AND(B19=Werte!B19,LEFT(A19,5)=LEFT(Werte!A19,5)),Werte!D19,"not found")</f>
        <v>0</v>
      </c>
      <c r="L19" s="4">
        <f>IF(AND(B19=Werte!B19,LEFT(A19,5)=LEFT(Werte!A19,5)),Werte!E19,"not found")</f>
        <v>0.27777777777777801</v>
      </c>
      <c r="M19" s="4">
        <f>IF(AND(B19=Werte!B19,LEFT(A19,5)=LEFT(Werte!A19,5)),Werte!F19,"not found")</f>
        <v>1</v>
      </c>
      <c r="N19" s="4" t="str">
        <f t="shared" si="1"/>
        <v>liebende</v>
      </c>
      <c r="O19" s="4" cm="1">
        <f t="array" ref="O19">_xlfn.SWITCH(A19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19" s="4" t="str">
        <f>IF(Nodes[[#This Row],[Bezeichnung2]] = "betrueger",1,"")</f>
        <v/>
      </c>
      <c r="Q19" s="4" t="str">
        <f>IF(Nodes[[#This Row],[Bezeichnung2]] = "betrogener",2,"")</f>
        <v/>
      </c>
      <c r="R19" s="4" t="str">
        <f>IF(Nodes[[#This Row],[Bezeichnung2]] = "liebender",3,"")</f>
        <v/>
      </c>
      <c r="S19" s="4">
        <f>IF(Nodes[[#This Row],[Bezeichnung2]] = "liebende",4,"")</f>
        <v>4</v>
      </c>
      <c r="T19" s="4" t="str">
        <f>IF(Nodes[[#This Row],[Bezeichnung2]] = "gegenspieler",5,"")</f>
        <v/>
      </c>
    </row>
    <row r="20" spans="1:20" x14ac:dyDescent="0.3">
      <c r="A20" t="s">
        <v>29</v>
      </c>
      <c r="B20" t="s">
        <v>45</v>
      </c>
      <c r="C20" t="s">
        <v>46</v>
      </c>
      <c r="D20" t="s">
        <v>43</v>
      </c>
      <c r="E20" t="s">
        <v>20</v>
      </c>
      <c r="F20" t="s">
        <v>47</v>
      </c>
      <c r="G20" t="s">
        <v>26</v>
      </c>
      <c r="H20" t="str">
        <f t="shared" si="0"/>
        <v>adel</v>
      </c>
      <c r="I20" t="str" cm="1">
        <f t="array" ref="I20">_xlfn.SWITCH(A20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20" s="4">
        <f>IF(AND(B20=Werte!B20,LEFT(A20,5)=LEFT(Werte!A20,5)),Werte!C20,"not found")</f>
        <v>1.2</v>
      </c>
      <c r="K20" s="4">
        <f>IF(AND(B20=Werte!B20,LEFT(A20,5)=LEFT(Werte!A20,5)),Werte!D20,"not found")</f>
        <v>0.4</v>
      </c>
      <c r="L20" s="4">
        <f>IF(AND(B20=Werte!B20,LEFT(A20,5)=LEFT(Werte!A20,5)),Werte!E20,"not found")</f>
        <v>0.38461538461538503</v>
      </c>
      <c r="M20" s="4">
        <f>IF(AND(B20=Werte!B20,LEFT(A20,5)=LEFT(Werte!A20,5)),Werte!F20,"not found")</f>
        <v>0.12404363187041401</v>
      </c>
      <c r="N20" s="4" t="str">
        <f t="shared" si="1"/>
        <v>unbekannt</v>
      </c>
      <c r="O20" s="4" cm="1">
        <f t="array" ref="O20">_xlfn.SWITCH(A20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20" s="4" t="str">
        <f>IF(Nodes[[#This Row],[Bezeichnung2]] = "betrueger",1,"")</f>
        <v/>
      </c>
      <c r="Q20" s="4" t="str">
        <f>IF(Nodes[[#This Row],[Bezeichnung2]] = "betrogener",2,"")</f>
        <v/>
      </c>
      <c r="R20" s="4" t="str">
        <f>IF(Nodes[[#This Row],[Bezeichnung2]] = "liebender",3,"")</f>
        <v/>
      </c>
      <c r="S20" s="4" t="str">
        <f>IF(Nodes[[#This Row],[Bezeichnung2]] = "liebende",4,"")</f>
        <v/>
      </c>
      <c r="T20" s="4" t="str">
        <f>IF(Nodes[[#This Row],[Bezeichnung2]] = "gegenspieler",5,"")</f>
        <v/>
      </c>
    </row>
    <row r="21" spans="1:20" x14ac:dyDescent="0.3">
      <c r="A21" t="s">
        <v>48</v>
      </c>
      <c r="B21" t="s">
        <v>49</v>
      </c>
      <c r="C21" t="s">
        <v>18</v>
      </c>
      <c r="D21" t="s">
        <v>47</v>
      </c>
      <c r="E21" t="s">
        <v>47</v>
      </c>
      <c r="F21" t="s">
        <v>50</v>
      </c>
      <c r="G21" t="s">
        <v>22</v>
      </c>
      <c r="H21" t="str">
        <f t="shared" si="0"/>
        <v>unbekannt</v>
      </c>
      <c r="I21" t="str" cm="1">
        <f t="array" ref="I21">_xlfn.SWITCH(A21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1" s="4">
        <f>IF(AND(B21=Werte!B21,LEFT(A21,5)=LEFT(Werte!A21,5)),Werte!C21,"not found")</f>
        <v>2</v>
      </c>
      <c r="K21" s="4">
        <f>IF(AND(B21=Werte!B21,LEFT(A21,5)=LEFT(Werte!A21,5)),Werte!D21,"not found")</f>
        <v>0.66666666666666696</v>
      </c>
      <c r="L21" s="4">
        <f>IF(AND(B21=Werte!B21,LEFT(A21,5)=LEFT(Werte!A21,5)),Werte!E21,"not found")</f>
        <v>0.75</v>
      </c>
      <c r="M21" s="4">
        <f>IF(AND(B21=Werte!B21,LEFT(A21,5)=LEFT(Werte!A21,5)),Werte!F21,"not found")</f>
        <v>1</v>
      </c>
      <c r="N21" s="4" t="str">
        <f t="shared" si="1"/>
        <v>betrogener</v>
      </c>
      <c r="O21" s="4" cm="1">
        <f t="array" ref="O21">_xlfn.SWITCH(A21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1" s="4" t="str">
        <f>IF(Nodes[[#This Row],[Bezeichnung2]] = "betrueger",1,"")</f>
        <v/>
      </c>
      <c r="Q21" s="4">
        <f>IF(Nodes[[#This Row],[Bezeichnung2]] = "betrogener",2,"")</f>
        <v>2</v>
      </c>
      <c r="R21" s="4" t="str">
        <f>IF(Nodes[[#This Row],[Bezeichnung2]] = "liebender",3,"")</f>
        <v/>
      </c>
      <c r="S21" s="4" t="str">
        <f>IF(Nodes[[#This Row],[Bezeichnung2]] = "liebende",4,"")</f>
        <v/>
      </c>
      <c r="T21" s="4" t="str">
        <f>IF(Nodes[[#This Row],[Bezeichnung2]] = "gegenspieler",5,"")</f>
        <v/>
      </c>
    </row>
    <row r="22" spans="1:20" x14ac:dyDescent="0.3">
      <c r="A22" t="s">
        <v>48</v>
      </c>
      <c r="B22" t="s">
        <v>51</v>
      </c>
      <c r="C22" t="s">
        <v>46</v>
      </c>
      <c r="D22" t="s">
        <v>47</v>
      </c>
      <c r="E22" t="s">
        <v>47</v>
      </c>
      <c r="F22" t="s">
        <v>47</v>
      </c>
      <c r="G22" t="s">
        <v>26</v>
      </c>
      <c r="H22" t="str">
        <f t="shared" si="0"/>
        <v>unbekannt</v>
      </c>
      <c r="I22" t="str" cm="1">
        <f t="array" ref="I22">_xlfn.SWITCH(A22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2" s="4">
        <f>IF(AND(B22=Werte!B22,LEFT(A22,5)=LEFT(Werte!A22,5)),Werte!C22,"not found")</f>
        <v>1.3333333333333299</v>
      </c>
      <c r="K22" s="4">
        <f>IF(AND(B22=Werte!B22,LEFT(A22,5)=LEFT(Werte!A22,5)),Werte!D22,"not found")</f>
        <v>0.66666666666666696</v>
      </c>
      <c r="L22" s="4">
        <f>IF(AND(B22=Werte!B22,LEFT(A22,5)=LEFT(Werte!A22,5)),Werte!E22,"not found")</f>
        <v>0.75</v>
      </c>
      <c r="M22" s="4">
        <f>IF(AND(B22=Werte!B22,LEFT(A22,5)=LEFT(Werte!A22,5)),Werte!F22,"not found")</f>
        <v>0.53216822606869996</v>
      </c>
      <c r="N22" s="4" t="str">
        <f t="shared" si="1"/>
        <v>unbekannt</v>
      </c>
      <c r="O22" s="4" cm="1">
        <f t="array" ref="O22">_xlfn.SWITCH(A22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2" s="4" t="str">
        <f>IF(Nodes[[#This Row],[Bezeichnung2]] = "betrueger",1,"")</f>
        <v/>
      </c>
      <c r="Q22" s="4" t="str">
        <f>IF(Nodes[[#This Row],[Bezeichnung2]] = "betrogener",2,"")</f>
        <v/>
      </c>
      <c r="R22" s="4" t="str">
        <f>IF(Nodes[[#This Row],[Bezeichnung2]] = "liebender",3,"")</f>
        <v/>
      </c>
      <c r="S22" s="4" t="str">
        <f>IF(Nodes[[#This Row],[Bezeichnung2]] = "liebende",4,"")</f>
        <v/>
      </c>
      <c r="T22" s="4" t="str">
        <f>IF(Nodes[[#This Row],[Bezeichnung2]] = "gegenspieler",5,"")</f>
        <v/>
      </c>
    </row>
    <row r="23" spans="1:20" x14ac:dyDescent="0.3">
      <c r="A23" t="s">
        <v>48</v>
      </c>
      <c r="B23" t="s">
        <v>52</v>
      </c>
      <c r="C23" t="s">
        <v>47</v>
      </c>
      <c r="D23" t="s">
        <v>47</v>
      </c>
      <c r="E23" t="s">
        <v>28</v>
      </c>
      <c r="F23" t="s">
        <v>53</v>
      </c>
      <c r="G23" t="s">
        <v>22</v>
      </c>
      <c r="H23" t="str">
        <f t="shared" si="0"/>
        <v>unbekannt</v>
      </c>
      <c r="I23" t="str" cm="1">
        <f t="array" ref="I23">_xlfn.SWITCH(A23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3" s="4">
        <f>IF(AND(B23=Werte!B23,LEFT(A23,5)=LEFT(Werte!A23,5)),Werte!C23,"not found")</f>
        <v>1.3333333333333299</v>
      </c>
      <c r="K23" s="4">
        <f>IF(AND(B23=Werte!B23,LEFT(A23,5)=LEFT(Werte!A23,5)),Werte!D23,"not found")</f>
        <v>0</v>
      </c>
      <c r="L23" s="4">
        <f>IF(AND(B23=Werte!B23,LEFT(A23,5)=LEFT(Werte!A23,5)),Werte!E23,"not found")</f>
        <v>0.5</v>
      </c>
      <c r="M23" s="4">
        <f>IF(AND(B23=Werte!B23,LEFT(A23,5)=LEFT(Werte!A23,5)),Werte!F23,"not found")</f>
        <v>0.95935180783908602</v>
      </c>
      <c r="N23" s="4" t="str">
        <f t="shared" si="1"/>
        <v>helfer</v>
      </c>
      <c r="O23" s="4" cm="1">
        <f t="array" ref="O23">_xlfn.SWITCH(A23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3" s="4" t="str">
        <f>IF(Nodes[[#This Row],[Bezeichnung2]] = "betrueger",1,"")</f>
        <v/>
      </c>
      <c r="Q23" s="4" t="str">
        <f>IF(Nodes[[#This Row],[Bezeichnung2]] = "betrogener",2,"")</f>
        <v/>
      </c>
      <c r="R23" s="4" t="str">
        <f>IF(Nodes[[#This Row],[Bezeichnung2]] = "liebender",3,"")</f>
        <v/>
      </c>
      <c r="S23" s="4" t="str">
        <f>IF(Nodes[[#This Row],[Bezeichnung2]] = "liebende",4,"")</f>
        <v/>
      </c>
      <c r="T23" s="4" t="str">
        <f>IF(Nodes[[#This Row],[Bezeichnung2]] = "gegenspieler",5,"")</f>
        <v/>
      </c>
    </row>
    <row r="24" spans="1:20" x14ac:dyDescent="0.3">
      <c r="A24" t="s">
        <v>48</v>
      </c>
      <c r="B24" t="s">
        <v>54</v>
      </c>
      <c r="C24" t="s">
        <v>24</v>
      </c>
      <c r="D24" t="s">
        <v>47</v>
      </c>
      <c r="E24" t="s">
        <v>47</v>
      </c>
      <c r="F24" t="s">
        <v>55</v>
      </c>
      <c r="G24" t="s">
        <v>26</v>
      </c>
      <c r="H24" t="str">
        <f t="shared" si="0"/>
        <v>unbekannt</v>
      </c>
      <c r="I24" t="str" cm="1">
        <f t="array" ref="I24">_xlfn.SWITCH(A24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4" s="4">
        <f>IF(AND(B24=Werte!B24,LEFT(A24,5)=LEFT(Werte!A24,5)),Werte!C24,"not found")</f>
        <v>0.66666666666666696</v>
      </c>
      <c r="K24" s="4">
        <f>IF(AND(B24=Werte!B24,LEFT(A24,5)=LEFT(Werte!A24,5)),Werte!D24,"not found")</f>
        <v>0</v>
      </c>
      <c r="L24" s="4">
        <f>IF(AND(B24=Werte!B24,LEFT(A24,5)=LEFT(Werte!A24,5)),Werte!E24,"not found")</f>
        <v>0.5</v>
      </c>
      <c r="M24" s="4">
        <f>IF(AND(B24=Werte!B24,LEFT(A24,5)=LEFT(Werte!A24,5)),Werte!F24,"not found")</f>
        <v>0.27160422336589701</v>
      </c>
      <c r="N24" s="4" t="str">
        <f t="shared" si="1"/>
        <v>betrueger</v>
      </c>
      <c r="O24" s="4" cm="1">
        <f t="array" ref="O24">_xlfn.SWITCH(A24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4" s="4">
        <f>IF(Nodes[[#This Row],[Bezeichnung2]] = "betrueger",1,"")</f>
        <v>1</v>
      </c>
      <c r="Q24" s="4" t="str">
        <f>IF(Nodes[[#This Row],[Bezeichnung2]] = "betrogener",2,"")</f>
        <v/>
      </c>
      <c r="R24" s="4" t="str">
        <f>IF(Nodes[[#This Row],[Bezeichnung2]] = "liebender",3,"")</f>
        <v/>
      </c>
      <c r="S24" s="4" t="str">
        <f>IF(Nodes[[#This Row],[Bezeichnung2]] = "liebende",4,"")</f>
        <v/>
      </c>
      <c r="T24" s="4" t="str">
        <f>IF(Nodes[[#This Row],[Bezeichnung2]] = "gegenspieler",5,"")</f>
        <v/>
      </c>
    </row>
    <row r="25" spans="1:20" x14ac:dyDescent="0.3">
      <c r="A25" t="s">
        <v>83</v>
      </c>
      <c r="B25" t="s">
        <v>84</v>
      </c>
      <c r="C25" t="s">
        <v>18</v>
      </c>
      <c r="D25" t="s">
        <v>57</v>
      </c>
      <c r="E25" t="s">
        <v>20</v>
      </c>
      <c r="F25" t="s">
        <v>21</v>
      </c>
      <c r="G25" t="s">
        <v>22</v>
      </c>
      <c r="H25" t="str">
        <f t="shared" si="0"/>
        <v>adel</v>
      </c>
      <c r="I25" t="str" cm="1">
        <f t="array" ref="I25">_xlfn.SWITCH(A25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5" s="4">
        <f>IF(AND(B25=Werte!B25,LEFT(A25,5)=LEFT(Werte!A25,5)),Werte!C25,"not found")</f>
        <v>2</v>
      </c>
      <c r="K25" s="4">
        <f>IF(AND(B25=Werte!B25,LEFT(A25,5)=LEFT(Werte!A25,5)),Werte!D25,"not found")</f>
        <v>0.16666666666666699</v>
      </c>
      <c r="L25" s="4">
        <f>IF(AND(B25=Werte!B25,LEFT(A25,5)=LEFT(Werte!A25,5)),Werte!E25,"not found")</f>
        <v>0.42857142857142899</v>
      </c>
      <c r="M25" s="4">
        <f>IF(AND(B25=Werte!B25,LEFT(A25,5)=LEFT(Werte!A25,5)),Werte!F25,"not found")</f>
        <v>1</v>
      </c>
      <c r="N25" s="4" t="str">
        <f t="shared" si="1"/>
        <v>ehemann</v>
      </c>
      <c r="O25" s="4" cm="1">
        <f t="array" ref="O25">_xlfn.SWITCH(A25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5" s="4" t="str">
        <f>IF(Nodes[[#This Row],[Bezeichnung2]] = "betrueger",1,"")</f>
        <v/>
      </c>
      <c r="Q25" s="4" t="str">
        <f>IF(Nodes[[#This Row],[Bezeichnung2]] = "betrogener",2,"")</f>
        <v/>
      </c>
      <c r="R25" s="4" t="str">
        <f>IF(Nodes[[#This Row],[Bezeichnung2]] = "liebender",3,"")</f>
        <v/>
      </c>
      <c r="S25" s="4" t="str">
        <f>IF(Nodes[[#This Row],[Bezeichnung2]] = "liebende",4,"")</f>
        <v/>
      </c>
      <c r="T25" s="4" t="str">
        <f>IF(Nodes[[#This Row],[Bezeichnung2]] = "gegenspieler",5,"")</f>
        <v/>
      </c>
    </row>
    <row r="26" spans="1:20" x14ac:dyDescent="0.3">
      <c r="A26" t="s">
        <v>83</v>
      </c>
      <c r="B26" t="s">
        <v>85</v>
      </c>
      <c r="C26" t="s">
        <v>24</v>
      </c>
      <c r="D26" t="s">
        <v>86</v>
      </c>
      <c r="E26" t="s">
        <v>20</v>
      </c>
      <c r="F26" t="s">
        <v>25</v>
      </c>
      <c r="G26" t="s">
        <v>22</v>
      </c>
      <c r="H26" t="str">
        <f t="shared" si="0"/>
        <v>adel</v>
      </c>
      <c r="I26" t="str" cm="1">
        <f t="array" ref="I26">_xlfn.SWITCH(A26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6" s="4">
        <f>IF(AND(B26=Werte!B26,LEFT(A26,5)=LEFT(Werte!A26,5)),Werte!C26,"not found")</f>
        <v>2</v>
      </c>
      <c r="K26" s="4">
        <f>IF(AND(B26=Werte!B26,LEFT(A26,5)=LEFT(Werte!A26,5)),Werte!D26,"not found")</f>
        <v>0.16666666666666699</v>
      </c>
      <c r="L26" s="4">
        <f>IF(AND(B26=Werte!B26,LEFT(A26,5)=LEFT(Werte!A26,5)),Werte!E26,"not found")</f>
        <v>0.42857142857142899</v>
      </c>
      <c r="M26" s="4">
        <f>IF(AND(B26=Werte!B26,LEFT(A26,5)=LEFT(Werte!A26,5)),Werte!F26,"not found")</f>
        <v>1</v>
      </c>
      <c r="N26" s="4" t="str">
        <f t="shared" si="1"/>
        <v>ehefrau</v>
      </c>
      <c r="O26" s="4" cm="1">
        <f t="array" ref="O26">_xlfn.SWITCH(A26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6" s="4" t="str">
        <f>IF(Nodes[[#This Row],[Bezeichnung2]] = "betrueger",1,"")</f>
        <v/>
      </c>
      <c r="Q26" s="4" t="str">
        <f>IF(Nodes[[#This Row],[Bezeichnung2]] = "betrogener",2,"")</f>
        <v/>
      </c>
      <c r="R26" s="4" t="str">
        <f>IF(Nodes[[#This Row],[Bezeichnung2]] = "liebender",3,"")</f>
        <v/>
      </c>
      <c r="S26" s="4" t="str">
        <f>IF(Nodes[[#This Row],[Bezeichnung2]] = "liebende",4,"")</f>
        <v/>
      </c>
      <c r="T26" s="4" t="str">
        <f>IF(Nodes[[#This Row],[Bezeichnung2]] = "gegenspieler",5,"")</f>
        <v/>
      </c>
    </row>
    <row r="27" spans="1:20" x14ac:dyDescent="0.3">
      <c r="A27" t="s">
        <v>83</v>
      </c>
      <c r="B27" t="s">
        <v>56</v>
      </c>
      <c r="C27" t="s">
        <v>18</v>
      </c>
      <c r="D27" t="s">
        <v>57</v>
      </c>
      <c r="E27" t="s">
        <v>20</v>
      </c>
      <c r="F27" t="s">
        <v>87</v>
      </c>
      <c r="G27" t="s">
        <v>26</v>
      </c>
      <c r="H27" t="str">
        <f t="shared" si="0"/>
        <v>adel</v>
      </c>
      <c r="I27" t="str" cm="1">
        <f t="array" ref="I27">_xlfn.SWITCH(A27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7" s="4">
        <f>IF(AND(B27=Werte!B27,LEFT(A27,5)=LEFT(Werte!A27,5)),Werte!C27,"not found")</f>
        <v>1.3333333333333299</v>
      </c>
      <c r="K27" s="4">
        <f>IF(AND(B27=Werte!B27,LEFT(A27,5)=LEFT(Werte!A27,5)),Werte!D27,"not found")</f>
        <v>0.33333333333333298</v>
      </c>
      <c r="L27" s="4">
        <f>IF(AND(B27=Werte!B27,LEFT(A27,5)=LEFT(Werte!A27,5)),Werte!E27,"not found")</f>
        <v>0.42857142857142899</v>
      </c>
      <c r="M27" s="4">
        <f>IF(AND(B27=Werte!B27,LEFT(A27,5)=LEFT(Werte!A27,5)),Werte!F27,"not found")</f>
        <v>0.12414315171437</v>
      </c>
      <c r="N27" s="4" t="str">
        <f t="shared" si="1"/>
        <v>gegenspieler</v>
      </c>
      <c r="O27" s="4" cm="1">
        <f t="array" ref="O27">_xlfn.SWITCH(A27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7" s="4" t="str">
        <f>IF(Nodes[[#This Row],[Bezeichnung2]] = "betrueger",1,"")</f>
        <v/>
      </c>
      <c r="Q27" s="4" t="str">
        <f>IF(Nodes[[#This Row],[Bezeichnung2]] = "betrogener",2,"")</f>
        <v/>
      </c>
      <c r="R27" s="4" t="str">
        <f>IF(Nodes[[#This Row],[Bezeichnung2]] = "liebender",3,"")</f>
        <v/>
      </c>
      <c r="S27" s="4" t="str">
        <f>IF(Nodes[[#This Row],[Bezeichnung2]] = "liebende",4,"")</f>
        <v/>
      </c>
      <c r="T27" s="4">
        <f>IF(Nodes[[#This Row],[Bezeichnung2]] = "gegenspieler",5,"")</f>
        <v>5</v>
      </c>
    </row>
    <row r="28" spans="1:20" x14ac:dyDescent="0.3">
      <c r="A28" t="s">
        <v>83</v>
      </c>
      <c r="B28" t="s">
        <v>88</v>
      </c>
      <c r="C28" t="s">
        <v>18</v>
      </c>
      <c r="D28" t="s">
        <v>89</v>
      </c>
      <c r="E28" t="s">
        <v>20</v>
      </c>
      <c r="F28" t="s">
        <v>53</v>
      </c>
      <c r="G28" t="s">
        <v>26</v>
      </c>
      <c r="H28" t="str">
        <f t="shared" si="0"/>
        <v>adel</v>
      </c>
      <c r="I28" t="str" cm="1">
        <f t="array" ref="I28">_xlfn.SWITCH(A28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8" s="4">
        <f>IF(AND(B28=Werte!B28,LEFT(A28,5)=LEFT(Werte!A28,5)),Werte!C28,"not found")</f>
        <v>1.3333333333333299</v>
      </c>
      <c r="K28" s="4">
        <f>IF(AND(B28=Werte!B28,LEFT(A28,5)=LEFT(Werte!A28,5)),Werte!D28,"not found")</f>
        <v>0</v>
      </c>
      <c r="L28" s="4">
        <f>IF(AND(B28=Werte!B28,LEFT(A28,5)=LEFT(Werte!A28,5)),Werte!E28,"not found")</f>
        <v>0.230769230769231</v>
      </c>
      <c r="M28" s="4">
        <f>IF(AND(B28=Werte!B28,LEFT(A28,5)=LEFT(Werte!A28,5)),Werte!F28,"not found")</f>
        <v>0.496572606857482</v>
      </c>
      <c r="N28" s="4" t="str">
        <f t="shared" si="1"/>
        <v>helfer</v>
      </c>
      <c r="O28" s="4" cm="1">
        <f t="array" ref="O28">_xlfn.SWITCH(A28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8" s="4" t="str">
        <f>IF(Nodes[[#This Row],[Bezeichnung2]] = "betrueger",1,"")</f>
        <v/>
      </c>
      <c r="Q28" s="4" t="str">
        <f>IF(Nodes[[#This Row],[Bezeichnung2]] = "betrogener",2,"")</f>
        <v/>
      </c>
      <c r="R28" s="4" t="str">
        <f>IF(Nodes[[#This Row],[Bezeichnung2]] = "liebender",3,"")</f>
        <v/>
      </c>
      <c r="S28" s="4" t="str">
        <f>IF(Nodes[[#This Row],[Bezeichnung2]] = "liebende",4,"")</f>
        <v/>
      </c>
      <c r="T28" s="4" t="str">
        <f>IF(Nodes[[#This Row],[Bezeichnung2]] = "gegenspieler",5,"")</f>
        <v/>
      </c>
    </row>
    <row r="29" spans="1:20" x14ac:dyDescent="0.3">
      <c r="A29" t="s">
        <v>90</v>
      </c>
      <c r="B29" t="s">
        <v>91</v>
      </c>
      <c r="C29" t="s">
        <v>18</v>
      </c>
      <c r="D29" t="s">
        <v>92</v>
      </c>
      <c r="E29" t="s">
        <v>20</v>
      </c>
      <c r="F29" t="s">
        <v>93</v>
      </c>
      <c r="G29" t="s">
        <v>22</v>
      </c>
      <c r="H29" t="str">
        <f t="shared" si="0"/>
        <v>klerus</v>
      </c>
      <c r="I29" t="str" cm="1">
        <f t="array" ref="I29">_xlfn.SWITCH(A29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9" s="4">
        <f>IF(AND(B29=Werte!B29,LEFT(A29,5)=LEFT(Werte!A29,5)),Werte!C29,"not found")</f>
        <v>2</v>
      </c>
      <c r="K29" s="4">
        <f>IF(AND(B29=Werte!B29,LEFT(A29,5)=LEFT(Werte!A29,5)),Werte!D29,"not found")</f>
        <v>0.133333333333333</v>
      </c>
      <c r="L29" s="4">
        <f>IF(AND(B29=Werte!B29,LEFT(A29,5)=LEFT(Werte!A29,5)),Werte!E29,"not found")</f>
        <v>0.35294117647058798</v>
      </c>
      <c r="M29" s="4">
        <f>IF(AND(B29=Werte!B29,LEFT(A29,5)=LEFT(Werte!A29,5)),Werte!F29,"not found")</f>
        <v>1</v>
      </c>
      <c r="N29" s="4" t="str">
        <f t="shared" si="1"/>
        <v>betrogener</v>
      </c>
      <c r="O29" s="4" cm="1">
        <f t="array" ref="O29">_xlfn.SWITCH(A29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9" s="4" t="str">
        <f>IF(Nodes[[#This Row],[Bezeichnung2]] = "betrueger",1,"")</f>
        <v/>
      </c>
      <c r="Q29" s="4">
        <f>IF(Nodes[[#This Row],[Bezeichnung2]] = "betrogener",2,"")</f>
        <v>2</v>
      </c>
      <c r="R29" s="4" t="str">
        <f>IF(Nodes[[#This Row],[Bezeichnung2]] = "liebender",3,"")</f>
        <v/>
      </c>
      <c r="S29" s="4" t="str">
        <f>IF(Nodes[[#This Row],[Bezeichnung2]] = "liebende",4,"")</f>
        <v/>
      </c>
      <c r="T29" s="4" t="str">
        <f>IF(Nodes[[#This Row],[Bezeichnung2]] = "gegenspieler",5,"")</f>
        <v/>
      </c>
    </row>
    <row r="30" spans="1:20" x14ac:dyDescent="0.3">
      <c r="A30" t="s">
        <v>90</v>
      </c>
      <c r="B30" t="s">
        <v>94</v>
      </c>
      <c r="C30" t="s">
        <v>24</v>
      </c>
      <c r="D30" t="s">
        <v>95</v>
      </c>
      <c r="E30" t="s">
        <v>47</v>
      </c>
      <c r="F30" t="s">
        <v>96</v>
      </c>
      <c r="G30" t="s">
        <v>26</v>
      </c>
      <c r="H30" t="str">
        <f t="shared" si="0"/>
        <v>buergerlich</v>
      </c>
      <c r="I30" t="str" cm="1">
        <f t="array" ref="I30">_xlfn.SWITCH(A30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0" s="4">
        <f>IF(AND(B30=Werte!B30,LEFT(A30,5)=LEFT(Werte!A30,5)),Werte!C30,"not found")</f>
        <v>1.6666666666666701</v>
      </c>
      <c r="K30" s="4">
        <f>IF(AND(B30=Werte!B30,LEFT(A30,5)=LEFT(Werte!A30,5)),Werte!D30,"not found")</f>
        <v>0.133333333333333</v>
      </c>
      <c r="L30" s="4">
        <f>IF(AND(B30=Werte!B30,LEFT(A30,5)=LEFT(Werte!A30,5)),Werte!E30,"not found")</f>
        <v>0.3</v>
      </c>
      <c r="M30" s="4">
        <f>IF(AND(B30=Werte!B30,LEFT(A30,5)=LEFT(Werte!A30,5)),Werte!F30,"not found")</f>
        <v>0.76059425267780501</v>
      </c>
      <c r="N30" s="4" t="str">
        <f t="shared" si="1"/>
        <v>betrueger</v>
      </c>
      <c r="O30" s="4" cm="1">
        <f t="array" ref="O30">_xlfn.SWITCH(A30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0" s="4">
        <f>IF(Nodes[[#This Row],[Bezeichnung2]] = "betrueger",1,"")</f>
        <v>1</v>
      </c>
      <c r="Q30" s="4" t="str">
        <f>IF(Nodes[[#This Row],[Bezeichnung2]] = "betrogener",2,"")</f>
        <v/>
      </c>
      <c r="R30" s="4" t="str">
        <f>IF(Nodes[[#This Row],[Bezeichnung2]] = "liebender",3,"")</f>
        <v/>
      </c>
      <c r="S30" s="4" t="str">
        <f>IF(Nodes[[#This Row],[Bezeichnung2]] = "liebende",4,"")</f>
        <v/>
      </c>
      <c r="T30" s="4" t="str">
        <f>IF(Nodes[[#This Row],[Bezeichnung2]] = "gegenspieler",5,"")</f>
        <v/>
      </c>
    </row>
    <row r="31" spans="1:20" x14ac:dyDescent="0.3">
      <c r="A31" t="s">
        <v>90</v>
      </c>
      <c r="B31" t="s">
        <v>97</v>
      </c>
      <c r="C31" t="s">
        <v>46</v>
      </c>
      <c r="D31" t="s">
        <v>92</v>
      </c>
      <c r="E31" t="s">
        <v>47</v>
      </c>
      <c r="F31" t="s">
        <v>47</v>
      </c>
      <c r="G31" t="s">
        <v>26</v>
      </c>
      <c r="H31" t="str">
        <f t="shared" si="0"/>
        <v>klerus</v>
      </c>
      <c r="I31" t="str" cm="1">
        <f t="array" ref="I31">_xlfn.SWITCH(A31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1" s="4">
        <f>IF(AND(B31=Werte!B31,LEFT(A31,5)=LEFT(Werte!A31,5)),Werte!C31,"not found")</f>
        <v>1</v>
      </c>
      <c r="K31" s="4">
        <f>IF(AND(B31=Werte!B31,LEFT(A31,5)=LEFT(Werte!A31,5)),Werte!D31,"not found")</f>
        <v>0.2</v>
      </c>
      <c r="L31" s="4">
        <f>IF(AND(B31=Werte!B31,LEFT(A31,5)=LEFT(Werte!A31,5)),Werte!E31,"not found")</f>
        <v>0.31578947368421101</v>
      </c>
      <c r="M31" s="4">
        <f>IF(AND(B31=Werte!B31,LEFT(A31,5)=LEFT(Werte!A31,5)),Werte!F31,"not found")</f>
        <v>0.22858569381341701</v>
      </c>
      <c r="N31" s="4" t="str">
        <f t="shared" si="1"/>
        <v>unbekannt</v>
      </c>
      <c r="O31" s="4" cm="1">
        <f t="array" ref="O31">_xlfn.SWITCH(A31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1" s="4" t="str">
        <f>IF(Nodes[[#This Row],[Bezeichnung2]] = "betrueger",1,"")</f>
        <v/>
      </c>
      <c r="Q31" s="4" t="str">
        <f>IF(Nodes[[#This Row],[Bezeichnung2]] = "betrogener",2,"")</f>
        <v/>
      </c>
      <c r="R31" s="4" t="str">
        <f>IF(Nodes[[#This Row],[Bezeichnung2]] = "liebender",3,"")</f>
        <v/>
      </c>
      <c r="S31" s="4" t="str">
        <f>IF(Nodes[[#This Row],[Bezeichnung2]] = "liebende",4,"")</f>
        <v/>
      </c>
      <c r="T31" s="4" t="str">
        <f>IF(Nodes[[#This Row],[Bezeichnung2]] = "gegenspieler",5,"")</f>
        <v/>
      </c>
    </row>
    <row r="32" spans="1:20" x14ac:dyDescent="0.3">
      <c r="A32" t="s">
        <v>90</v>
      </c>
      <c r="B32" t="s">
        <v>98</v>
      </c>
      <c r="C32" t="s">
        <v>18</v>
      </c>
      <c r="D32" t="s">
        <v>99</v>
      </c>
      <c r="E32" t="s">
        <v>32</v>
      </c>
      <c r="F32" t="s">
        <v>96</v>
      </c>
      <c r="G32" t="s">
        <v>22</v>
      </c>
      <c r="H32" t="str">
        <f t="shared" si="0"/>
        <v>klerus</v>
      </c>
      <c r="I32" t="str" cm="1">
        <f t="array" ref="I32">_xlfn.SWITCH(A32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2" s="4">
        <f>IF(AND(B32=Werte!B32,LEFT(A32,5)=LEFT(Werte!A32,5)),Werte!C32,"not found")</f>
        <v>2</v>
      </c>
      <c r="K32" s="4">
        <f>IF(AND(B32=Werte!B32,LEFT(A32,5)=LEFT(Werte!A32,5)),Werte!D32,"not found")</f>
        <v>0.133333333333333</v>
      </c>
      <c r="L32" s="4">
        <f>IF(AND(B32=Werte!B32,LEFT(A32,5)=LEFT(Werte!A32,5)),Werte!E32,"not found")</f>
        <v>0.35294117647058798</v>
      </c>
      <c r="M32" s="4">
        <f>IF(AND(B32=Werte!B32,LEFT(A32,5)=LEFT(Werte!A32,5)),Werte!F32,"not found")</f>
        <v>0.89915266055836895</v>
      </c>
      <c r="N32" s="4" t="str">
        <f t="shared" si="1"/>
        <v>betrueger</v>
      </c>
      <c r="O32" s="4" cm="1">
        <f t="array" ref="O32">_xlfn.SWITCH(A32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2" s="4">
        <f>IF(Nodes[[#This Row],[Bezeichnung2]] = "betrueger",1,"")</f>
        <v>1</v>
      </c>
      <c r="Q32" s="4" t="str">
        <f>IF(Nodes[[#This Row],[Bezeichnung2]] = "betrogener",2,"")</f>
        <v/>
      </c>
      <c r="R32" s="4" t="str">
        <f>IF(Nodes[[#This Row],[Bezeichnung2]] = "liebender",3,"")</f>
        <v/>
      </c>
      <c r="S32" s="4" t="str">
        <f>IF(Nodes[[#This Row],[Bezeichnung2]] = "liebende",4,"")</f>
        <v/>
      </c>
      <c r="T32" s="4" t="str">
        <f>IF(Nodes[[#This Row],[Bezeichnung2]] = "gegenspieler",5,"")</f>
        <v/>
      </c>
    </row>
    <row r="33" spans="1:20" x14ac:dyDescent="0.3">
      <c r="A33" t="s">
        <v>90</v>
      </c>
      <c r="B33" t="s">
        <v>100</v>
      </c>
      <c r="C33" t="s">
        <v>18</v>
      </c>
      <c r="D33" t="s">
        <v>101</v>
      </c>
      <c r="E33" t="s">
        <v>47</v>
      </c>
      <c r="F33" t="s">
        <v>47</v>
      </c>
      <c r="G33" t="s">
        <v>26</v>
      </c>
      <c r="H33" t="str">
        <f t="shared" si="0"/>
        <v>buergerlich</v>
      </c>
      <c r="I33" t="str" cm="1">
        <f t="array" ref="I33">_xlfn.SWITCH(A33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3" s="4">
        <f>IF(AND(B33=Werte!B33,LEFT(A33,5)=LEFT(Werte!A33,5)),Werte!C33,"not found")</f>
        <v>1.3333333333333299</v>
      </c>
      <c r="K33" s="4">
        <f>IF(AND(B33=Werte!B33,LEFT(A33,5)=LEFT(Werte!A33,5)),Werte!D33,"not found")</f>
        <v>0</v>
      </c>
      <c r="L33" s="4">
        <f>IF(AND(B33=Werte!B33,LEFT(A33,5)=LEFT(Werte!A33,5)),Werte!E33,"not found")</f>
        <v>0.28571428571428598</v>
      </c>
      <c r="M33" s="4">
        <f>IF(AND(B33=Werte!B33,LEFT(A33,5)=LEFT(Werte!A33,5)),Werte!F33,"not found")</f>
        <v>0.36009806601030497</v>
      </c>
      <c r="N33" s="4" t="str">
        <f t="shared" si="1"/>
        <v>unbekannt</v>
      </c>
      <c r="O33" s="4" cm="1">
        <f t="array" ref="O33">_xlfn.SWITCH(A33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3" s="4" t="str">
        <f>IF(Nodes[[#This Row],[Bezeichnung2]] = "betrueger",1,"")</f>
        <v/>
      </c>
      <c r="Q33" s="4" t="str">
        <f>IF(Nodes[[#This Row],[Bezeichnung2]] = "betrogener",2,"")</f>
        <v/>
      </c>
      <c r="R33" s="4" t="str">
        <f>IF(Nodes[[#This Row],[Bezeichnung2]] = "liebender",3,"")</f>
        <v/>
      </c>
      <c r="S33" s="4" t="str">
        <f>IF(Nodes[[#This Row],[Bezeichnung2]] = "liebende",4,"")</f>
        <v/>
      </c>
      <c r="T33" s="4" t="str">
        <f>IF(Nodes[[#This Row],[Bezeichnung2]] = "gegenspieler",5,"")</f>
        <v/>
      </c>
    </row>
    <row r="34" spans="1:20" x14ac:dyDescent="0.3">
      <c r="A34" t="s">
        <v>90</v>
      </c>
      <c r="B34" t="s">
        <v>102</v>
      </c>
      <c r="C34" t="s">
        <v>24</v>
      </c>
      <c r="D34" t="s">
        <v>101</v>
      </c>
      <c r="E34" t="s">
        <v>47</v>
      </c>
      <c r="F34" t="s">
        <v>47</v>
      </c>
      <c r="G34" t="s">
        <v>26</v>
      </c>
      <c r="H34" t="str">
        <f t="shared" si="0"/>
        <v>buergerlich</v>
      </c>
      <c r="I34" t="str" cm="1">
        <f t="array" ref="I34">_xlfn.SWITCH(A34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4" s="4">
        <f>IF(AND(B34=Werte!B34,LEFT(A34,5)=LEFT(Werte!A34,5)),Werte!C34,"not found")</f>
        <v>1.3333333333333299</v>
      </c>
      <c r="K34" s="4">
        <f>IF(AND(B34=Werte!B34,LEFT(A34,5)=LEFT(Werte!A34,5)),Werte!D34,"not found")</f>
        <v>0.1</v>
      </c>
      <c r="L34" s="4">
        <f>IF(AND(B34=Werte!B34,LEFT(A34,5)=LEFT(Werte!A34,5)),Werte!E34,"not found")</f>
        <v>0.33333333333333298</v>
      </c>
      <c r="M34" s="4">
        <f>IF(AND(B34=Werte!B34,LEFT(A34,5)=LEFT(Werte!A34,5)),Werte!F34,"not found")</f>
        <v>0.29517468699158</v>
      </c>
      <c r="N34" s="4" t="str">
        <f t="shared" si="1"/>
        <v>unbekannt</v>
      </c>
      <c r="O34" s="4" cm="1">
        <f t="array" ref="O34">_xlfn.SWITCH(A34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4" s="4" t="str">
        <f>IF(Nodes[[#This Row],[Bezeichnung2]] = "betrueger",1,"")</f>
        <v/>
      </c>
      <c r="Q34" s="4" t="str">
        <f>IF(Nodes[[#This Row],[Bezeichnung2]] = "betrogener",2,"")</f>
        <v/>
      </c>
      <c r="R34" s="4" t="str">
        <f>IF(Nodes[[#This Row],[Bezeichnung2]] = "liebender",3,"")</f>
        <v/>
      </c>
      <c r="S34" s="4" t="str">
        <f>IF(Nodes[[#This Row],[Bezeichnung2]] = "liebende",4,"")</f>
        <v/>
      </c>
      <c r="T34" s="4" t="str">
        <f>IF(Nodes[[#This Row],[Bezeichnung2]] = "gegenspieler",5,"")</f>
        <v/>
      </c>
    </row>
    <row r="35" spans="1:20" x14ac:dyDescent="0.3">
      <c r="A35" t="s">
        <v>90</v>
      </c>
      <c r="B35" t="s">
        <v>103</v>
      </c>
      <c r="C35" t="s">
        <v>18</v>
      </c>
      <c r="D35" t="s">
        <v>92</v>
      </c>
      <c r="E35" t="s">
        <v>47</v>
      </c>
      <c r="F35" t="s">
        <v>104</v>
      </c>
      <c r="G35" t="s">
        <v>26</v>
      </c>
      <c r="H35" t="str">
        <f t="shared" si="0"/>
        <v>klerus</v>
      </c>
      <c r="I35" t="str" cm="1">
        <f t="array" ref="I35">_xlfn.SWITCH(A35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5" s="4">
        <f>IF(AND(B35=Werte!B35,LEFT(A35,5)=LEFT(Werte!A35,5)),Werte!C35,"not found")</f>
        <v>0.66666666666666696</v>
      </c>
      <c r="K35" s="4">
        <f>IF(AND(B35=Werte!B35,LEFT(A35,5)=LEFT(Werte!A35,5)),Werte!D35,"not found")</f>
        <v>6.6666666666666693E-2</v>
      </c>
      <c r="L35" s="4">
        <f>IF(AND(B35=Werte!B35,LEFT(A35,5)=LEFT(Werte!A35,5)),Werte!E35,"not found")</f>
        <v>0.3</v>
      </c>
      <c r="M35" s="4">
        <f>IF(AND(B35=Werte!B35,LEFT(A35,5)=LEFT(Werte!A35,5)),Werte!F35,"not found")</f>
        <v>6.7221371524696302E-2</v>
      </c>
      <c r="N35" s="4" t="str">
        <f t="shared" si="1"/>
        <v>bote</v>
      </c>
      <c r="O35" s="4" cm="1">
        <f t="array" ref="O35">_xlfn.SWITCH(A35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5" s="4" t="str">
        <f>IF(Nodes[[#This Row],[Bezeichnung2]] = "betrueger",1,"")</f>
        <v/>
      </c>
      <c r="Q35" s="4" t="str">
        <f>IF(Nodes[[#This Row],[Bezeichnung2]] = "betrogener",2,"")</f>
        <v/>
      </c>
      <c r="R35" s="4" t="str">
        <f>IF(Nodes[[#This Row],[Bezeichnung2]] = "liebender",3,"")</f>
        <v/>
      </c>
      <c r="S35" s="4" t="str">
        <f>IF(Nodes[[#This Row],[Bezeichnung2]] = "liebende",4,"")</f>
        <v/>
      </c>
      <c r="T35" s="4" t="str">
        <f>IF(Nodes[[#This Row],[Bezeichnung2]] = "gegenspieler",5,"")</f>
        <v/>
      </c>
    </row>
    <row r="36" spans="1:20" x14ac:dyDescent="0.3">
      <c r="A36" t="s">
        <v>105</v>
      </c>
      <c r="B36" t="s">
        <v>56</v>
      </c>
      <c r="C36" t="s">
        <v>18</v>
      </c>
      <c r="D36" t="s">
        <v>57</v>
      </c>
      <c r="E36" t="s">
        <v>47</v>
      </c>
      <c r="F36" t="s">
        <v>96</v>
      </c>
      <c r="G36" t="s">
        <v>22</v>
      </c>
      <c r="H36" t="str">
        <f t="shared" si="0"/>
        <v>adel</v>
      </c>
      <c r="I36" t="str" cm="1">
        <f t="array" ref="I36">_xlfn.SWITCH(A36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36" s="4">
        <f>IF(AND(B36=Werte!B36,LEFT(A36,5)=LEFT(Werte!A36,5)),Werte!C36,"not found")</f>
        <v>2</v>
      </c>
      <c r="K36" s="4">
        <f>IF(AND(B36=Werte!B36,LEFT(A36,5)=LEFT(Werte!A36,5)),Werte!D36,"not found")</f>
        <v>0.33333333333333298</v>
      </c>
      <c r="L36" s="4">
        <f>IF(AND(B36=Werte!B36,LEFT(A36,5)=LEFT(Werte!A36,5)),Werte!E36,"not found")</f>
        <v>0.33333333333333298</v>
      </c>
      <c r="M36" s="4">
        <f>IF(AND(B36=Werte!B36,LEFT(A36,5)=LEFT(Werte!A36,5)),Werte!F36,"not found")</f>
        <v>1</v>
      </c>
      <c r="N36" s="4" t="str">
        <f t="shared" si="1"/>
        <v>betrueger</v>
      </c>
      <c r="O36" s="4" cm="1">
        <f t="array" ref="O36">_xlfn.SWITCH(A36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6" s="4">
        <f>IF(Nodes[[#This Row],[Bezeichnung2]] = "betrueger",1,"")</f>
        <v>1</v>
      </c>
      <c r="Q36" s="4" t="str">
        <f>IF(Nodes[[#This Row],[Bezeichnung2]] = "betrogener",2,"")</f>
        <v/>
      </c>
      <c r="R36" s="4" t="str">
        <f>IF(Nodes[[#This Row],[Bezeichnung2]] = "liebender",3,"")</f>
        <v/>
      </c>
      <c r="S36" s="4" t="str">
        <f>IF(Nodes[[#This Row],[Bezeichnung2]] = "liebende",4,"")</f>
        <v/>
      </c>
      <c r="T36" s="4" t="str">
        <f>IF(Nodes[[#This Row],[Bezeichnung2]] = "gegenspieler",5,"")</f>
        <v/>
      </c>
    </row>
    <row r="37" spans="1:20" x14ac:dyDescent="0.3">
      <c r="A37" t="s">
        <v>105</v>
      </c>
      <c r="B37" t="s">
        <v>106</v>
      </c>
      <c r="C37" t="s">
        <v>24</v>
      </c>
      <c r="D37" t="s">
        <v>47</v>
      </c>
      <c r="E37" t="s">
        <v>47</v>
      </c>
      <c r="F37" t="s">
        <v>47</v>
      </c>
      <c r="G37" t="s">
        <v>26</v>
      </c>
      <c r="H37" t="str">
        <f t="shared" si="0"/>
        <v>unbekannt</v>
      </c>
      <c r="I37" t="str" cm="1">
        <f t="array" ref="I37">_xlfn.SWITCH(A37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37" s="4">
        <f>IF(AND(B37=Werte!B37,LEFT(A37,5)=LEFT(Werte!A37,5)),Werte!C37,"not found")</f>
        <v>0.33333333333333298</v>
      </c>
      <c r="K37" s="4">
        <f>IF(AND(B37=Werte!B37,LEFT(A37,5)=LEFT(Werte!A37,5)),Werte!D37,"not found")</f>
        <v>0</v>
      </c>
      <c r="L37" s="4">
        <f>IF(AND(B37=Werte!B37,LEFT(A37,5)=LEFT(Werte!A37,5)),Werte!E37,"not found")</f>
        <v>0.26086956521739102</v>
      </c>
      <c r="M37" s="4">
        <f>IF(AND(B37=Werte!B37,LEFT(A37,5)=LEFT(Werte!A37,5)),Werte!F37,"not found")</f>
        <v>3.2961247936630897E-2</v>
      </c>
      <c r="N37" s="4" t="str">
        <f t="shared" si="1"/>
        <v>unbekannt</v>
      </c>
      <c r="O37" s="4" cm="1">
        <f t="array" ref="O37">_xlfn.SWITCH(A37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7" s="4" t="str">
        <f>IF(Nodes[[#This Row],[Bezeichnung2]] = "betrueger",1,"")</f>
        <v/>
      </c>
      <c r="Q37" s="4" t="str">
        <f>IF(Nodes[[#This Row],[Bezeichnung2]] = "betrogener",2,"")</f>
        <v/>
      </c>
      <c r="R37" s="4" t="str">
        <f>IF(Nodes[[#This Row],[Bezeichnung2]] = "liebender",3,"")</f>
        <v/>
      </c>
      <c r="S37" s="4" t="str">
        <f>IF(Nodes[[#This Row],[Bezeichnung2]] = "liebende",4,"")</f>
        <v/>
      </c>
      <c r="T37" s="4" t="str">
        <f>IF(Nodes[[#This Row],[Bezeichnung2]] = "gegenspieler",5,"")</f>
        <v/>
      </c>
    </row>
    <row r="38" spans="1:20" x14ac:dyDescent="0.3">
      <c r="A38" t="s">
        <v>105</v>
      </c>
      <c r="B38" t="s">
        <v>107</v>
      </c>
      <c r="C38" t="s">
        <v>24</v>
      </c>
      <c r="D38" t="s">
        <v>108</v>
      </c>
      <c r="E38" t="s">
        <v>28</v>
      </c>
      <c r="F38" t="s">
        <v>93</v>
      </c>
      <c r="G38" t="s">
        <v>22</v>
      </c>
      <c r="H38" t="str">
        <f t="shared" si="0"/>
        <v>buergerlich</v>
      </c>
      <c r="I38" t="str" cm="1">
        <f t="array" ref="I38">_xlfn.SWITCH(A38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38" s="4">
        <f>IF(AND(B38=Werte!B38,LEFT(A38,5)=LEFT(Werte!A38,5)),Werte!C38,"not found")</f>
        <v>1.6666666666666701</v>
      </c>
      <c r="K38" s="4">
        <f>IF(AND(B38=Werte!B38,LEFT(A38,5)=LEFT(Werte!A38,5)),Werte!D38,"not found")</f>
        <v>0.2</v>
      </c>
      <c r="L38" s="4">
        <f>IF(AND(B38=Werte!B38,LEFT(A38,5)=LEFT(Werte!A38,5)),Werte!E38,"not found")</f>
        <v>0.33333333333333298</v>
      </c>
      <c r="M38" s="4">
        <f>IF(AND(B38=Werte!B38,LEFT(A38,5)=LEFT(Werte!A38,5)),Werte!F38,"not found")</f>
        <v>0.95840764446238103</v>
      </c>
      <c r="N38" s="4" t="str">
        <f t="shared" si="1"/>
        <v>betrogener</v>
      </c>
      <c r="O38" s="4" cm="1">
        <f t="array" ref="O38">_xlfn.SWITCH(A38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8" s="4" t="str">
        <f>IF(Nodes[[#This Row],[Bezeichnung2]] = "betrueger",1,"")</f>
        <v/>
      </c>
      <c r="Q38" s="4">
        <f>IF(Nodes[[#This Row],[Bezeichnung2]] = "betrogener",2,"")</f>
        <v>2</v>
      </c>
      <c r="R38" s="4" t="str">
        <f>IF(Nodes[[#This Row],[Bezeichnung2]] = "liebender",3,"")</f>
        <v/>
      </c>
      <c r="S38" s="4" t="str">
        <f>IF(Nodes[[#This Row],[Bezeichnung2]] = "liebende",4,"")</f>
        <v/>
      </c>
      <c r="T38" s="4" t="str">
        <f>IF(Nodes[[#This Row],[Bezeichnung2]] = "gegenspieler",5,"")</f>
        <v/>
      </c>
    </row>
    <row r="39" spans="1:20" x14ac:dyDescent="0.3">
      <c r="A39" t="s">
        <v>105</v>
      </c>
      <c r="B39" t="s">
        <v>109</v>
      </c>
      <c r="C39" t="s">
        <v>24</v>
      </c>
      <c r="D39" t="s">
        <v>108</v>
      </c>
      <c r="E39" t="s">
        <v>47</v>
      </c>
      <c r="F39" t="s">
        <v>36</v>
      </c>
      <c r="G39" t="s">
        <v>26</v>
      </c>
      <c r="H39" t="str">
        <f t="shared" si="0"/>
        <v>buergerlich</v>
      </c>
      <c r="I39" t="str" cm="1">
        <f t="array" ref="I39">_xlfn.SWITCH(A39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39" s="4">
        <f>IF(AND(B39=Werte!B39,LEFT(A39,5)=LEFT(Werte!A39,5)),Werte!C39,"not found")</f>
        <v>0.66666666666666696</v>
      </c>
      <c r="K39" s="4">
        <f>IF(AND(B39=Werte!B39,LEFT(A39,5)=LEFT(Werte!A39,5)),Werte!D39,"not found")</f>
        <v>0</v>
      </c>
      <c r="L39" s="4">
        <f>IF(AND(B39=Werte!B39,LEFT(A39,5)=LEFT(Werte!A39,5)),Werte!E39,"not found")</f>
        <v>0.12765957446808501</v>
      </c>
      <c r="M39" s="4">
        <f>IF(AND(B39=Werte!B39,LEFT(A39,5)=LEFT(Werte!A39,5)),Werte!F39,"not found")</f>
        <v>0.45186091951082602</v>
      </c>
      <c r="N39" s="4" t="str">
        <f t="shared" si="1"/>
        <v>mutter</v>
      </c>
      <c r="O39" s="4" cm="1">
        <f t="array" ref="O39">_xlfn.SWITCH(A39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9" s="4" t="str">
        <f>IF(Nodes[[#This Row],[Bezeichnung2]] = "betrueger",1,"")</f>
        <v/>
      </c>
      <c r="Q39" s="4" t="str">
        <f>IF(Nodes[[#This Row],[Bezeichnung2]] = "betrogener",2,"")</f>
        <v/>
      </c>
      <c r="R39" s="4" t="str">
        <f>IF(Nodes[[#This Row],[Bezeichnung2]] = "liebender",3,"")</f>
        <v/>
      </c>
      <c r="S39" s="4" t="str">
        <f>IF(Nodes[[#This Row],[Bezeichnung2]] = "liebende",4,"")</f>
        <v/>
      </c>
      <c r="T39" s="4" t="str">
        <f>IF(Nodes[[#This Row],[Bezeichnung2]] = "gegenspieler",5,"")</f>
        <v/>
      </c>
    </row>
    <row r="40" spans="1:20" x14ac:dyDescent="0.3">
      <c r="A40" t="s">
        <v>105</v>
      </c>
      <c r="B40" t="s">
        <v>110</v>
      </c>
      <c r="C40" t="s">
        <v>24</v>
      </c>
      <c r="D40" t="s">
        <v>86</v>
      </c>
      <c r="E40" t="s">
        <v>20</v>
      </c>
      <c r="F40" t="s">
        <v>47</v>
      </c>
      <c r="G40" t="s">
        <v>26</v>
      </c>
      <c r="H40" t="str">
        <f t="shared" si="0"/>
        <v>adel</v>
      </c>
      <c r="I40" t="str" cm="1">
        <f t="array" ref="I40">_xlfn.SWITCH(A40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40" s="4">
        <f>IF(AND(B40=Werte!B40,LEFT(A40,5)=LEFT(Werte!A40,5)),Werte!C40,"not found")</f>
        <v>1.3333333333333299</v>
      </c>
      <c r="K40" s="4">
        <f>IF(AND(B40=Werte!B40,LEFT(A40,5)=LEFT(Werte!A40,5)),Werte!D40,"not found")</f>
        <v>0</v>
      </c>
      <c r="L40" s="4">
        <f>IF(AND(B40=Werte!B40,LEFT(A40,5)=LEFT(Werte!A40,5)),Werte!E40,"not found")</f>
        <v>0.28571428571428598</v>
      </c>
      <c r="M40" s="4">
        <f>IF(AND(B40=Werte!B40,LEFT(A40,5)=LEFT(Werte!A40,5)),Werte!F40,"not found")</f>
        <v>0.33873234180956802</v>
      </c>
      <c r="N40" s="4" t="str">
        <f t="shared" si="1"/>
        <v>unbekannt</v>
      </c>
      <c r="O40" s="4" cm="1">
        <f t="array" ref="O40">_xlfn.SWITCH(A40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0" s="4" t="str">
        <f>IF(Nodes[[#This Row],[Bezeichnung2]] = "betrueger",1,"")</f>
        <v/>
      </c>
      <c r="Q40" s="4" t="str">
        <f>IF(Nodes[[#This Row],[Bezeichnung2]] = "betrogener",2,"")</f>
        <v/>
      </c>
      <c r="R40" s="4" t="str">
        <f>IF(Nodes[[#This Row],[Bezeichnung2]] = "liebender",3,"")</f>
        <v/>
      </c>
      <c r="S40" s="4" t="str">
        <f>IF(Nodes[[#This Row],[Bezeichnung2]] = "liebende",4,"")</f>
        <v/>
      </c>
      <c r="T40" s="4" t="str">
        <f>IF(Nodes[[#This Row],[Bezeichnung2]] = "gegenspieler",5,"")</f>
        <v/>
      </c>
    </row>
    <row r="41" spans="1:20" x14ac:dyDescent="0.3">
      <c r="A41" t="s">
        <v>105</v>
      </c>
      <c r="B41" t="s">
        <v>111</v>
      </c>
      <c r="C41" t="s">
        <v>18</v>
      </c>
      <c r="D41" t="s">
        <v>112</v>
      </c>
      <c r="E41" t="s">
        <v>47</v>
      </c>
      <c r="F41" t="s">
        <v>47</v>
      </c>
      <c r="G41" t="s">
        <v>26</v>
      </c>
      <c r="H41" t="str">
        <f t="shared" si="0"/>
        <v>klerus</v>
      </c>
      <c r="I41" t="str" cm="1">
        <f t="array" ref="I41">_xlfn.SWITCH(A41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41" s="4">
        <f>IF(AND(B41=Werte!B41,LEFT(A41,5)=LEFT(Werte!A41,5)),Werte!C41,"not found")</f>
        <v>1.3333333333333299</v>
      </c>
      <c r="K41" s="4">
        <f>IF(AND(B41=Werte!B41,LEFT(A41,5)=LEFT(Werte!A41,5)),Werte!D41,"not found")</f>
        <v>6.6666666666666693E-2</v>
      </c>
      <c r="L41" s="4">
        <f>IF(AND(B41=Werte!B41,LEFT(A41,5)=LEFT(Werte!A41,5)),Werte!E41,"not found")</f>
        <v>0.35294117647058798</v>
      </c>
      <c r="M41" s="4">
        <f>IF(AND(B41=Werte!B41,LEFT(A41,5)=LEFT(Werte!A41,5)),Werte!F41,"not found")</f>
        <v>0.123559287013149</v>
      </c>
      <c r="N41" s="4" t="str">
        <f t="shared" si="1"/>
        <v>unbekannt</v>
      </c>
      <c r="O41" s="4" cm="1">
        <f t="array" ref="O41">_xlfn.SWITCH(A41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1" s="4" t="str">
        <f>IF(Nodes[[#This Row],[Bezeichnung2]] = "betrueger",1,"")</f>
        <v/>
      </c>
      <c r="Q41" s="4" t="str">
        <f>IF(Nodes[[#This Row],[Bezeichnung2]] = "betrogener",2,"")</f>
        <v/>
      </c>
      <c r="R41" s="4" t="str">
        <f>IF(Nodes[[#This Row],[Bezeichnung2]] = "liebender",3,"")</f>
        <v/>
      </c>
      <c r="S41" s="4" t="str">
        <f>IF(Nodes[[#This Row],[Bezeichnung2]] = "liebende",4,"")</f>
        <v/>
      </c>
      <c r="T41" s="4" t="str">
        <f>IF(Nodes[[#This Row],[Bezeichnung2]] = "gegenspieler",5,"")</f>
        <v/>
      </c>
    </row>
    <row r="42" spans="1:20" x14ac:dyDescent="0.3">
      <c r="A42" t="s">
        <v>105</v>
      </c>
      <c r="B42" t="s">
        <v>113</v>
      </c>
      <c r="C42" t="s">
        <v>46</v>
      </c>
      <c r="D42" t="s">
        <v>47</v>
      </c>
      <c r="E42" t="s">
        <v>47</v>
      </c>
      <c r="F42" t="s">
        <v>47</v>
      </c>
      <c r="G42" t="s">
        <v>26</v>
      </c>
      <c r="H42" t="str">
        <f t="shared" si="0"/>
        <v>unbekannt</v>
      </c>
      <c r="I42" t="str" cm="1">
        <f t="array" ref="I42">_xlfn.SWITCH(A42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42" s="4">
        <f>IF(AND(B42=Werte!B42,LEFT(A42,5)=LEFT(Werte!A42,5)),Werte!C42,"not found")</f>
        <v>1.3333333333333299</v>
      </c>
      <c r="K42" s="4">
        <f>IF(AND(B42=Werte!B42,LEFT(A42,5)=LEFT(Werte!A42,5)),Werte!D42,"not found")</f>
        <v>0.3</v>
      </c>
      <c r="L42" s="4">
        <f>IF(AND(B42=Werte!B42,LEFT(A42,5)=LEFT(Werte!A42,5)),Werte!E42,"not found")</f>
        <v>0.375</v>
      </c>
      <c r="M42" s="4">
        <f>IF(AND(B42=Werte!B42,LEFT(A42,5)=LEFT(Werte!A42,5)),Werte!F42,"not found")</f>
        <v>0.112750516863404</v>
      </c>
      <c r="N42" s="4" t="str">
        <f t="shared" si="1"/>
        <v>unbekannt</v>
      </c>
      <c r="O42" s="4" cm="1">
        <f t="array" ref="O42">_xlfn.SWITCH(A42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2" s="4" t="str">
        <f>IF(Nodes[[#This Row],[Bezeichnung2]] = "betrueger",1,"")</f>
        <v/>
      </c>
      <c r="Q42" s="4" t="str">
        <f>IF(Nodes[[#This Row],[Bezeichnung2]] = "betrogener",2,"")</f>
        <v/>
      </c>
      <c r="R42" s="4" t="str">
        <f>IF(Nodes[[#This Row],[Bezeichnung2]] = "liebender",3,"")</f>
        <v/>
      </c>
      <c r="S42" s="4" t="str">
        <f>IF(Nodes[[#This Row],[Bezeichnung2]] = "liebende",4,"")</f>
        <v/>
      </c>
      <c r="T42" s="4" t="str">
        <f>IF(Nodes[[#This Row],[Bezeichnung2]] = "gegenspieler",5,"")</f>
        <v/>
      </c>
    </row>
    <row r="43" spans="1:20" x14ac:dyDescent="0.3">
      <c r="A43" t="s">
        <v>114</v>
      </c>
      <c r="B43" t="s">
        <v>85</v>
      </c>
      <c r="C43" t="s">
        <v>24</v>
      </c>
      <c r="D43" t="s">
        <v>47</v>
      </c>
      <c r="E43" t="s">
        <v>47</v>
      </c>
      <c r="F43" t="s">
        <v>25</v>
      </c>
      <c r="G43" t="s">
        <v>22</v>
      </c>
      <c r="H43" t="str">
        <f t="shared" si="0"/>
        <v>unbekannt</v>
      </c>
      <c r="I43" t="str" cm="1">
        <f t="array" ref="I43">_xlfn.SWITCH(A43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3" s="4">
        <f>IF(AND(B43=Werte!B43,LEFT(A43,5)=LEFT(Werte!A43,5)),Werte!C43,"not found")</f>
        <v>0</v>
      </c>
      <c r="K43" s="4">
        <f>IF(AND(B43=Werte!B43,LEFT(A43,5)=LEFT(Werte!A43,5)),Werte!D43,"not found")</f>
        <v>0</v>
      </c>
      <c r="L43" s="4">
        <f>IF(AND(B43=Werte!B43,LEFT(A43,5)=LEFT(Werte!A43,5)),Werte!E43,"not found")</f>
        <v>0</v>
      </c>
      <c r="M43" s="4">
        <f>IF(AND(B43=Werte!B43,LEFT(A43,5)=LEFT(Werte!A43,5)),Werte!F43,"not found")</f>
        <v>0</v>
      </c>
      <c r="N43" s="4" t="str">
        <f t="shared" si="1"/>
        <v>ehefrau</v>
      </c>
      <c r="O43" s="4" cm="1">
        <f t="array" ref="O43">_xlfn.SWITCH(A43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3" s="4" t="str">
        <f>IF(Nodes[[#This Row],[Bezeichnung2]] = "betrueger",1,"")</f>
        <v/>
      </c>
      <c r="Q43" s="4" t="str">
        <f>IF(Nodes[[#This Row],[Bezeichnung2]] = "betrogener",2,"")</f>
        <v/>
      </c>
      <c r="R43" s="4" t="str">
        <f>IF(Nodes[[#This Row],[Bezeichnung2]] = "liebender",3,"")</f>
        <v/>
      </c>
      <c r="S43" s="4" t="str">
        <f>IF(Nodes[[#This Row],[Bezeichnung2]] = "liebende",4,"")</f>
        <v/>
      </c>
      <c r="T43" s="4" t="str">
        <f>IF(Nodes[[#This Row],[Bezeichnung2]] = "gegenspieler",5,"")</f>
        <v/>
      </c>
    </row>
    <row r="44" spans="1:20" x14ac:dyDescent="0.3">
      <c r="A44" t="s">
        <v>114</v>
      </c>
      <c r="B44" t="s">
        <v>115</v>
      </c>
      <c r="C44" t="s">
        <v>18</v>
      </c>
      <c r="D44" t="s">
        <v>47</v>
      </c>
      <c r="E44" t="s">
        <v>47</v>
      </c>
      <c r="F44" t="s">
        <v>21</v>
      </c>
      <c r="G44" t="s">
        <v>22</v>
      </c>
      <c r="H44" t="str">
        <f t="shared" si="0"/>
        <v>unbekannt</v>
      </c>
      <c r="I44" t="str" cm="1">
        <f t="array" ref="I44">_xlfn.SWITCH(A44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4" s="4">
        <f>IF(AND(B44=Werte!B44,LEFT(A44,5)=LEFT(Werte!A44,5)),Werte!C44,"not found")</f>
        <v>0</v>
      </c>
      <c r="K44" s="4">
        <f>IF(AND(B44=Werte!B44,LEFT(A44,5)=LEFT(Werte!A44,5)),Werte!D44,"not found")</f>
        <v>0</v>
      </c>
      <c r="L44" s="4">
        <f>IF(AND(B44=Werte!B44,LEFT(A44,5)=LEFT(Werte!A44,5)),Werte!E44,"not found")</f>
        <v>0</v>
      </c>
      <c r="M44" s="4">
        <f>IF(AND(B44=Werte!B44,LEFT(A44,5)=LEFT(Werte!A44,5)),Werte!F44,"not found")</f>
        <v>0</v>
      </c>
      <c r="N44" s="4" t="str">
        <f t="shared" si="1"/>
        <v>ehemann</v>
      </c>
      <c r="O44" s="4" cm="1">
        <f t="array" ref="O44">_xlfn.SWITCH(A44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4" s="4" t="str">
        <f>IF(Nodes[[#This Row],[Bezeichnung2]] = "betrueger",1,"")</f>
        <v/>
      </c>
      <c r="Q44" s="4" t="str">
        <f>IF(Nodes[[#This Row],[Bezeichnung2]] = "betrogener",2,"")</f>
        <v/>
      </c>
      <c r="R44" s="4" t="str">
        <f>IF(Nodes[[#This Row],[Bezeichnung2]] = "liebender",3,"")</f>
        <v/>
      </c>
      <c r="S44" s="4" t="str">
        <f>IF(Nodes[[#This Row],[Bezeichnung2]] = "liebende",4,"")</f>
        <v/>
      </c>
      <c r="T44" s="4" t="str">
        <f>IF(Nodes[[#This Row],[Bezeichnung2]] = "gegenspieler",5,"")</f>
        <v/>
      </c>
    </row>
    <row r="45" spans="1:20" x14ac:dyDescent="0.3">
      <c r="A45" t="s">
        <v>116</v>
      </c>
      <c r="B45" t="s">
        <v>56</v>
      </c>
      <c r="C45" t="s">
        <v>18</v>
      </c>
      <c r="D45" t="s">
        <v>57</v>
      </c>
      <c r="E45" t="s">
        <v>20</v>
      </c>
      <c r="F45" t="s">
        <v>96</v>
      </c>
      <c r="G45" t="s">
        <v>22</v>
      </c>
      <c r="H45" t="str">
        <f t="shared" si="0"/>
        <v>adel</v>
      </c>
      <c r="I45" t="str" cm="1">
        <f t="array" ref="I45">_xlfn.SWITCH(A45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5" s="4">
        <f>IF(AND(B45=Werte!B45,LEFT(A45,5)=LEFT(Werte!A45,5)),Werte!C45,"not found")</f>
        <v>1.5</v>
      </c>
      <c r="K45" s="4">
        <f>IF(AND(B45=Werte!B45,LEFT(A45,5)=LEFT(Werte!A45,5)),Werte!D45,"not found")</f>
        <v>0</v>
      </c>
      <c r="L45" s="4">
        <f>IF(AND(B45=Werte!B45,LEFT(A45,5)=LEFT(Werte!A45,5)),Werte!E45,"not found")</f>
        <v>0.21052631578947401</v>
      </c>
      <c r="M45" s="4">
        <f>IF(AND(B45=Werte!B45,LEFT(A45,5)=LEFT(Werte!A45,5)),Werte!F45,"not found")</f>
        <v>0.99781134463478205</v>
      </c>
      <c r="N45" s="4" t="str">
        <f t="shared" si="1"/>
        <v>betrueger</v>
      </c>
      <c r="O45" s="4" cm="1">
        <f t="array" ref="O45">_xlfn.SWITCH(A45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5" s="4">
        <f>IF(Nodes[[#This Row],[Bezeichnung2]] = "betrueger",1,"")</f>
        <v>1</v>
      </c>
      <c r="Q45" s="4" t="str">
        <f>IF(Nodes[[#This Row],[Bezeichnung2]] = "betrogener",2,"")</f>
        <v/>
      </c>
      <c r="R45" s="4" t="str">
        <f>IF(Nodes[[#This Row],[Bezeichnung2]] = "liebender",3,"")</f>
        <v/>
      </c>
      <c r="S45" s="4" t="str">
        <f>IF(Nodes[[#This Row],[Bezeichnung2]] = "liebende",4,"")</f>
        <v/>
      </c>
      <c r="T45" s="4" t="str">
        <f>IF(Nodes[[#This Row],[Bezeichnung2]] = "gegenspieler",5,"")</f>
        <v/>
      </c>
    </row>
    <row r="46" spans="1:20" x14ac:dyDescent="0.3">
      <c r="A46" t="s">
        <v>116</v>
      </c>
      <c r="B46" t="s">
        <v>117</v>
      </c>
      <c r="C46" t="s">
        <v>24</v>
      </c>
      <c r="D46" t="s">
        <v>86</v>
      </c>
      <c r="E46" t="s">
        <v>20</v>
      </c>
      <c r="F46" t="s">
        <v>316</v>
      </c>
      <c r="G46" t="s">
        <v>22</v>
      </c>
      <c r="H46" t="str">
        <f t="shared" si="0"/>
        <v>adel</v>
      </c>
      <c r="I46" t="str" cm="1">
        <f t="array" ref="I46">_xlfn.SWITCH(A46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6" s="4">
        <f>IF(AND(B46=Werte!B46,LEFT(A46,5)=LEFT(Werte!A46,5)),Werte!C46,"not found")</f>
        <v>1.5</v>
      </c>
      <c r="K46" s="4">
        <f>IF(AND(B46=Werte!B46,LEFT(A46,5)=LEFT(Werte!A46,5)),Werte!D46,"not found")</f>
        <v>0</v>
      </c>
      <c r="L46" s="4">
        <f>IF(AND(B46=Werte!B46,LEFT(A46,5)=LEFT(Werte!A46,5)),Werte!E46,"not found")</f>
        <v>0.36363636363636398</v>
      </c>
      <c r="M46" s="4">
        <f>IF(AND(B46=Werte!B46,LEFT(A46,5)=LEFT(Werte!A46,5)),Werte!F46,"not found")</f>
        <v>1</v>
      </c>
      <c r="N46" s="4" t="str">
        <f t="shared" si="1"/>
        <v>betrogener</v>
      </c>
      <c r="O46" s="4" cm="1">
        <f t="array" ref="O46">_xlfn.SWITCH(A46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6" s="4" t="str">
        <f>IF(Nodes[[#This Row],[Bezeichnung2]] = "betrueger",1,"")</f>
        <v/>
      </c>
      <c r="Q46" s="4">
        <f>IF(Nodes[[#This Row],[Bezeichnung2]] = "betrogener",2,"")</f>
        <v>2</v>
      </c>
      <c r="R46" s="4" t="str">
        <f>IF(Nodes[[#This Row],[Bezeichnung2]] = "liebender",3,"")</f>
        <v/>
      </c>
      <c r="S46" s="4" t="str">
        <f>IF(Nodes[[#This Row],[Bezeichnung2]] = "liebende",4,"")</f>
        <v/>
      </c>
      <c r="T46" s="4" t="str">
        <f>IF(Nodes[[#This Row],[Bezeichnung2]] = "gegenspieler",5,"")</f>
        <v/>
      </c>
    </row>
    <row r="47" spans="1:20" x14ac:dyDescent="0.3">
      <c r="A47" t="s">
        <v>116</v>
      </c>
      <c r="B47" t="s">
        <v>115</v>
      </c>
      <c r="C47" t="s">
        <v>18</v>
      </c>
      <c r="D47" t="s">
        <v>57</v>
      </c>
      <c r="E47" t="s">
        <v>20</v>
      </c>
      <c r="F47" t="s">
        <v>418</v>
      </c>
      <c r="G47" t="s">
        <v>22</v>
      </c>
      <c r="H47" t="str">
        <f t="shared" si="0"/>
        <v>adel</v>
      </c>
      <c r="I47" t="str" cm="1">
        <f t="array" ref="I47">_xlfn.SWITCH(A47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7" s="4">
        <f>IF(AND(B47=Werte!B47,LEFT(A47,5)=LEFT(Werte!A47,5)),Werte!C47,"not found")</f>
        <v>2</v>
      </c>
      <c r="K47" s="4">
        <f>IF(AND(B47=Werte!B47,LEFT(A47,5)=LEFT(Werte!A47,5)),Werte!D47,"not found")</f>
        <v>0</v>
      </c>
      <c r="L47" s="4">
        <f>IF(AND(B47=Werte!B47,LEFT(A47,5)=LEFT(Werte!A47,5)),Werte!E47,"not found")</f>
        <v>0.36363636363636398</v>
      </c>
      <c r="M47" s="4">
        <f>IF(AND(B47=Werte!B47,LEFT(A47,5)=LEFT(Werte!A47,5)),Werte!F47,"not found")</f>
        <v>0.68963517112689299</v>
      </c>
      <c r="N47" s="4" t="str">
        <f t="shared" si="1"/>
        <v>betrogener</v>
      </c>
      <c r="O47" s="4" cm="1">
        <f t="array" ref="O47">_xlfn.SWITCH(A47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7" s="4" t="str">
        <f>IF(Nodes[[#This Row],[Bezeichnung2]] = "betrueger",1,"")</f>
        <v/>
      </c>
      <c r="Q47" s="4">
        <f>IF(Nodes[[#This Row],[Bezeichnung2]] = "betrogener",2,"")</f>
        <v>2</v>
      </c>
      <c r="R47" s="4" t="str">
        <f>IF(Nodes[[#This Row],[Bezeichnung2]] = "liebender",3,"")</f>
        <v/>
      </c>
      <c r="S47" s="4" t="str">
        <f>IF(Nodes[[#This Row],[Bezeichnung2]] = "liebende",4,"")</f>
        <v/>
      </c>
      <c r="T47" s="4" t="str">
        <f>IF(Nodes[[#This Row],[Bezeichnung2]] = "gegenspieler",5,"")</f>
        <v/>
      </c>
    </row>
    <row r="48" spans="1:20" x14ac:dyDescent="0.3">
      <c r="A48" t="s">
        <v>116</v>
      </c>
      <c r="B48" t="s">
        <v>118</v>
      </c>
      <c r="C48" t="s">
        <v>18</v>
      </c>
      <c r="D48" t="s">
        <v>119</v>
      </c>
      <c r="E48" t="s">
        <v>20</v>
      </c>
      <c r="F48" t="s">
        <v>104</v>
      </c>
      <c r="G48" t="s">
        <v>26</v>
      </c>
      <c r="H48" t="str">
        <f t="shared" si="0"/>
        <v>adel</v>
      </c>
      <c r="I48" t="str" cm="1">
        <f t="array" ref="I48">_xlfn.SWITCH(A48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8" s="4">
        <f>IF(AND(B48=Werte!B48,LEFT(A48,5)=LEFT(Werte!A48,5)),Werte!C48,"not found")</f>
        <v>2</v>
      </c>
      <c r="K48" s="4">
        <f>IF(AND(B48=Werte!B48,LEFT(A48,5)=LEFT(Werte!A48,5)),Werte!D48,"not found")</f>
        <v>0.66666666666666696</v>
      </c>
      <c r="L48" s="4">
        <f>IF(AND(B48=Werte!B48,LEFT(A48,5)=LEFT(Werte!A48,5)),Werte!E48,"not found")</f>
        <v>0.5</v>
      </c>
      <c r="M48" s="4">
        <f>IF(AND(B48=Werte!B48,LEFT(A48,5)=LEFT(Werte!A48,5)),Werte!F48,"not found")</f>
        <v>0.43259919579718198</v>
      </c>
      <c r="N48" s="4" t="str">
        <f t="shared" si="1"/>
        <v>bote</v>
      </c>
      <c r="O48" s="4" cm="1">
        <f t="array" ref="O48">_xlfn.SWITCH(A48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8" s="4" t="str">
        <f>IF(Nodes[[#This Row],[Bezeichnung2]] = "betrueger",1,"")</f>
        <v/>
      </c>
      <c r="Q48" s="4" t="str">
        <f>IF(Nodes[[#This Row],[Bezeichnung2]] = "betrogener",2,"")</f>
        <v/>
      </c>
      <c r="R48" s="4" t="str">
        <f>IF(Nodes[[#This Row],[Bezeichnung2]] = "liebender",3,"")</f>
        <v/>
      </c>
      <c r="S48" s="4" t="str">
        <f>IF(Nodes[[#This Row],[Bezeichnung2]] = "liebende",4,"")</f>
        <v/>
      </c>
      <c r="T48" s="4" t="str">
        <f>IF(Nodes[[#This Row],[Bezeichnung2]] = "gegenspieler",5,"")</f>
        <v/>
      </c>
    </row>
    <row r="49" spans="1:20" x14ac:dyDescent="0.3">
      <c r="A49" t="s">
        <v>116</v>
      </c>
      <c r="B49" t="s">
        <v>120</v>
      </c>
      <c r="C49" t="s">
        <v>18</v>
      </c>
      <c r="D49" t="s">
        <v>121</v>
      </c>
      <c r="E49" t="s">
        <v>47</v>
      </c>
      <c r="F49" t="s">
        <v>53</v>
      </c>
      <c r="G49" t="s">
        <v>26</v>
      </c>
      <c r="H49" t="str">
        <f t="shared" si="0"/>
        <v>buergerlich</v>
      </c>
      <c r="I49" t="str" cm="1">
        <f t="array" ref="I49">_xlfn.SWITCH(A49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9" s="4">
        <f>IF(AND(B49=Werte!B49,LEFT(A49,5)=LEFT(Werte!A49,5)),Werte!C49,"not found")</f>
        <v>1</v>
      </c>
      <c r="K49" s="4">
        <f>IF(AND(B49=Werte!B49,LEFT(A49,5)=LEFT(Werte!A49,5)),Werte!D49,"not found")</f>
        <v>0.33333333333333298</v>
      </c>
      <c r="L49" s="4">
        <f>IF(AND(B49=Werte!B49,LEFT(A49,5)=LEFT(Werte!A49,5)),Werte!E49,"not found")</f>
        <v>0.44444444444444398</v>
      </c>
      <c r="M49" s="4">
        <f>IF(AND(B49=Werte!B49,LEFT(A49,5)=LEFT(Werte!A49,5)),Werte!F49,"not found")</f>
        <v>5.2873165805478697E-2</v>
      </c>
      <c r="N49" s="4" t="str">
        <f t="shared" si="1"/>
        <v>helfer</v>
      </c>
      <c r="O49" s="4" cm="1">
        <f t="array" ref="O49">_xlfn.SWITCH(A49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9" s="4" t="str">
        <f>IF(Nodes[[#This Row],[Bezeichnung2]] = "betrueger",1,"")</f>
        <v/>
      </c>
      <c r="Q49" s="4" t="str">
        <f>IF(Nodes[[#This Row],[Bezeichnung2]] = "betrogener",2,"")</f>
        <v/>
      </c>
      <c r="R49" s="4" t="str">
        <f>IF(Nodes[[#This Row],[Bezeichnung2]] = "liebender",3,"")</f>
        <v/>
      </c>
      <c r="S49" s="4" t="str">
        <f>IF(Nodes[[#This Row],[Bezeichnung2]] = "liebende",4,"")</f>
        <v/>
      </c>
      <c r="T49" s="4" t="str">
        <f>IF(Nodes[[#This Row],[Bezeichnung2]] = "gegenspieler",5,"")</f>
        <v/>
      </c>
    </row>
    <row r="50" spans="1:20" x14ac:dyDescent="0.3">
      <c r="A50" t="s">
        <v>566</v>
      </c>
      <c r="B50" t="s">
        <v>56</v>
      </c>
      <c r="C50" t="s">
        <v>18</v>
      </c>
      <c r="D50" t="s">
        <v>57</v>
      </c>
      <c r="E50" t="s">
        <v>47</v>
      </c>
      <c r="F50" t="s">
        <v>53</v>
      </c>
      <c r="G50" t="s">
        <v>26</v>
      </c>
      <c r="H50" t="str">
        <f t="shared" si="0"/>
        <v>adel</v>
      </c>
      <c r="I50" t="str" cm="1">
        <f t="array" ref="I50">_xlfn.SWITCH(A50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0" s="4">
        <f>IF(AND(B50=Werte!B50,LEFT(A50,5)=LEFT(Werte!A50,5)),Werte!C50,"not found")</f>
        <v>0.19047619047618999</v>
      </c>
      <c r="K50" s="4">
        <f>IF(AND(B50=Werte!B50,LEFT(A50,5)=LEFT(Werte!A50,5)),Werte!D50,"not found")</f>
        <v>0</v>
      </c>
      <c r="L50" s="4">
        <f>IF(AND(B50=Werte!B50,LEFT(A50,5)=LEFT(Werte!A50,5)),Werte!E50,"not found")</f>
        <v>0.15217391304347799</v>
      </c>
      <c r="M50" s="4">
        <f>IF(AND(B50=Werte!B50,LEFT(A50,5)=LEFT(Werte!A50,5)),Werte!F50,"not found")</f>
        <v>0.36862561854102799</v>
      </c>
      <c r="N50" s="4" t="str">
        <f t="shared" si="1"/>
        <v>helfer</v>
      </c>
      <c r="O50" s="4" cm="1">
        <f t="array" ref="O50">_xlfn.SWITCH(A50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0" s="4" t="str">
        <f>IF(Nodes[[#This Row],[Bezeichnung2]] = "betrueger",1,"")</f>
        <v/>
      </c>
      <c r="Q50" s="4" t="str">
        <f>IF(Nodes[[#This Row],[Bezeichnung2]] = "betrogener",2,"")</f>
        <v/>
      </c>
      <c r="R50" s="4" t="str">
        <f>IF(Nodes[[#This Row],[Bezeichnung2]] = "liebender",3,"")</f>
        <v/>
      </c>
      <c r="S50" s="4" t="str">
        <f>IF(Nodes[[#This Row],[Bezeichnung2]] = "liebende",4,"")</f>
        <v/>
      </c>
      <c r="T50" s="4" t="str">
        <f>IF(Nodes[[#This Row],[Bezeichnung2]] = "gegenspieler",5,"")</f>
        <v/>
      </c>
    </row>
    <row r="51" spans="1:20" x14ac:dyDescent="0.3">
      <c r="A51" t="s">
        <v>566</v>
      </c>
      <c r="B51" t="s">
        <v>58</v>
      </c>
      <c r="C51" t="s">
        <v>24</v>
      </c>
      <c r="D51" t="s">
        <v>47</v>
      </c>
      <c r="E51" t="s">
        <v>47</v>
      </c>
      <c r="F51" t="s">
        <v>53</v>
      </c>
      <c r="G51" t="s">
        <v>26</v>
      </c>
      <c r="H51" t="str">
        <f t="shared" si="0"/>
        <v>unbekannt</v>
      </c>
      <c r="I51" t="str" cm="1">
        <f t="array" ref="I51">_xlfn.SWITCH(A51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1" s="4">
        <f>IF(AND(B51=Werte!B51,LEFT(A51,5)=LEFT(Werte!A51,5)),Werte!C51,"not found")</f>
        <v>0.19047619047618999</v>
      </c>
      <c r="K51" s="4">
        <f>IF(AND(B51=Werte!B51,LEFT(A51,5)=LEFT(Werte!A51,5)),Werte!D51,"not found")</f>
        <v>0</v>
      </c>
      <c r="L51" s="4">
        <f>IF(AND(B51=Werte!B51,LEFT(A51,5)=LEFT(Werte!A51,5)),Werte!E51,"not found")</f>
        <v>0.269230769230769</v>
      </c>
      <c r="M51" s="4">
        <f>IF(AND(B51=Werte!B51,LEFT(A51,5)=LEFT(Werte!A51,5)),Werte!F51,"not found")</f>
        <v>0.24088269569041801</v>
      </c>
      <c r="N51" s="4" t="str">
        <f t="shared" si="1"/>
        <v>helfer</v>
      </c>
      <c r="O51" s="4" cm="1">
        <f t="array" ref="O51">_xlfn.SWITCH(A51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1" s="4" t="str">
        <f>IF(Nodes[[#This Row],[Bezeichnung2]] = "betrueger",1,"")</f>
        <v/>
      </c>
      <c r="Q51" s="4" t="str">
        <f>IF(Nodes[[#This Row],[Bezeichnung2]] = "betrogener",2,"")</f>
        <v/>
      </c>
      <c r="R51" s="4" t="str">
        <f>IF(Nodes[[#This Row],[Bezeichnung2]] = "liebender",3,"")</f>
        <v/>
      </c>
      <c r="S51" s="4" t="str">
        <f>IF(Nodes[[#This Row],[Bezeichnung2]] = "liebende",4,"")</f>
        <v/>
      </c>
      <c r="T51" s="4" t="str">
        <f>IF(Nodes[[#This Row],[Bezeichnung2]] = "gegenspieler",5,"")</f>
        <v/>
      </c>
    </row>
    <row r="52" spans="1:20" x14ac:dyDescent="0.3">
      <c r="A52" t="s">
        <v>566</v>
      </c>
      <c r="B52" t="s">
        <v>59</v>
      </c>
      <c r="C52" t="s">
        <v>19</v>
      </c>
      <c r="D52" t="s">
        <v>19</v>
      </c>
      <c r="E52" t="s">
        <v>19</v>
      </c>
      <c r="F52" t="s">
        <v>47</v>
      </c>
      <c r="G52" t="s">
        <v>22</v>
      </c>
      <c r="H52" t="str">
        <f t="shared" si="0"/>
        <v>NA</v>
      </c>
      <c r="I52" t="str" cm="1">
        <f t="array" ref="I52">_xlfn.SWITCH(A52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2" s="4">
        <f>IF(AND(B52=Werte!B52,LEFT(A52,5)=LEFT(Werte!A52,5)),Werte!C52,"not found")</f>
        <v>1.71428571428571</v>
      </c>
      <c r="K52" s="4">
        <f>IF(AND(B52=Werte!B52,LEFT(A52,5)=LEFT(Werte!A52,5)),Werte!D52,"not found")</f>
        <v>0.57142857142857195</v>
      </c>
      <c r="L52" s="4">
        <f>IF(AND(B52=Werte!B52,LEFT(A52,5)=LEFT(Werte!A52,5)),Werte!E52,"not found")</f>
        <v>0.53846153846153799</v>
      </c>
      <c r="M52" s="4">
        <f>IF(AND(B52=Werte!B52,LEFT(A52,5)=LEFT(Werte!A52,5)),Werte!F52,"not found")</f>
        <v>1</v>
      </c>
      <c r="N52" s="4" t="str">
        <f t="shared" si="1"/>
        <v>unbekannt</v>
      </c>
      <c r="O52" s="4" cm="1">
        <f t="array" ref="O52">_xlfn.SWITCH(A52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2" s="4" t="str">
        <f>IF(Nodes[[#This Row],[Bezeichnung2]] = "betrueger",1,"")</f>
        <v/>
      </c>
      <c r="Q52" s="4" t="str">
        <f>IF(Nodes[[#This Row],[Bezeichnung2]] = "betrogener",2,"")</f>
        <v/>
      </c>
      <c r="R52" s="4" t="str">
        <f>IF(Nodes[[#This Row],[Bezeichnung2]] = "liebender",3,"")</f>
        <v/>
      </c>
      <c r="S52" s="4" t="str">
        <f>IF(Nodes[[#This Row],[Bezeichnung2]] = "liebende",4,"")</f>
        <v/>
      </c>
      <c r="T52" s="4" t="str">
        <f>IF(Nodes[[#This Row],[Bezeichnung2]] = "gegenspieler",5,"")</f>
        <v/>
      </c>
    </row>
    <row r="53" spans="1:20" x14ac:dyDescent="0.3">
      <c r="A53" t="s">
        <v>566</v>
      </c>
      <c r="B53" t="s">
        <v>60</v>
      </c>
      <c r="C53" t="s">
        <v>46</v>
      </c>
      <c r="D53" t="s">
        <v>61</v>
      </c>
      <c r="E53" t="s">
        <v>47</v>
      </c>
      <c r="F53" t="s">
        <v>47</v>
      </c>
      <c r="G53" t="s">
        <v>22</v>
      </c>
      <c r="H53" t="str">
        <f t="shared" si="0"/>
        <v>klerus</v>
      </c>
      <c r="I53" t="str" cm="1">
        <f t="array" ref="I53">_xlfn.SWITCH(A53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3" s="4">
        <f>IF(AND(B53=Werte!B53,LEFT(A53,5)=LEFT(Werte!A53,5)),Werte!C53,"not found")</f>
        <v>1.1428571428571399</v>
      </c>
      <c r="K53" s="4">
        <f>IF(AND(B53=Werte!B53,LEFT(A53,5)=LEFT(Werte!A53,5)),Werte!D53,"not found")</f>
        <v>0.24960317460317499</v>
      </c>
      <c r="L53" s="4">
        <f>IF(AND(B53=Werte!B53,LEFT(A53,5)=LEFT(Werte!A53,5)),Werte!E53,"not found")</f>
        <v>0.4375</v>
      </c>
      <c r="M53" s="4">
        <f>IF(AND(B53=Werte!B53,LEFT(A53,5)=LEFT(Werte!A53,5)),Werte!F53,"not found")</f>
        <v>0.81779060142865101</v>
      </c>
      <c r="N53" s="4" t="str">
        <f t="shared" si="1"/>
        <v>unbekannt</v>
      </c>
      <c r="O53" s="4" cm="1">
        <f t="array" ref="O53">_xlfn.SWITCH(A53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3" s="4" t="str">
        <f>IF(Nodes[[#This Row],[Bezeichnung2]] = "betrueger",1,"")</f>
        <v/>
      </c>
      <c r="Q53" s="4" t="str">
        <f>IF(Nodes[[#This Row],[Bezeichnung2]] = "betrogener",2,"")</f>
        <v/>
      </c>
      <c r="R53" s="4" t="str">
        <f>IF(Nodes[[#This Row],[Bezeichnung2]] = "liebender",3,"")</f>
        <v/>
      </c>
      <c r="S53" s="4" t="str">
        <f>IF(Nodes[[#This Row],[Bezeichnung2]] = "liebende",4,"")</f>
        <v/>
      </c>
      <c r="T53" s="4" t="str">
        <f>IF(Nodes[[#This Row],[Bezeichnung2]] = "gegenspieler",5,"")</f>
        <v/>
      </c>
    </row>
    <row r="54" spans="1:20" x14ac:dyDescent="0.3">
      <c r="A54" t="s">
        <v>566</v>
      </c>
      <c r="B54" t="s">
        <v>62</v>
      </c>
      <c r="C54" t="s">
        <v>24</v>
      </c>
      <c r="D54" t="s">
        <v>61</v>
      </c>
      <c r="E54" t="s">
        <v>47</v>
      </c>
      <c r="F54" t="s">
        <v>47</v>
      </c>
      <c r="G54" t="s">
        <v>26</v>
      </c>
      <c r="H54" t="str">
        <f t="shared" si="0"/>
        <v>klerus</v>
      </c>
      <c r="I54" t="str" cm="1">
        <f t="array" ref="I54">_xlfn.SWITCH(A54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4" s="4">
        <f>IF(AND(B54=Werte!B54,LEFT(A54,5)=LEFT(Werte!A54,5)),Werte!C54,"not found")</f>
        <v>0.38095238095238099</v>
      </c>
      <c r="K54" s="4">
        <f>IF(AND(B54=Werte!B54,LEFT(A54,5)=LEFT(Werte!A54,5)),Werte!D54,"not found")</f>
        <v>2.5000000000000001E-2</v>
      </c>
      <c r="L54" s="4">
        <f>IF(AND(B54=Werte!B54,LEFT(A54,5)=LEFT(Werte!A54,5)),Werte!E54,"not found")</f>
        <v>0.41176470588235298</v>
      </c>
      <c r="M54" s="4">
        <f>IF(AND(B54=Werte!B54,LEFT(A54,5)=LEFT(Werte!A54,5)),Werte!F54,"not found")</f>
        <v>0.17153346696921101</v>
      </c>
      <c r="N54" s="4" t="str">
        <f t="shared" si="1"/>
        <v>unbekannt</v>
      </c>
      <c r="O54" s="4" cm="1">
        <f t="array" ref="O54">_xlfn.SWITCH(A54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4" s="4" t="str">
        <f>IF(Nodes[[#This Row],[Bezeichnung2]] = "betrueger",1,"")</f>
        <v/>
      </c>
      <c r="Q54" s="4" t="str">
        <f>IF(Nodes[[#This Row],[Bezeichnung2]] = "betrogener",2,"")</f>
        <v/>
      </c>
      <c r="R54" s="4" t="str">
        <f>IF(Nodes[[#This Row],[Bezeichnung2]] = "liebender",3,"")</f>
        <v/>
      </c>
      <c r="S54" s="4" t="str">
        <f>IF(Nodes[[#This Row],[Bezeichnung2]] = "liebende",4,"")</f>
        <v/>
      </c>
      <c r="T54" s="4" t="str">
        <f>IF(Nodes[[#This Row],[Bezeichnung2]] = "gegenspieler",5,"")</f>
        <v/>
      </c>
    </row>
    <row r="55" spans="1:20" x14ac:dyDescent="0.3">
      <c r="A55" t="s">
        <v>566</v>
      </c>
      <c r="B55" t="s">
        <v>63</v>
      </c>
      <c r="C55" t="s">
        <v>24</v>
      </c>
      <c r="D55" t="s">
        <v>61</v>
      </c>
      <c r="E55" t="s">
        <v>47</v>
      </c>
      <c r="F55" t="s">
        <v>47</v>
      </c>
      <c r="G55" t="s">
        <v>26</v>
      </c>
      <c r="H55" t="str">
        <f t="shared" si="0"/>
        <v>klerus</v>
      </c>
      <c r="I55" t="str" cm="1">
        <f t="array" ref="I55">_xlfn.SWITCH(A55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5" s="4">
        <f>IF(AND(B55=Werte!B55,LEFT(A55,5)=LEFT(Werte!A55,5)),Werte!C55,"not found")</f>
        <v>9.5238095238095205E-2</v>
      </c>
      <c r="K55" s="4">
        <f>IF(AND(B55=Werte!B55,LEFT(A55,5)=LEFT(Werte!A55,5)),Werte!D55,"not found")</f>
        <v>0</v>
      </c>
      <c r="L55" s="4">
        <f>IF(AND(B55=Werte!B55,LEFT(A55,5)=LEFT(Werte!A55,5)),Werte!E55,"not found")</f>
        <v>0.308823529411765</v>
      </c>
      <c r="M55" s="4">
        <f>IF(AND(B55=Werte!B55,LEFT(A55,5)=LEFT(Werte!A55,5)),Werte!F55,"not found")</f>
        <v>4.6771871787378599E-2</v>
      </c>
      <c r="N55" s="4" t="str">
        <f t="shared" si="1"/>
        <v>unbekannt</v>
      </c>
      <c r="O55" s="4" cm="1">
        <f t="array" ref="O55">_xlfn.SWITCH(A55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5" s="4" t="str">
        <f>IF(Nodes[[#This Row],[Bezeichnung2]] = "betrueger",1,"")</f>
        <v/>
      </c>
      <c r="Q55" s="4" t="str">
        <f>IF(Nodes[[#This Row],[Bezeichnung2]] = "betrogener",2,"")</f>
        <v/>
      </c>
      <c r="R55" s="4" t="str">
        <f>IF(Nodes[[#This Row],[Bezeichnung2]] = "liebender",3,"")</f>
        <v/>
      </c>
      <c r="S55" s="4" t="str">
        <f>IF(Nodes[[#This Row],[Bezeichnung2]] = "liebende",4,"")</f>
        <v/>
      </c>
      <c r="T55" s="4" t="str">
        <f>IF(Nodes[[#This Row],[Bezeichnung2]] = "gegenspieler",5,"")</f>
        <v/>
      </c>
    </row>
    <row r="56" spans="1:20" x14ac:dyDescent="0.3">
      <c r="A56" t="s">
        <v>566</v>
      </c>
      <c r="B56" t="s">
        <v>64</v>
      </c>
      <c r="C56" t="s">
        <v>24</v>
      </c>
      <c r="D56" t="s">
        <v>61</v>
      </c>
      <c r="E56" t="s">
        <v>47</v>
      </c>
      <c r="F56" t="s">
        <v>47</v>
      </c>
      <c r="G56" t="s">
        <v>26</v>
      </c>
      <c r="H56" t="str">
        <f t="shared" si="0"/>
        <v>klerus</v>
      </c>
      <c r="I56" t="str" cm="1">
        <f t="array" ref="I56">_xlfn.SWITCH(A56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6" s="4">
        <f>IF(AND(B56=Werte!B56,LEFT(A56,5)=LEFT(Werte!A56,5)),Werte!C56,"not found")</f>
        <v>0.28571428571428598</v>
      </c>
      <c r="K56" s="4">
        <f>IF(AND(B56=Werte!B56,LEFT(A56,5)=LEFT(Werte!A56,5)),Werte!D56,"not found")</f>
        <v>2.6190476190476202E-2</v>
      </c>
      <c r="L56" s="4">
        <f>IF(AND(B56=Werte!B56,LEFT(A56,5)=LEFT(Werte!A56,5)),Werte!E56,"not found")</f>
        <v>0.42</v>
      </c>
      <c r="M56" s="4">
        <f>IF(AND(B56=Werte!B56,LEFT(A56,5)=LEFT(Werte!A56,5)),Werte!F56,"not found")</f>
        <v>0.11027159999845899</v>
      </c>
      <c r="N56" s="4" t="str">
        <f t="shared" si="1"/>
        <v>unbekannt</v>
      </c>
      <c r="O56" s="4" cm="1">
        <f t="array" ref="O56">_xlfn.SWITCH(A56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6" s="4" t="str">
        <f>IF(Nodes[[#This Row],[Bezeichnung2]] = "betrueger",1,"")</f>
        <v/>
      </c>
      <c r="Q56" s="4" t="str">
        <f>IF(Nodes[[#This Row],[Bezeichnung2]] = "betrogener",2,"")</f>
        <v/>
      </c>
      <c r="R56" s="4" t="str">
        <f>IF(Nodes[[#This Row],[Bezeichnung2]] = "liebender",3,"")</f>
        <v/>
      </c>
      <c r="S56" s="4" t="str">
        <f>IF(Nodes[[#This Row],[Bezeichnung2]] = "liebende",4,"")</f>
        <v/>
      </c>
      <c r="T56" s="4" t="str">
        <f>IF(Nodes[[#This Row],[Bezeichnung2]] = "gegenspieler",5,"")</f>
        <v/>
      </c>
    </row>
    <row r="57" spans="1:20" x14ac:dyDescent="0.3">
      <c r="A57" t="s">
        <v>566</v>
      </c>
      <c r="B57" t="s">
        <v>65</v>
      </c>
      <c r="C57" t="s">
        <v>24</v>
      </c>
      <c r="D57" t="s">
        <v>61</v>
      </c>
      <c r="E57" t="s">
        <v>47</v>
      </c>
      <c r="F57" t="s">
        <v>47</v>
      </c>
      <c r="G57" t="s">
        <v>26</v>
      </c>
      <c r="H57" t="str">
        <f t="shared" si="0"/>
        <v>klerus</v>
      </c>
      <c r="I57" t="str" cm="1">
        <f t="array" ref="I57">_xlfn.SWITCH(A57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7" s="4">
        <f>IF(AND(B57=Werte!B57,LEFT(A57,5)=LEFT(Werte!A57,5)),Werte!C57,"not found")</f>
        <v>0.28571428571428598</v>
      </c>
      <c r="K57" s="4">
        <f>IF(AND(B57=Werte!B57,LEFT(A57,5)=LEFT(Werte!A57,5)),Werte!D57,"not found")</f>
        <v>2.6190476190476202E-2</v>
      </c>
      <c r="L57" s="4">
        <f>IF(AND(B57=Werte!B57,LEFT(A57,5)=LEFT(Werte!A57,5)),Werte!E57,"not found")</f>
        <v>0.42</v>
      </c>
      <c r="M57" s="4">
        <f>IF(AND(B57=Werte!B57,LEFT(A57,5)=LEFT(Werte!A57,5)),Werte!F57,"not found")</f>
        <v>0.11027159999845899</v>
      </c>
      <c r="N57" s="4" t="str">
        <f t="shared" si="1"/>
        <v>unbekannt</v>
      </c>
      <c r="O57" s="4" cm="1">
        <f t="array" ref="O57">_xlfn.SWITCH(A57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7" s="4" t="str">
        <f>IF(Nodes[[#This Row],[Bezeichnung2]] = "betrueger",1,"")</f>
        <v/>
      </c>
      <c r="Q57" s="4" t="str">
        <f>IF(Nodes[[#This Row],[Bezeichnung2]] = "betrogener",2,"")</f>
        <v/>
      </c>
      <c r="R57" s="4" t="str">
        <f>IF(Nodes[[#This Row],[Bezeichnung2]] = "liebender",3,"")</f>
        <v/>
      </c>
      <c r="S57" s="4" t="str">
        <f>IF(Nodes[[#This Row],[Bezeichnung2]] = "liebende",4,"")</f>
        <v/>
      </c>
      <c r="T57" s="4" t="str">
        <f>IF(Nodes[[#This Row],[Bezeichnung2]] = "gegenspieler",5,"")</f>
        <v/>
      </c>
    </row>
    <row r="58" spans="1:20" x14ac:dyDescent="0.3">
      <c r="A58" t="s">
        <v>566</v>
      </c>
      <c r="B58" t="s">
        <v>66</v>
      </c>
      <c r="C58" t="s">
        <v>24</v>
      </c>
      <c r="D58" t="s">
        <v>61</v>
      </c>
      <c r="E58" t="s">
        <v>47</v>
      </c>
      <c r="F58" t="s">
        <v>47</v>
      </c>
      <c r="G58" t="s">
        <v>26</v>
      </c>
      <c r="H58" t="str">
        <f t="shared" si="0"/>
        <v>klerus</v>
      </c>
      <c r="I58" t="str" cm="1">
        <f t="array" ref="I58">_xlfn.SWITCH(A58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8" s="4">
        <f>IF(AND(B58=Werte!B58,LEFT(A58,5)=LEFT(Werte!A58,5)),Werte!C58,"not found")</f>
        <v>0.19047619047618999</v>
      </c>
      <c r="K58" s="4">
        <f>IF(AND(B58=Werte!B58,LEFT(A58,5)=LEFT(Werte!A58,5)),Werte!D58,"not found")</f>
        <v>3.0158730158730201E-2</v>
      </c>
      <c r="L58" s="4">
        <f>IF(AND(B58=Werte!B58,LEFT(A58,5)=LEFT(Werte!A58,5)),Werte!E58,"not found")</f>
        <v>0.36842105263157898</v>
      </c>
      <c r="M58" s="4">
        <f>IF(AND(B58=Werte!B58,LEFT(A58,5)=LEFT(Werte!A58,5)),Werte!F58,"not found")</f>
        <v>6.4154744215901102E-2</v>
      </c>
      <c r="N58" s="4" t="str">
        <f t="shared" si="1"/>
        <v>unbekannt</v>
      </c>
      <c r="O58" s="4" cm="1">
        <f t="array" ref="O58">_xlfn.SWITCH(A58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8" s="4" t="str">
        <f>IF(Nodes[[#This Row],[Bezeichnung2]] = "betrueger",1,"")</f>
        <v/>
      </c>
      <c r="Q58" s="4" t="str">
        <f>IF(Nodes[[#This Row],[Bezeichnung2]] = "betrogener",2,"")</f>
        <v/>
      </c>
      <c r="R58" s="4" t="str">
        <f>IF(Nodes[[#This Row],[Bezeichnung2]] = "liebender",3,"")</f>
        <v/>
      </c>
      <c r="S58" s="4" t="str">
        <f>IF(Nodes[[#This Row],[Bezeichnung2]] = "liebende",4,"")</f>
        <v/>
      </c>
      <c r="T58" s="4" t="str">
        <f>IF(Nodes[[#This Row],[Bezeichnung2]] = "gegenspieler",5,"")</f>
        <v/>
      </c>
    </row>
    <row r="59" spans="1:20" x14ac:dyDescent="0.3">
      <c r="A59" t="s">
        <v>566</v>
      </c>
      <c r="B59" t="s">
        <v>67</v>
      </c>
      <c r="C59" t="s">
        <v>24</v>
      </c>
      <c r="D59" t="s">
        <v>61</v>
      </c>
      <c r="E59" t="s">
        <v>47</v>
      </c>
      <c r="F59" t="s">
        <v>47</v>
      </c>
      <c r="G59" t="s">
        <v>26</v>
      </c>
      <c r="H59" t="str">
        <f t="shared" si="0"/>
        <v>klerus</v>
      </c>
      <c r="I59" t="str" cm="1">
        <f t="array" ref="I59">_xlfn.SWITCH(A59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9" s="4">
        <f>IF(AND(B59=Werte!B59,LEFT(A59,5)=LEFT(Werte!A59,5)),Werte!C59,"not found")</f>
        <v>0.28571428571428598</v>
      </c>
      <c r="K59" s="4">
        <f>IF(AND(B59=Werte!B59,LEFT(A59,5)=LEFT(Werte!A59,5)),Werte!D59,"not found")</f>
        <v>2.3809523809523799E-3</v>
      </c>
      <c r="L59" s="4">
        <f>IF(AND(B59=Werte!B59,LEFT(A59,5)=LEFT(Werte!A59,5)),Werte!E59,"not found")</f>
        <v>0.28000000000000003</v>
      </c>
      <c r="M59" s="4">
        <f>IF(AND(B59=Werte!B59,LEFT(A59,5)=LEFT(Werte!A59,5)),Werte!F59,"not found")</f>
        <v>0.12172433669804</v>
      </c>
      <c r="N59" s="4" t="str">
        <f t="shared" si="1"/>
        <v>unbekannt</v>
      </c>
      <c r="O59" s="4" cm="1">
        <f t="array" ref="O59">_xlfn.SWITCH(A59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9" s="4" t="str">
        <f>IF(Nodes[[#This Row],[Bezeichnung2]] = "betrueger",1,"")</f>
        <v/>
      </c>
      <c r="Q59" s="4" t="str">
        <f>IF(Nodes[[#This Row],[Bezeichnung2]] = "betrogener",2,"")</f>
        <v/>
      </c>
      <c r="R59" s="4" t="str">
        <f>IF(Nodes[[#This Row],[Bezeichnung2]] = "liebender",3,"")</f>
        <v/>
      </c>
      <c r="S59" s="4" t="str">
        <f>IF(Nodes[[#This Row],[Bezeichnung2]] = "liebende",4,"")</f>
        <v/>
      </c>
      <c r="T59" s="4" t="str">
        <f>IF(Nodes[[#This Row],[Bezeichnung2]] = "gegenspieler",5,"")</f>
        <v/>
      </c>
    </row>
    <row r="60" spans="1:20" x14ac:dyDescent="0.3">
      <c r="A60" t="s">
        <v>566</v>
      </c>
      <c r="B60" t="s">
        <v>68</v>
      </c>
      <c r="C60" t="s">
        <v>24</v>
      </c>
      <c r="D60" t="s">
        <v>61</v>
      </c>
      <c r="E60" t="s">
        <v>47</v>
      </c>
      <c r="F60" t="s">
        <v>47</v>
      </c>
      <c r="G60" t="s">
        <v>26</v>
      </c>
      <c r="H60" t="str">
        <f t="shared" si="0"/>
        <v>klerus</v>
      </c>
      <c r="I60" t="str" cm="1">
        <f t="array" ref="I60">_xlfn.SWITCH(A60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60" s="4">
        <f>IF(AND(B60=Werte!B60,LEFT(A60,5)=LEFT(Werte!A60,5)),Werte!C60,"not found")</f>
        <v>0.19047619047618999</v>
      </c>
      <c r="K60" s="4">
        <f>IF(AND(B60=Werte!B60,LEFT(A60,5)=LEFT(Werte!A60,5)),Werte!D60,"not found")</f>
        <v>3.0158730158730201E-2</v>
      </c>
      <c r="L60" s="4">
        <f>IF(AND(B60=Werte!B60,LEFT(A60,5)=LEFT(Werte!A60,5)),Werte!E60,"not found")</f>
        <v>0.36842105263157898</v>
      </c>
      <c r="M60" s="4">
        <f>IF(AND(B60=Werte!B60,LEFT(A60,5)=LEFT(Werte!A60,5)),Werte!F60,"not found")</f>
        <v>6.4154744215901102E-2</v>
      </c>
      <c r="N60" s="4" t="str">
        <f t="shared" si="1"/>
        <v>unbekannt</v>
      </c>
      <c r="O60" s="4" cm="1">
        <f t="array" ref="O60">_xlfn.SWITCH(A60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60" s="4" t="str">
        <f>IF(Nodes[[#This Row],[Bezeichnung2]] = "betrueger",1,"")</f>
        <v/>
      </c>
      <c r="Q60" s="4" t="str">
        <f>IF(Nodes[[#This Row],[Bezeichnung2]] = "betrogener",2,"")</f>
        <v/>
      </c>
      <c r="R60" s="4" t="str">
        <f>IF(Nodes[[#This Row],[Bezeichnung2]] = "liebender",3,"")</f>
        <v/>
      </c>
      <c r="S60" s="4" t="str">
        <f>IF(Nodes[[#This Row],[Bezeichnung2]] = "liebende",4,"")</f>
        <v/>
      </c>
      <c r="T60" s="4" t="str">
        <f>IF(Nodes[[#This Row],[Bezeichnung2]] = "gegenspieler",5,"")</f>
        <v/>
      </c>
    </row>
    <row r="61" spans="1:20" x14ac:dyDescent="0.3">
      <c r="A61" t="s">
        <v>566</v>
      </c>
      <c r="B61" t="s">
        <v>69</v>
      </c>
      <c r="C61" t="s">
        <v>24</v>
      </c>
      <c r="D61" t="s">
        <v>70</v>
      </c>
      <c r="E61" t="s">
        <v>47</v>
      </c>
      <c r="F61" t="s">
        <v>71</v>
      </c>
      <c r="G61" t="s">
        <v>26</v>
      </c>
      <c r="H61" t="str">
        <f t="shared" si="0"/>
        <v>klerus</v>
      </c>
      <c r="I61" t="str" cm="1">
        <f t="array" ref="I61">_xlfn.SWITCH(A61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61" s="4">
        <f>IF(AND(B61=Werte!B61,LEFT(A61,5)=LEFT(Werte!A61,5)),Werte!C61,"not found")</f>
        <v>0.57142857142857095</v>
      </c>
      <c r="K61" s="4">
        <f>IF(AND(B61=Werte!B61,LEFT(A61,5)=LEFT(Werte!A61,5)),Werte!D61,"not found")</f>
        <v>6.7857142857142894E-2</v>
      </c>
      <c r="L61" s="4">
        <f>IF(AND(B61=Werte!B61,LEFT(A61,5)=LEFT(Werte!A61,5)),Werte!E61,"not found")</f>
        <v>0.42</v>
      </c>
      <c r="M61" s="4">
        <f>IF(AND(B61=Werte!B61,LEFT(A61,5)=LEFT(Werte!A61,5)),Werte!F61,"not found")</f>
        <v>0.42105361410368097</v>
      </c>
      <c r="N61" s="4" t="str">
        <f t="shared" si="1"/>
        <v>gegner</v>
      </c>
      <c r="O61" s="4" cm="1">
        <f t="array" ref="O61">_xlfn.SWITCH(A61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61" s="4" t="str">
        <f>IF(Nodes[[#This Row],[Bezeichnung2]] = "betrueger",1,"")</f>
        <v/>
      </c>
      <c r="Q61" s="4" t="str">
        <f>IF(Nodes[[#This Row],[Bezeichnung2]] = "betrogener",2,"")</f>
        <v/>
      </c>
      <c r="R61" s="4" t="str">
        <f>IF(Nodes[[#This Row],[Bezeichnung2]] = "liebender",3,"")</f>
        <v/>
      </c>
      <c r="S61" s="4" t="str">
        <f>IF(Nodes[[#This Row],[Bezeichnung2]] = "liebende",4,"")</f>
        <v/>
      </c>
      <c r="T61" s="4" t="str">
        <f>IF(Nodes[[#This Row],[Bezeichnung2]] = "gegenspieler",5,"")</f>
        <v/>
      </c>
    </row>
    <row r="62" spans="1:20" x14ac:dyDescent="0.3">
      <c r="A62" t="s">
        <v>566</v>
      </c>
      <c r="B62" t="s">
        <v>72</v>
      </c>
      <c r="C62" t="s">
        <v>24</v>
      </c>
      <c r="D62" t="s">
        <v>61</v>
      </c>
      <c r="E62" t="s">
        <v>47</v>
      </c>
      <c r="F62" t="s">
        <v>47</v>
      </c>
      <c r="G62" t="s">
        <v>26</v>
      </c>
      <c r="H62" t="str">
        <f t="shared" si="0"/>
        <v>klerus</v>
      </c>
      <c r="I62" t="str" cm="1">
        <f t="array" ref="I62">_xlfn.SWITCH(A62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62" s="4">
        <f>IF(AND(B62=Werte!B62,LEFT(A62,5)=LEFT(Werte!A62,5)),Werte!C62,"not found")</f>
        <v>0.57142857142857095</v>
      </c>
      <c r="K62" s="4">
        <f>IF(AND(B62=Werte!B62,LEFT(A62,5)=LEFT(Werte!A62,5)),Werte!D62,"not found")</f>
        <v>0.14285714285714299</v>
      </c>
      <c r="L62" s="4">
        <f>IF(AND(B62=Werte!B62,LEFT(A62,5)=LEFT(Werte!A62,5)),Werte!E62,"not found")</f>
        <v>0.47727272727272702</v>
      </c>
      <c r="M62" s="4">
        <f>IF(AND(B62=Werte!B62,LEFT(A62,5)=LEFT(Werte!A62,5)),Werte!F62,"not found")</f>
        <v>0.20194819966113201</v>
      </c>
      <c r="N62" s="4" t="str">
        <f t="shared" si="1"/>
        <v>unbekannt</v>
      </c>
      <c r="O62" s="4" cm="1">
        <f t="array" ref="O62">_xlfn.SWITCH(A62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62" s="4" t="str">
        <f>IF(Nodes[[#This Row],[Bezeichnung2]] = "betrueger",1,"")</f>
        <v/>
      </c>
      <c r="Q62" s="4" t="str">
        <f>IF(Nodes[[#This Row],[Bezeichnung2]] = "betrogener",2,"")</f>
        <v/>
      </c>
      <c r="R62" s="4" t="str">
        <f>IF(Nodes[[#This Row],[Bezeichnung2]] = "liebender",3,"")</f>
        <v/>
      </c>
      <c r="S62" s="4" t="str">
        <f>IF(Nodes[[#This Row],[Bezeichnung2]] = "liebende",4,"")</f>
        <v/>
      </c>
      <c r="T62" s="4" t="str">
        <f>IF(Nodes[[#This Row],[Bezeichnung2]] = "gegenspieler",5,"")</f>
        <v/>
      </c>
    </row>
    <row r="63" spans="1:20" x14ac:dyDescent="0.3">
      <c r="A63" t="s">
        <v>566</v>
      </c>
      <c r="B63" t="s">
        <v>73</v>
      </c>
      <c r="C63" t="s">
        <v>24</v>
      </c>
      <c r="D63" t="s">
        <v>99</v>
      </c>
      <c r="E63" t="s">
        <v>47</v>
      </c>
      <c r="F63" t="s">
        <v>47</v>
      </c>
      <c r="G63" t="s">
        <v>26</v>
      </c>
      <c r="H63" t="str">
        <f t="shared" si="0"/>
        <v>klerus</v>
      </c>
      <c r="I63" t="str" cm="1">
        <f t="array" ref="I63">_xlfn.SWITCH(A63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63" s="4">
        <f>IF(AND(B63=Werte!B63,LEFT(A63,5)=LEFT(Werte!A63,5)),Werte!C63,"not found")</f>
        <v>0.66666666666666696</v>
      </c>
      <c r="K63" s="4">
        <f>IF(AND(B63=Werte!B63,LEFT(A63,5)=LEFT(Werte!A63,5)),Werte!D63,"not found")</f>
        <v>2.3015873015873E-2</v>
      </c>
      <c r="L63" s="4">
        <f>IF(AND(B63=Werte!B63,LEFT(A63,5)=LEFT(Werte!A63,5)),Werte!E63,"not found")</f>
        <v>0.33333333333333298</v>
      </c>
      <c r="M63" s="4">
        <f>IF(AND(B63=Werte!B63,LEFT(A63,5)=LEFT(Werte!A63,5)),Werte!F63,"not found")</f>
        <v>0.47947159594871502</v>
      </c>
      <c r="N63" s="4" t="str">
        <f t="shared" si="1"/>
        <v>unbekannt</v>
      </c>
      <c r="O63" s="4" cm="1">
        <f t="array" ref="O63">_xlfn.SWITCH(A63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63" s="4" t="str">
        <f>IF(Nodes[[#This Row],[Bezeichnung2]] = "betrueger",1,"")</f>
        <v/>
      </c>
      <c r="Q63" s="4" t="str">
        <f>IF(Nodes[[#This Row],[Bezeichnung2]] = "betrogener",2,"")</f>
        <v/>
      </c>
      <c r="R63" s="4" t="str">
        <f>IF(Nodes[[#This Row],[Bezeichnung2]] = "liebender",3,"")</f>
        <v/>
      </c>
      <c r="S63" s="4" t="str">
        <f>IF(Nodes[[#This Row],[Bezeichnung2]] = "liebende",4,"")</f>
        <v/>
      </c>
      <c r="T63" s="4" t="str">
        <f>IF(Nodes[[#This Row],[Bezeichnung2]] = "gegenspieler",5,"")</f>
        <v/>
      </c>
    </row>
    <row r="64" spans="1:20" x14ac:dyDescent="0.3">
      <c r="A64" t="s">
        <v>566</v>
      </c>
      <c r="B64" t="s">
        <v>74</v>
      </c>
      <c r="C64" t="s">
        <v>24</v>
      </c>
      <c r="D64" t="s">
        <v>61</v>
      </c>
      <c r="E64" t="s">
        <v>47</v>
      </c>
      <c r="F64" t="s">
        <v>47</v>
      </c>
      <c r="G64" t="s">
        <v>26</v>
      </c>
      <c r="H64" t="str">
        <f t="shared" si="0"/>
        <v>klerus</v>
      </c>
      <c r="I64" t="str" cm="1">
        <f t="array" ref="I64">_xlfn.SWITCH(A64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64" s="4">
        <f>IF(AND(B64=Werte!B64,LEFT(A64,5)=LEFT(Werte!A64,5)),Werte!C64,"not found")</f>
        <v>9.5238095238095205E-2</v>
      </c>
      <c r="K64" s="4">
        <f>IF(AND(B64=Werte!B64,LEFT(A64,5)=LEFT(Werte!A64,5)),Werte!D64,"not found")</f>
        <v>0</v>
      </c>
      <c r="L64" s="4">
        <f>IF(AND(B64=Werte!B64,LEFT(A64,5)=LEFT(Werte!A64,5)),Werte!E64,"not found")</f>
        <v>0.308823529411765</v>
      </c>
      <c r="M64" s="4">
        <f>IF(AND(B64=Werte!B64,LEFT(A64,5)=LEFT(Werte!A64,5)),Werte!F64,"not found")</f>
        <v>4.6771871787378599E-2</v>
      </c>
      <c r="N64" s="4" t="str">
        <f t="shared" si="1"/>
        <v>unbekannt</v>
      </c>
      <c r="O64" s="4" cm="1">
        <f t="array" ref="O64">_xlfn.SWITCH(A64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64" s="4" t="str">
        <f>IF(Nodes[[#This Row],[Bezeichnung2]] = "betrueger",1,"")</f>
        <v/>
      </c>
      <c r="Q64" s="4" t="str">
        <f>IF(Nodes[[#This Row],[Bezeichnung2]] = "betrogener",2,"")</f>
        <v/>
      </c>
      <c r="R64" s="4" t="str">
        <f>IF(Nodes[[#This Row],[Bezeichnung2]] = "liebender",3,"")</f>
        <v/>
      </c>
      <c r="S64" s="4" t="str">
        <f>IF(Nodes[[#This Row],[Bezeichnung2]] = "liebende",4,"")</f>
        <v/>
      </c>
      <c r="T64" s="4" t="str">
        <f>IF(Nodes[[#This Row],[Bezeichnung2]] = "gegenspieler",5,"")</f>
        <v/>
      </c>
    </row>
    <row r="65" spans="1:20" x14ac:dyDescent="0.3">
      <c r="A65" t="s">
        <v>566</v>
      </c>
      <c r="B65" t="s">
        <v>75</v>
      </c>
      <c r="C65" t="s">
        <v>46</v>
      </c>
      <c r="D65" t="s">
        <v>61</v>
      </c>
      <c r="E65" t="s">
        <v>47</v>
      </c>
      <c r="F65" t="s">
        <v>47</v>
      </c>
      <c r="G65" t="s">
        <v>26</v>
      </c>
      <c r="H65" t="str">
        <f t="shared" si="0"/>
        <v>klerus</v>
      </c>
      <c r="I65" t="str" cm="1">
        <f t="array" ref="I65">_xlfn.SWITCH(A65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65" s="4">
        <f>IF(AND(B65=Werte!B65,LEFT(A65,5)=LEFT(Werte!A65,5)),Werte!C65,"not found")</f>
        <v>0.28571428571428598</v>
      </c>
      <c r="K65" s="4">
        <f>IF(AND(B65=Werte!B65,LEFT(A65,5)=LEFT(Werte!A65,5)),Werte!D65,"not found")</f>
        <v>3.57142857142857E-3</v>
      </c>
      <c r="L65" s="4">
        <f>IF(AND(B65=Werte!B65,LEFT(A65,5)=LEFT(Werte!A65,5)),Werte!E65,"not found")</f>
        <v>0.328125</v>
      </c>
      <c r="M65" s="4">
        <f>IF(AND(B65=Werte!B65,LEFT(A65,5)=LEFT(Werte!A65,5)),Werte!F65,"not found")</f>
        <v>0.23535208348911399</v>
      </c>
      <c r="N65" s="4" t="str">
        <f t="shared" si="1"/>
        <v>unbekannt</v>
      </c>
      <c r="O65" s="4" cm="1">
        <f t="array" ref="O65">_xlfn.SWITCH(A65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65" s="4" t="str">
        <f>IF(Nodes[[#This Row],[Bezeichnung2]] = "betrueger",1,"")</f>
        <v/>
      </c>
      <c r="Q65" s="4" t="str">
        <f>IF(Nodes[[#This Row],[Bezeichnung2]] = "betrogener",2,"")</f>
        <v/>
      </c>
      <c r="R65" s="4" t="str">
        <f>IF(Nodes[[#This Row],[Bezeichnung2]] = "liebender",3,"")</f>
        <v/>
      </c>
      <c r="S65" s="4" t="str">
        <f>IF(Nodes[[#This Row],[Bezeichnung2]] = "liebende",4,"")</f>
        <v/>
      </c>
      <c r="T65" s="4" t="str">
        <f>IF(Nodes[[#This Row],[Bezeichnung2]] = "gegenspieler",5,"")</f>
        <v/>
      </c>
    </row>
    <row r="66" spans="1:20" x14ac:dyDescent="0.3">
      <c r="A66" t="s">
        <v>566</v>
      </c>
      <c r="B66" t="s">
        <v>76</v>
      </c>
      <c r="C66" t="s">
        <v>24</v>
      </c>
      <c r="D66" t="s">
        <v>61</v>
      </c>
      <c r="E66" t="s">
        <v>47</v>
      </c>
      <c r="F66" t="s">
        <v>47</v>
      </c>
      <c r="G66" t="s">
        <v>26</v>
      </c>
      <c r="H66" t="str">
        <f t="shared" ref="H66:H129" si="2">IF(LEFT(D66,4)="adel","adel",IF(LEFT(D66,11)="buergerlich","buergerlich",IF(LEFT(D66,6)="klerus","klerus",IF(D66="NA","NA",IF(LEFT(D66,9)="unbekannt","unbekannt",IF(LEFT(D66,5)="bauer","bauer","not found"))))))</f>
        <v>klerus</v>
      </c>
      <c r="I66" t="str" cm="1">
        <f t="array" ref="I66">_xlfn.SWITCH(A66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66" s="4">
        <f>IF(AND(B66=Werte!B66,LEFT(A66,5)=LEFT(Werte!A66,5)),Werte!C66,"not found")</f>
        <v>0.19047619047618999</v>
      </c>
      <c r="K66" s="4">
        <f>IF(AND(B66=Werte!B66,LEFT(A66,5)=LEFT(Werte!A66,5)),Werte!D66,"not found")</f>
        <v>2.6190476190476202E-2</v>
      </c>
      <c r="L66" s="4">
        <f>IF(AND(B66=Werte!B66,LEFT(A66,5)=LEFT(Werte!A66,5)),Werte!E66,"not found")</f>
        <v>0.41176470588235298</v>
      </c>
      <c r="M66" s="4">
        <f>IF(AND(B66=Werte!B66,LEFT(A66,5)=LEFT(Werte!A66,5)),Werte!F66,"not found")</f>
        <v>0.103964839896415</v>
      </c>
      <c r="N66" s="4" t="str">
        <f t="shared" ref="N66:N129" si="3">IF(RIGHT(F66,10)="betrogener","betrogener",IF(RIGHT(F66,9)="betrueger","betrueger",F66))</f>
        <v>unbekannt</v>
      </c>
      <c r="O66" s="4" cm="1">
        <f t="array" ref="O66">_xlfn.SWITCH(A66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66" s="4" t="str">
        <f>IF(Nodes[[#This Row],[Bezeichnung2]] = "betrueger",1,"")</f>
        <v/>
      </c>
      <c r="Q66" s="4" t="str">
        <f>IF(Nodes[[#This Row],[Bezeichnung2]] = "betrogener",2,"")</f>
        <v/>
      </c>
      <c r="R66" s="4" t="str">
        <f>IF(Nodes[[#This Row],[Bezeichnung2]] = "liebender",3,"")</f>
        <v/>
      </c>
      <c r="S66" s="4" t="str">
        <f>IF(Nodes[[#This Row],[Bezeichnung2]] = "liebende",4,"")</f>
        <v/>
      </c>
      <c r="T66" s="4" t="str">
        <f>IF(Nodes[[#This Row],[Bezeichnung2]] = "gegenspieler",5,"")</f>
        <v/>
      </c>
    </row>
    <row r="67" spans="1:20" x14ac:dyDescent="0.3">
      <c r="A67" t="s">
        <v>566</v>
      </c>
      <c r="B67" t="s">
        <v>77</v>
      </c>
      <c r="C67" t="s">
        <v>46</v>
      </c>
      <c r="D67" t="s">
        <v>78</v>
      </c>
      <c r="E67" t="s">
        <v>47</v>
      </c>
      <c r="F67" t="s">
        <v>71</v>
      </c>
      <c r="G67" t="s">
        <v>26</v>
      </c>
      <c r="H67" t="str">
        <f t="shared" si="2"/>
        <v>klerus</v>
      </c>
      <c r="I67" t="str" cm="1">
        <f t="array" ref="I67">_xlfn.SWITCH(A67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67" s="4">
        <f>IF(AND(B67=Werte!B67,LEFT(A67,5)=LEFT(Werte!A67,5)),Werte!C67,"not found")</f>
        <v>0.28571428571428598</v>
      </c>
      <c r="K67" s="4">
        <f>IF(AND(B67=Werte!B67,LEFT(A67,5)=LEFT(Werte!A67,5)),Werte!D67,"not found")</f>
        <v>0</v>
      </c>
      <c r="L67" s="4">
        <f>IF(AND(B67=Werte!B67,LEFT(A67,5)=LEFT(Werte!A67,5)),Werte!E67,"not found")</f>
        <v>0.33333333333333298</v>
      </c>
      <c r="M67" s="4">
        <f>IF(AND(B67=Werte!B67,LEFT(A67,5)=LEFT(Werte!A67,5)),Werte!F67,"not found")</f>
        <v>0.16167614041103501</v>
      </c>
      <c r="N67" s="4" t="str">
        <f t="shared" si="3"/>
        <v>gegner</v>
      </c>
      <c r="O67" s="4" cm="1">
        <f t="array" ref="O67">_xlfn.SWITCH(A67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67" s="4" t="str">
        <f>IF(Nodes[[#This Row],[Bezeichnung2]] = "betrueger",1,"")</f>
        <v/>
      </c>
      <c r="Q67" s="4" t="str">
        <f>IF(Nodes[[#This Row],[Bezeichnung2]] = "betrogener",2,"")</f>
        <v/>
      </c>
      <c r="R67" s="4" t="str">
        <f>IF(Nodes[[#This Row],[Bezeichnung2]] = "liebender",3,"")</f>
        <v/>
      </c>
      <c r="S67" s="4" t="str">
        <f>IF(Nodes[[#This Row],[Bezeichnung2]] = "liebende",4,"")</f>
        <v/>
      </c>
      <c r="T67" s="4" t="str">
        <f>IF(Nodes[[#This Row],[Bezeichnung2]] = "gegenspieler",5,"")</f>
        <v/>
      </c>
    </row>
    <row r="68" spans="1:20" x14ac:dyDescent="0.3">
      <c r="A68" t="s">
        <v>566</v>
      </c>
      <c r="B68" t="s">
        <v>79</v>
      </c>
      <c r="C68" t="s">
        <v>24</v>
      </c>
      <c r="D68" t="s">
        <v>61</v>
      </c>
      <c r="E68" t="s">
        <v>47</v>
      </c>
      <c r="F68" t="s">
        <v>71</v>
      </c>
      <c r="G68" t="s">
        <v>26</v>
      </c>
      <c r="H68" t="str">
        <f t="shared" si="2"/>
        <v>klerus</v>
      </c>
      <c r="I68" t="str" cm="1">
        <f t="array" ref="I68">_xlfn.SWITCH(A68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68" s="4">
        <f>IF(AND(B68=Werte!B68,LEFT(A68,5)=LEFT(Werte!A68,5)),Werte!C68,"not found")</f>
        <v>0.57142857142857095</v>
      </c>
      <c r="K68" s="4">
        <f>IF(AND(B68=Werte!B68,LEFT(A68,5)=LEFT(Werte!A68,5)),Werte!D68,"not found")</f>
        <v>3.2142857142857098E-2</v>
      </c>
      <c r="L68" s="4">
        <f>IF(AND(B68=Werte!B68,LEFT(A68,5)=LEFT(Werte!A68,5)),Werte!E68,"not found")</f>
        <v>0.375</v>
      </c>
      <c r="M68" s="4">
        <f>IF(AND(B68=Werte!B68,LEFT(A68,5)=LEFT(Werte!A68,5)),Werte!F68,"not found")</f>
        <v>0.212178515598762</v>
      </c>
      <c r="N68" s="4" t="str">
        <f t="shared" si="3"/>
        <v>gegner</v>
      </c>
      <c r="O68" s="4" cm="1">
        <f t="array" ref="O68">_xlfn.SWITCH(A68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68" s="4" t="str">
        <f>IF(Nodes[[#This Row],[Bezeichnung2]] = "betrueger",1,"")</f>
        <v/>
      </c>
      <c r="Q68" s="4" t="str">
        <f>IF(Nodes[[#This Row],[Bezeichnung2]] = "betrogener",2,"")</f>
        <v/>
      </c>
      <c r="R68" s="4" t="str">
        <f>IF(Nodes[[#This Row],[Bezeichnung2]] = "liebender",3,"")</f>
        <v/>
      </c>
      <c r="S68" s="4" t="str">
        <f>IF(Nodes[[#This Row],[Bezeichnung2]] = "liebende",4,"")</f>
        <v/>
      </c>
      <c r="T68" s="4" t="str">
        <f>IF(Nodes[[#This Row],[Bezeichnung2]] = "gegenspieler",5,"")</f>
        <v/>
      </c>
    </row>
    <row r="69" spans="1:20" x14ac:dyDescent="0.3">
      <c r="A69" t="s">
        <v>566</v>
      </c>
      <c r="B69" t="s">
        <v>80</v>
      </c>
      <c r="C69" t="s">
        <v>24</v>
      </c>
      <c r="D69" t="s">
        <v>61</v>
      </c>
      <c r="E69" t="s">
        <v>47</v>
      </c>
      <c r="F69" t="s">
        <v>71</v>
      </c>
      <c r="G69" t="s">
        <v>26</v>
      </c>
      <c r="H69" t="str">
        <f t="shared" si="2"/>
        <v>klerus</v>
      </c>
      <c r="I69" t="str" cm="1">
        <f t="array" ref="I69">_xlfn.SWITCH(A69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69" s="4">
        <f>IF(AND(B69=Werte!B69,LEFT(A69,5)=LEFT(Werte!A69,5)),Werte!C69,"not found")</f>
        <v>0.57142857142857095</v>
      </c>
      <c r="K69" s="4">
        <f>IF(AND(B69=Werte!B69,LEFT(A69,5)=LEFT(Werte!A69,5)),Werte!D69,"not found")</f>
        <v>3.2142857142857098E-2</v>
      </c>
      <c r="L69" s="4">
        <f>IF(AND(B69=Werte!B69,LEFT(A69,5)=LEFT(Werte!A69,5)),Werte!E69,"not found")</f>
        <v>0.375</v>
      </c>
      <c r="M69" s="4">
        <f>IF(AND(B69=Werte!B69,LEFT(A69,5)=LEFT(Werte!A69,5)),Werte!F69,"not found")</f>
        <v>0.212178515598762</v>
      </c>
      <c r="N69" s="4" t="str">
        <f t="shared" si="3"/>
        <v>gegner</v>
      </c>
      <c r="O69" s="4" cm="1">
        <f t="array" ref="O69">_xlfn.SWITCH(A69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69" s="4" t="str">
        <f>IF(Nodes[[#This Row],[Bezeichnung2]] = "betrueger",1,"")</f>
        <v/>
      </c>
      <c r="Q69" s="4" t="str">
        <f>IF(Nodes[[#This Row],[Bezeichnung2]] = "betrogener",2,"")</f>
        <v/>
      </c>
      <c r="R69" s="4" t="str">
        <f>IF(Nodes[[#This Row],[Bezeichnung2]] = "liebender",3,"")</f>
        <v/>
      </c>
      <c r="S69" s="4" t="str">
        <f>IF(Nodes[[#This Row],[Bezeichnung2]] = "liebende",4,"")</f>
        <v/>
      </c>
      <c r="T69" s="4" t="str">
        <f>IF(Nodes[[#This Row],[Bezeichnung2]] = "gegenspieler",5,"")</f>
        <v/>
      </c>
    </row>
    <row r="70" spans="1:20" x14ac:dyDescent="0.3">
      <c r="A70" t="s">
        <v>566</v>
      </c>
      <c r="B70" t="s">
        <v>81</v>
      </c>
      <c r="C70" t="s">
        <v>24</v>
      </c>
      <c r="D70" t="s">
        <v>61</v>
      </c>
      <c r="E70" t="s">
        <v>47</v>
      </c>
      <c r="F70" t="s">
        <v>71</v>
      </c>
      <c r="G70" t="s">
        <v>26</v>
      </c>
      <c r="H70" t="str">
        <f t="shared" si="2"/>
        <v>klerus</v>
      </c>
      <c r="I70" t="str" cm="1">
        <f t="array" ref="I70">_xlfn.SWITCH(A70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70" s="4">
        <f>IF(AND(B70=Werte!B70,LEFT(A70,5)=LEFT(Werte!A70,5)),Werte!C70,"not found")</f>
        <v>0.38095238095238099</v>
      </c>
      <c r="K70" s="4">
        <f>IF(AND(B70=Werte!B70,LEFT(A70,5)=LEFT(Werte!A70,5)),Werte!D70,"not found")</f>
        <v>3.6904761904761899E-2</v>
      </c>
      <c r="L70" s="4">
        <f>IF(AND(B70=Werte!B70,LEFT(A70,5)=LEFT(Werte!A70,5)),Werte!E70,"not found")</f>
        <v>0.41176470588235298</v>
      </c>
      <c r="M70" s="4">
        <f>IF(AND(B70=Werte!B70,LEFT(A70,5)=LEFT(Werte!A70,5)),Werte!F70,"not found")</f>
        <v>8.6404962527457205E-2</v>
      </c>
      <c r="N70" s="4" t="str">
        <f t="shared" si="3"/>
        <v>gegner</v>
      </c>
      <c r="O70" s="4" cm="1">
        <f t="array" ref="O70">_xlfn.SWITCH(A70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70" s="4" t="str">
        <f>IF(Nodes[[#This Row],[Bezeichnung2]] = "betrueger",1,"")</f>
        <v/>
      </c>
      <c r="Q70" s="4" t="str">
        <f>IF(Nodes[[#This Row],[Bezeichnung2]] = "betrogener",2,"")</f>
        <v/>
      </c>
      <c r="R70" s="4" t="str">
        <f>IF(Nodes[[#This Row],[Bezeichnung2]] = "liebender",3,"")</f>
        <v/>
      </c>
      <c r="S70" s="4" t="str">
        <f>IF(Nodes[[#This Row],[Bezeichnung2]] = "liebende",4,"")</f>
        <v/>
      </c>
      <c r="T70" s="4" t="str">
        <f>IF(Nodes[[#This Row],[Bezeichnung2]] = "gegenspieler",5,"")</f>
        <v/>
      </c>
    </row>
    <row r="71" spans="1:20" x14ac:dyDescent="0.3">
      <c r="A71" t="s">
        <v>566</v>
      </c>
      <c r="B71" t="s">
        <v>82</v>
      </c>
      <c r="C71" t="s">
        <v>24</v>
      </c>
      <c r="D71" t="s">
        <v>61</v>
      </c>
      <c r="E71" t="s">
        <v>32</v>
      </c>
      <c r="F71" t="s">
        <v>71</v>
      </c>
      <c r="G71" t="s">
        <v>26</v>
      </c>
      <c r="H71" t="str">
        <f t="shared" si="2"/>
        <v>klerus</v>
      </c>
      <c r="I71" t="str" cm="1">
        <f t="array" ref="I71">_xlfn.SWITCH(A71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71" s="4">
        <f>IF(AND(B71=Werte!B71,LEFT(A71,5)=LEFT(Werte!A71,5)),Werte!C71,"not found")</f>
        <v>0.38095238095238099</v>
      </c>
      <c r="K71" s="4">
        <f>IF(AND(B71=Werte!B71,LEFT(A71,5)=LEFT(Werte!A71,5)),Werte!D71,"not found")</f>
        <v>3.6904761904761899E-2</v>
      </c>
      <c r="L71" s="4">
        <f>IF(AND(B71=Werte!B71,LEFT(A71,5)=LEFT(Werte!A71,5)),Werte!E71,"not found")</f>
        <v>0.41176470588235298</v>
      </c>
      <c r="M71" s="4">
        <f>IF(AND(B71=Werte!B71,LEFT(A71,5)=LEFT(Werte!A71,5)),Werte!F71,"not found")</f>
        <v>8.6404962527457205E-2</v>
      </c>
      <c r="N71" s="4" t="str">
        <f t="shared" si="3"/>
        <v>gegner</v>
      </c>
      <c r="O71" s="4" cm="1">
        <f t="array" ref="O71">_xlfn.SWITCH(A71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71" s="4" t="str">
        <f>IF(Nodes[[#This Row],[Bezeichnung2]] = "betrueger",1,"")</f>
        <v/>
      </c>
      <c r="Q71" s="4" t="str">
        <f>IF(Nodes[[#This Row],[Bezeichnung2]] = "betrogener",2,"")</f>
        <v/>
      </c>
      <c r="R71" s="4" t="str">
        <f>IF(Nodes[[#This Row],[Bezeichnung2]] = "liebender",3,"")</f>
        <v/>
      </c>
      <c r="S71" s="4" t="str">
        <f>IF(Nodes[[#This Row],[Bezeichnung2]] = "liebende",4,"")</f>
        <v/>
      </c>
      <c r="T71" s="4" t="str">
        <f>IF(Nodes[[#This Row],[Bezeichnung2]] = "gegenspieler",5,"")</f>
        <v/>
      </c>
    </row>
    <row r="72" spans="1:20" x14ac:dyDescent="0.3">
      <c r="A72" t="s">
        <v>122</v>
      </c>
      <c r="B72" t="s">
        <v>123</v>
      </c>
      <c r="C72" t="s">
        <v>18</v>
      </c>
      <c r="D72" t="s">
        <v>101</v>
      </c>
      <c r="E72" t="s">
        <v>47</v>
      </c>
      <c r="F72" t="s">
        <v>21</v>
      </c>
      <c r="G72" t="s">
        <v>26</v>
      </c>
      <c r="H72" t="str">
        <f t="shared" si="2"/>
        <v>buergerlich</v>
      </c>
      <c r="I72" t="str" cm="1">
        <f t="array" ref="I72">_xlfn.SWITCH(A72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72" s="4">
        <f>IF(AND(B72=Werte!B72,LEFT(A72,5)=LEFT(Werte!A72,5)),Werte!C72,"not found")</f>
        <v>2</v>
      </c>
      <c r="K72" s="4">
        <f>IF(AND(B72=Werte!B72,LEFT(A72,5)=LEFT(Werte!A72,5)),Werte!D72,"not found")</f>
        <v>3.3333333333333298E-2</v>
      </c>
      <c r="L72" s="4">
        <f>IF(AND(B72=Werte!B72,LEFT(A72,5)=LEFT(Werte!A72,5)),Werte!E72,"not found")</f>
        <v>0.625</v>
      </c>
      <c r="M72" s="4">
        <f>IF(AND(B72=Werte!B72,LEFT(A72,5)=LEFT(Werte!A72,5)),Werte!F72,"not found")</f>
        <v>0.168506529429229</v>
      </c>
      <c r="N72" s="4" t="str">
        <f t="shared" si="3"/>
        <v>ehemann</v>
      </c>
      <c r="O72" s="4" cm="1">
        <f t="array" ref="O72">_xlfn.SWITCH(A72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72" s="4" t="str">
        <f>IF(Nodes[[#This Row],[Bezeichnung2]] = "betrueger",1,"")</f>
        <v/>
      </c>
      <c r="Q72" s="4" t="str">
        <f>IF(Nodes[[#This Row],[Bezeichnung2]] = "betrogener",2,"")</f>
        <v/>
      </c>
      <c r="R72" s="4" t="str">
        <f>IF(Nodes[[#This Row],[Bezeichnung2]] = "liebender",3,"")</f>
        <v/>
      </c>
      <c r="S72" s="4" t="str">
        <f>IF(Nodes[[#This Row],[Bezeichnung2]] = "liebende",4,"")</f>
        <v/>
      </c>
      <c r="T72" s="4" t="str">
        <f>IF(Nodes[[#This Row],[Bezeichnung2]] = "gegenspieler",5,"")</f>
        <v/>
      </c>
    </row>
    <row r="73" spans="1:20" x14ac:dyDescent="0.3">
      <c r="A73" t="s">
        <v>122</v>
      </c>
      <c r="B73" t="s">
        <v>117</v>
      </c>
      <c r="C73" t="s">
        <v>24</v>
      </c>
      <c r="D73" t="s">
        <v>124</v>
      </c>
      <c r="E73" t="s">
        <v>47</v>
      </c>
      <c r="F73" t="s">
        <v>25</v>
      </c>
      <c r="G73" t="s">
        <v>26</v>
      </c>
      <c r="H73" t="str">
        <f t="shared" si="2"/>
        <v>buergerlich</v>
      </c>
      <c r="I73" t="str" cm="1">
        <f t="array" ref="I73">_xlfn.SWITCH(A73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73" s="4">
        <f>IF(AND(B73=Werte!B73,LEFT(A73,5)=LEFT(Werte!A73,5)),Werte!C73,"not found")</f>
        <v>1.6</v>
      </c>
      <c r="K73" s="4">
        <f>IF(AND(B73=Werte!B73,LEFT(A73,5)=LEFT(Werte!A73,5)),Werte!D73,"not found")</f>
        <v>0</v>
      </c>
      <c r="L73" s="4">
        <f>IF(AND(B73=Werte!B73,LEFT(A73,5)=LEFT(Werte!A73,5)),Werte!E73,"not found")</f>
        <v>0.625</v>
      </c>
      <c r="M73" s="4">
        <f>IF(AND(B73=Werte!B73,LEFT(A73,5)=LEFT(Werte!A73,5)),Werte!F73,"not found")</f>
        <v>0.10730849775602801</v>
      </c>
      <c r="N73" s="4" t="str">
        <f t="shared" si="3"/>
        <v>ehefrau</v>
      </c>
      <c r="O73" s="4" cm="1">
        <f t="array" ref="O73">_xlfn.SWITCH(A73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73" s="4" t="str">
        <f>IF(Nodes[[#This Row],[Bezeichnung2]] = "betrueger",1,"")</f>
        <v/>
      </c>
      <c r="Q73" s="4" t="str">
        <f>IF(Nodes[[#This Row],[Bezeichnung2]] = "betrogener",2,"")</f>
        <v/>
      </c>
      <c r="R73" s="4" t="str">
        <f>IF(Nodes[[#This Row],[Bezeichnung2]] = "liebender",3,"")</f>
        <v/>
      </c>
      <c r="S73" s="4" t="str">
        <f>IF(Nodes[[#This Row],[Bezeichnung2]] = "liebende",4,"")</f>
        <v/>
      </c>
      <c r="T73" s="4" t="str">
        <f>IF(Nodes[[#This Row],[Bezeichnung2]] = "gegenspieler",5,"")</f>
        <v/>
      </c>
    </row>
    <row r="74" spans="1:20" x14ac:dyDescent="0.3">
      <c r="A74" t="s">
        <v>122</v>
      </c>
      <c r="B74" t="s">
        <v>125</v>
      </c>
      <c r="C74" t="s">
        <v>18</v>
      </c>
      <c r="D74" t="s">
        <v>126</v>
      </c>
      <c r="E74" t="s">
        <v>47</v>
      </c>
      <c r="F74" t="s">
        <v>127</v>
      </c>
      <c r="G74" t="s">
        <v>22</v>
      </c>
      <c r="H74" t="str">
        <f t="shared" si="2"/>
        <v>buergerlich</v>
      </c>
      <c r="I74" t="str" cm="1">
        <f t="array" ref="I74">_xlfn.SWITCH(A74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74" s="4">
        <f>IF(AND(B74=Werte!B74,LEFT(A74,5)=LEFT(Werte!A74,5)),Werte!C74,"not found")</f>
        <v>2</v>
      </c>
      <c r="K74" s="4">
        <f>IF(AND(B74=Werte!B74,LEFT(A74,5)=LEFT(Werte!A74,5)),Werte!D74,"not found")</f>
        <v>3.3333333333333298E-2</v>
      </c>
      <c r="L74" s="4">
        <f>IF(AND(B74=Werte!B74,LEFT(A74,5)=LEFT(Werte!A74,5)),Werte!E74,"not found")</f>
        <v>0.625</v>
      </c>
      <c r="M74" s="4">
        <f>IF(AND(B74=Werte!B74,LEFT(A74,5)=LEFT(Werte!A74,5)),Werte!F74,"not found")</f>
        <v>1</v>
      </c>
      <c r="N74" s="4" t="str">
        <f t="shared" si="3"/>
        <v>betrueger</v>
      </c>
      <c r="O74" s="4" cm="1">
        <f t="array" ref="O74">_xlfn.SWITCH(A74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74" s="4">
        <f>IF(Nodes[[#This Row],[Bezeichnung2]] = "betrueger",1,"")</f>
        <v>1</v>
      </c>
      <c r="Q74" s="4" t="str">
        <f>IF(Nodes[[#This Row],[Bezeichnung2]] = "betrogener",2,"")</f>
        <v/>
      </c>
      <c r="R74" s="4" t="str">
        <f>IF(Nodes[[#This Row],[Bezeichnung2]] = "liebender",3,"")</f>
        <v/>
      </c>
      <c r="S74" s="4" t="str">
        <f>IF(Nodes[[#This Row],[Bezeichnung2]] = "liebende",4,"")</f>
        <v/>
      </c>
      <c r="T74" s="4" t="str">
        <f>IF(Nodes[[#This Row],[Bezeichnung2]] = "gegenspieler",5,"")</f>
        <v/>
      </c>
    </row>
    <row r="75" spans="1:20" x14ac:dyDescent="0.3">
      <c r="A75" t="s">
        <v>122</v>
      </c>
      <c r="B75" t="s">
        <v>128</v>
      </c>
      <c r="C75" t="s">
        <v>24</v>
      </c>
      <c r="D75" t="s">
        <v>129</v>
      </c>
      <c r="E75" t="s">
        <v>47</v>
      </c>
      <c r="F75" t="s">
        <v>93</v>
      </c>
      <c r="G75" t="s">
        <v>22</v>
      </c>
      <c r="H75" t="str">
        <f t="shared" si="2"/>
        <v>buergerlich</v>
      </c>
      <c r="I75" t="str" cm="1">
        <f t="array" ref="I75">_xlfn.SWITCH(A75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75" s="4">
        <f>IF(AND(B75=Werte!B75,LEFT(A75,5)=LEFT(Werte!A75,5)),Werte!C75,"not found")</f>
        <v>2</v>
      </c>
      <c r="K75" s="4">
        <f>IF(AND(B75=Werte!B75,LEFT(A75,5)=LEFT(Werte!A75,5)),Werte!D75,"not found")</f>
        <v>0.133333333333333</v>
      </c>
      <c r="L75" s="4">
        <f>IF(AND(B75=Werte!B75,LEFT(A75,5)=LEFT(Werte!A75,5)),Werte!E75,"not found")</f>
        <v>0.71428571428571397</v>
      </c>
      <c r="M75" s="4">
        <f>IF(AND(B75=Werte!B75,LEFT(A75,5)=LEFT(Werte!A75,5)),Werte!F75,"not found")</f>
        <v>0.99560269402820301</v>
      </c>
      <c r="N75" s="4" t="str">
        <f t="shared" si="3"/>
        <v>betrogener</v>
      </c>
      <c r="O75" s="4" cm="1">
        <f t="array" ref="O75">_xlfn.SWITCH(A75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75" s="4" t="str">
        <f>IF(Nodes[[#This Row],[Bezeichnung2]] = "betrueger",1,"")</f>
        <v/>
      </c>
      <c r="Q75" s="4">
        <f>IF(Nodes[[#This Row],[Bezeichnung2]] = "betrogener",2,"")</f>
        <v>2</v>
      </c>
      <c r="R75" s="4" t="str">
        <f>IF(Nodes[[#This Row],[Bezeichnung2]] = "liebender",3,"")</f>
        <v/>
      </c>
      <c r="S75" s="4" t="str">
        <f>IF(Nodes[[#This Row],[Bezeichnung2]] = "liebende",4,"")</f>
        <v/>
      </c>
      <c r="T75" s="4" t="str">
        <f>IF(Nodes[[#This Row],[Bezeichnung2]] = "gegenspieler",5,"")</f>
        <v/>
      </c>
    </row>
    <row r="76" spans="1:20" x14ac:dyDescent="0.3">
      <c r="A76" t="s">
        <v>122</v>
      </c>
      <c r="B76" t="s">
        <v>130</v>
      </c>
      <c r="C76" t="s">
        <v>46</v>
      </c>
      <c r="D76" t="s">
        <v>47</v>
      </c>
      <c r="E76" t="s">
        <v>47</v>
      </c>
      <c r="F76" t="s">
        <v>47</v>
      </c>
      <c r="G76" t="s">
        <v>26</v>
      </c>
      <c r="H76" t="str">
        <f t="shared" si="2"/>
        <v>unbekannt</v>
      </c>
      <c r="I76" t="str" cm="1">
        <f t="array" ref="I76">_xlfn.SWITCH(A76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76" s="4">
        <f>IF(AND(B76=Werte!B76,LEFT(A76,5)=LEFT(Werte!A76,5)),Werte!C76,"not found")</f>
        <v>1.6</v>
      </c>
      <c r="K76" s="4">
        <f>IF(AND(B76=Werte!B76,LEFT(A76,5)=LEFT(Werte!A76,5)),Werte!D76,"not found")</f>
        <v>0.233333333333333</v>
      </c>
      <c r="L76" s="4">
        <f>IF(AND(B76=Werte!B76,LEFT(A76,5)=LEFT(Werte!A76,5)),Werte!E76,"not found")</f>
        <v>0.83333333333333304</v>
      </c>
      <c r="M76" s="4">
        <f>IF(AND(B76=Werte!B76,LEFT(A76,5)=LEFT(Werte!A76,5)),Werte!F76,"not found")</f>
        <v>7.1600165582172803E-2</v>
      </c>
      <c r="N76" s="4" t="str">
        <f t="shared" si="3"/>
        <v>unbekannt</v>
      </c>
      <c r="O76" s="4" cm="1">
        <f t="array" ref="O76">_xlfn.SWITCH(A76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76" s="4" t="str">
        <f>IF(Nodes[[#This Row],[Bezeichnung2]] = "betrueger",1,"")</f>
        <v/>
      </c>
      <c r="Q76" s="4" t="str">
        <f>IF(Nodes[[#This Row],[Bezeichnung2]] = "betrogener",2,"")</f>
        <v/>
      </c>
      <c r="R76" s="4" t="str">
        <f>IF(Nodes[[#This Row],[Bezeichnung2]] = "liebender",3,"")</f>
        <v/>
      </c>
      <c r="S76" s="4" t="str">
        <f>IF(Nodes[[#This Row],[Bezeichnung2]] = "liebende",4,"")</f>
        <v/>
      </c>
      <c r="T76" s="4" t="str">
        <f>IF(Nodes[[#This Row],[Bezeichnung2]] = "gegenspieler",5,"")</f>
        <v/>
      </c>
    </row>
    <row r="77" spans="1:20" x14ac:dyDescent="0.3">
      <c r="A77" t="s">
        <v>122</v>
      </c>
      <c r="B77" t="s">
        <v>51</v>
      </c>
      <c r="C77" t="s">
        <v>46</v>
      </c>
      <c r="D77" t="s">
        <v>47</v>
      </c>
      <c r="E77" t="s">
        <v>47</v>
      </c>
      <c r="F77" t="s">
        <v>47</v>
      </c>
      <c r="G77" t="s">
        <v>26</v>
      </c>
      <c r="H77" t="str">
        <f t="shared" si="2"/>
        <v>unbekannt</v>
      </c>
      <c r="I77" t="str" cm="1">
        <f t="array" ref="I77">_xlfn.SWITCH(A77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77" s="4">
        <f>IF(AND(B77=Werte!B77,LEFT(A77,5)=LEFT(Werte!A77,5)),Werte!C77,"not found")</f>
        <v>1.2</v>
      </c>
      <c r="K77" s="4">
        <f>IF(AND(B77=Werte!B77,LEFT(A77,5)=LEFT(Werte!A77,5)),Werte!D77,"not found")</f>
        <v>0.133333333333333</v>
      </c>
      <c r="L77" s="4">
        <f>IF(AND(B77=Werte!B77,LEFT(A77,5)=LEFT(Werte!A77,5)),Werte!E77,"not found")</f>
        <v>0.71428571428571397</v>
      </c>
      <c r="M77" s="4">
        <f>IF(AND(B77=Werte!B77,LEFT(A77,5)=LEFT(Werte!A77,5)),Werte!F77,"not found")</f>
        <v>6.8217561785456099E-2</v>
      </c>
      <c r="N77" s="4" t="str">
        <f t="shared" si="3"/>
        <v>unbekannt</v>
      </c>
      <c r="O77" s="4" cm="1">
        <f t="array" ref="O77">_xlfn.SWITCH(A77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77" s="4" t="str">
        <f>IF(Nodes[[#This Row],[Bezeichnung2]] = "betrueger",1,"")</f>
        <v/>
      </c>
      <c r="Q77" s="4" t="str">
        <f>IF(Nodes[[#This Row],[Bezeichnung2]] = "betrogener",2,"")</f>
        <v/>
      </c>
      <c r="R77" s="4" t="str">
        <f>IF(Nodes[[#This Row],[Bezeichnung2]] = "liebender",3,"")</f>
        <v/>
      </c>
      <c r="S77" s="4" t="str">
        <f>IF(Nodes[[#This Row],[Bezeichnung2]] = "liebende",4,"")</f>
        <v/>
      </c>
      <c r="T77" s="4" t="str">
        <f>IF(Nodes[[#This Row],[Bezeichnung2]] = "gegenspieler",5,"")</f>
        <v/>
      </c>
    </row>
    <row r="78" spans="1:20" x14ac:dyDescent="0.3">
      <c r="A78" t="s">
        <v>131</v>
      </c>
      <c r="B78" t="s">
        <v>132</v>
      </c>
      <c r="C78" t="s">
        <v>18</v>
      </c>
      <c r="D78" t="s">
        <v>133</v>
      </c>
      <c r="E78" t="s">
        <v>47</v>
      </c>
      <c r="F78" t="s">
        <v>50</v>
      </c>
      <c r="G78" t="s">
        <v>22</v>
      </c>
      <c r="H78" t="str">
        <f t="shared" si="2"/>
        <v>buergerlich</v>
      </c>
      <c r="I78" t="str" cm="1">
        <f t="array" ref="I78">_xlfn.SWITCH(A78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78" s="4">
        <f>IF(AND(B78=Werte!B78,LEFT(A78,5)=LEFT(Werte!A78,5)),Werte!C78,"not found")</f>
        <v>2</v>
      </c>
      <c r="K78" s="4">
        <f>IF(AND(B78=Werte!B78,LEFT(A78,5)=LEFT(Werte!A78,5)),Werte!D78,"not found")</f>
        <v>8.3333333333333301E-2</v>
      </c>
      <c r="L78" s="4">
        <f>IF(AND(B78=Werte!B78,LEFT(A78,5)=LEFT(Werte!A78,5)),Werte!E78,"not found")</f>
        <v>0.5</v>
      </c>
      <c r="M78" s="4">
        <f>IF(AND(B78=Werte!B78,LEFT(A78,5)=LEFT(Werte!A78,5)),Werte!F78,"not found")</f>
        <v>1</v>
      </c>
      <c r="N78" s="4" t="str">
        <f t="shared" si="3"/>
        <v>betrogener</v>
      </c>
      <c r="O78" s="4" cm="1">
        <f t="array" ref="O78">_xlfn.SWITCH(A78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78" s="4" t="str">
        <f>IF(Nodes[[#This Row],[Bezeichnung2]] = "betrueger",1,"")</f>
        <v/>
      </c>
      <c r="Q78" s="4">
        <f>IF(Nodes[[#This Row],[Bezeichnung2]] = "betrogener",2,"")</f>
        <v>2</v>
      </c>
      <c r="R78" s="4" t="str">
        <f>IF(Nodes[[#This Row],[Bezeichnung2]] = "liebender",3,"")</f>
        <v/>
      </c>
      <c r="S78" s="4" t="str">
        <f>IF(Nodes[[#This Row],[Bezeichnung2]] = "liebende",4,"")</f>
        <v/>
      </c>
      <c r="T78" s="4" t="str">
        <f>IF(Nodes[[#This Row],[Bezeichnung2]] = "gegenspieler",5,"")</f>
        <v/>
      </c>
    </row>
    <row r="79" spans="1:20" x14ac:dyDescent="0.3">
      <c r="A79" t="s">
        <v>131</v>
      </c>
      <c r="B79" t="s">
        <v>85</v>
      </c>
      <c r="C79" t="s">
        <v>24</v>
      </c>
      <c r="D79" t="s">
        <v>124</v>
      </c>
      <c r="E79" t="s">
        <v>47</v>
      </c>
      <c r="F79" t="s">
        <v>55</v>
      </c>
      <c r="G79" t="s">
        <v>22</v>
      </c>
      <c r="H79" t="str">
        <f t="shared" si="2"/>
        <v>buergerlich</v>
      </c>
      <c r="I79" t="str" cm="1">
        <f t="array" ref="I79">_xlfn.SWITCH(A79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79" s="4">
        <f>IF(AND(B79=Werte!B79,LEFT(A79,5)=LEFT(Werte!A79,5)),Werte!C79,"not found")</f>
        <v>1</v>
      </c>
      <c r="K79" s="4">
        <f>IF(AND(B79=Werte!B79,LEFT(A79,5)=LEFT(Werte!A79,5)),Werte!D79,"not found")</f>
        <v>0</v>
      </c>
      <c r="L79" s="4">
        <f>IF(AND(B79=Werte!B79,LEFT(A79,5)=LEFT(Werte!A79,5)),Werte!E79,"not found")</f>
        <v>0.33333333333333298</v>
      </c>
      <c r="M79" s="4">
        <f>IF(AND(B79=Werte!B79,LEFT(A79,5)=LEFT(Werte!A79,5)),Werte!F79,"not found")</f>
        <v>0.82263730161023896</v>
      </c>
      <c r="N79" s="4" t="str">
        <f t="shared" si="3"/>
        <v>betrueger</v>
      </c>
      <c r="O79" s="4" cm="1">
        <f t="array" ref="O79">_xlfn.SWITCH(A79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79" s="4">
        <f>IF(Nodes[[#This Row],[Bezeichnung2]] = "betrueger",1,"")</f>
        <v>1</v>
      </c>
      <c r="Q79" s="4" t="str">
        <f>IF(Nodes[[#This Row],[Bezeichnung2]] = "betrogener",2,"")</f>
        <v/>
      </c>
      <c r="R79" s="4" t="str">
        <f>IF(Nodes[[#This Row],[Bezeichnung2]] = "liebender",3,"")</f>
        <v/>
      </c>
      <c r="S79" s="4" t="str">
        <f>IF(Nodes[[#This Row],[Bezeichnung2]] = "liebende",4,"")</f>
        <v/>
      </c>
      <c r="T79" s="4" t="str">
        <f>IF(Nodes[[#This Row],[Bezeichnung2]] = "gegenspieler",5,"")</f>
        <v/>
      </c>
    </row>
    <row r="80" spans="1:20" x14ac:dyDescent="0.3">
      <c r="A80" t="s">
        <v>131</v>
      </c>
      <c r="B80" t="s">
        <v>134</v>
      </c>
      <c r="C80" t="s">
        <v>18</v>
      </c>
      <c r="D80" t="s">
        <v>135</v>
      </c>
      <c r="E80" t="s">
        <v>28</v>
      </c>
      <c r="F80" t="s">
        <v>136</v>
      </c>
      <c r="G80" t="s">
        <v>26</v>
      </c>
      <c r="H80" t="str">
        <f t="shared" si="2"/>
        <v>buergerlich</v>
      </c>
      <c r="I80" t="str" cm="1">
        <f t="array" ref="I80">_xlfn.SWITCH(A80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80" s="4">
        <f>IF(AND(B80=Werte!B80,LEFT(A80,5)=LEFT(Werte!A80,5)),Werte!C80,"not found")</f>
        <v>2</v>
      </c>
      <c r="K80" s="4">
        <f>IF(AND(B80=Werte!B80,LEFT(A80,5)=LEFT(Werte!A80,5)),Werte!D80,"not found")</f>
        <v>0.58333333333333304</v>
      </c>
      <c r="L80" s="4">
        <f>IF(AND(B80=Werte!B80,LEFT(A80,5)=LEFT(Werte!A80,5)),Werte!E80,"not found")</f>
        <v>0.66666666666666696</v>
      </c>
      <c r="M80" s="4">
        <f>IF(AND(B80=Werte!B80,LEFT(A80,5)=LEFT(Werte!A80,5)),Werte!F80,"not found")</f>
        <v>0.76761399408651498</v>
      </c>
      <c r="N80" s="4" t="str">
        <f t="shared" si="3"/>
        <v>kind</v>
      </c>
      <c r="O80" s="4" cm="1">
        <f t="array" ref="O80">_xlfn.SWITCH(A80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80" s="4" t="str">
        <f>IF(Nodes[[#This Row],[Bezeichnung2]] = "betrueger",1,"")</f>
        <v/>
      </c>
      <c r="Q80" s="4" t="str">
        <f>IF(Nodes[[#This Row],[Bezeichnung2]] = "betrogener",2,"")</f>
        <v/>
      </c>
      <c r="R80" s="4" t="str">
        <f>IF(Nodes[[#This Row],[Bezeichnung2]] = "liebender",3,"")</f>
        <v/>
      </c>
      <c r="S80" s="4" t="str">
        <f>IF(Nodes[[#This Row],[Bezeichnung2]] = "liebende",4,"")</f>
        <v/>
      </c>
      <c r="T80" s="4" t="str">
        <f>IF(Nodes[[#This Row],[Bezeichnung2]] = "gegenspieler",5,"")</f>
        <v/>
      </c>
    </row>
    <row r="81" spans="1:20" x14ac:dyDescent="0.3">
      <c r="A81" t="s">
        <v>131</v>
      </c>
      <c r="B81" t="s">
        <v>137</v>
      </c>
      <c r="C81" t="s">
        <v>18</v>
      </c>
      <c r="D81" t="s">
        <v>138</v>
      </c>
      <c r="E81" t="s">
        <v>47</v>
      </c>
      <c r="F81" t="s">
        <v>47</v>
      </c>
      <c r="G81" t="s">
        <v>26</v>
      </c>
      <c r="H81" t="str">
        <f t="shared" si="2"/>
        <v>buergerlich</v>
      </c>
      <c r="I81" t="str" cm="1">
        <f t="array" ref="I81">_xlfn.SWITCH(A81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81" s="4">
        <f>IF(AND(B81=Werte!B81,LEFT(A81,5)=LEFT(Werte!A81,5)),Werte!C81,"not found")</f>
        <v>1</v>
      </c>
      <c r="K81" s="4">
        <f>IF(AND(B81=Werte!B81,LEFT(A81,5)=LEFT(Werte!A81,5)),Werte!D81,"not found")</f>
        <v>0.16666666666666699</v>
      </c>
      <c r="L81" s="4">
        <f>IF(AND(B81=Werte!B81,LEFT(A81,5)=LEFT(Werte!A81,5)),Werte!E81,"not found")</f>
        <v>0.57142857142857095</v>
      </c>
      <c r="M81" s="4">
        <f>IF(AND(B81=Werte!B81,LEFT(A81,5)=LEFT(Werte!A81,5)),Werte!F81,"not found")</f>
        <v>0.19297428142401599</v>
      </c>
      <c r="N81" s="4" t="str">
        <f t="shared" si="3"/>
        <v>unbekannt</v>
      </c>
      <c r="O81" s="4" cm="1">
        <f t="array" ref="O81">_xlfn.SWITCH(A81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81" s="4" t="str">
        <f>IF(Nodes[[#This Row],[Bezeichnung2]] = "betrueger",1,"")</f>
        <v/>
      </c>
      <c r="Q81" s="4" t="str">
        <f>IF(Nodes[[#This Row],[Bezeichnung2]] = "betrogener",2,"")</f>
        <v/>
      </c>
      <c r="R81" s="4" t="str">
        <f>IF(Nodes[[#This Row],[Bezeichnung2]] = "liebender",3,"")</f>
        <v/>
      </c>
      <c r="S81" s="4" t="str">
        <f>IF(Nodes[[#This Row],[Bezeichnung2]] = "liebende",4,"")</f>
        <v/>
      </c>
      <c r="T81" s="4" t="str">
        <f>IF(Nodes[[#This Row],[Bezeichnung2]] = "gegenspieler",5,"")</f>
        <v/>
      </c>
    </row>
    <row r="82" spans="1:20" x14ac:dyDescent="0.3">
      <c r="A82" t="s">
        <v>131</v>
      </c>
      <c r="B82" t="s">
        <v>139</v>
      </c>
      <c r="C82" t="s">
        <v>18</v>
      </c>
      <c r="D82" t="s">
        <v>133</v>
      </c>
      <c r="E82" t="s">
        <v>47</v>
      </c>
      <c r="F82" t="s">
        <v>47</v>
      </c>
      <c r="G82" t="s">
        <v>26</v>
      </c>
      <c r="H82" t="str">
        <f t="shared" si="2"/>
        <v>buergerlich</v>
      </c>
      <c r="I82" t="str" cm="1">
        <f t="array" ref="I82">_xlfn.SWITCH(A82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82" s="4">
        <f>IF(AND(B82=Werte!B82,LEFT(A82,5)=LEFT(Werte!A82,5)),Werte!C82,"not found")</f>
        <v>1</v>
      </c>
      <c r="K82" s="4">
        <f>IF(AND(B82=Werte!B82,LEFT(A82,5)=LEFT(Werte!A82,5)),Werte!D82,"not found")</f>
        <v>0.16666666666666699</v>
      </c>
      <c r="L82" s="4">
        <f>IF(AND(B82=Werte!B82,LEFT(A82,5)=LEFT(Werte!A82,5)),Werte!E82,"not found")</f>
        <v>0.57142857142857095</v>
      </c>
      <c r="M82" s="4">
        <f>IF(AND(B82=Werte!B82,LEFT(A82,5)=LEFT(Werte!A82,5)),Werte!F82,"not found")</f>
        <v>0.19297428142401599</v>
      </c>
      <c r="N82" s="4" t="str">
        <f t="shared" si="3"/>
        <v>unbekannt</v>
      </c>
      <c r="O82" s="4" cm="1">
        <f t="array" ref="O82">_xlfn.SWITCH(A82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82" s="4" t="str">
        <f>IF(Nodes[[#This Row],[Bezeichnung2]] = "betrueger",1,"")</f>
        <v/>
      </c>
      <c r="Q82" s="4" t="str">
        <f>IF(Nodes[[#This Row],[Bezeichnung2]] = "betrogener",2,"")</f>
        <v/>
      </c>
      <c r="R82" s="4" t="str">
        <f>IF(Nodes[[#This Row],[Bezeichnung2]] = "liebender",3,"")</f>
        <v/>
      </c>
      <c r="S82" s="4" t="str">
        <f>IF(Nodes[[#This Row],[Bezeichnung2]] = "liebende",4,"")</f>
        <v/>
      </c>
      <c r="T82" s="4" t="str">
        <f>IF(Nodes[[#This Row],[Bezeichnung2]] = "gegenspieler",5,"")</f>
        <v/>
      </c>
    </row>
    <row r="83" spans="1:20" x14ac:dyDescent="0.3">
      <c r="A83" t="s">
        <v>140</v>
      </c>
      <c r="B83" t="s">
        <v>141</v>
      </c>
      <c r="C83" t="s">
        <v>19</v>
      </c>
      <c r="D83" t="s">
        <v>19</v>
      </c>
      <c r="E83" t="s">
        <v>19</v>
      </c>
      <c r="F83" t="s">
        <v>87</v>
      </c>
      <c r="G83" t="s">
        <v>26</v>
      </c>
      <c r="H83" t="str">
        <f t="shared" si="2"/>
        <v>NA</v>
      </c>
      <c r="I83" t="str" cm="1">
        <f t="array" ref="I83">_xlfn.SWITCH(A83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83" s="4">
        <f>IF(AND(B83=Werte!B83,LEFT(A83,5)=LEFT(Werte!A83,5)),Werte!C83,"not found")</f>
        <v>0.85714285714285698</v>
      </c>
      <c r="K83" s="4">
        <f>IF(AND(B83=Werte!B83,LEFT(A83,5)=LEFT(Werte!A83,5)),Werte!D83,"not found")</f>
        <v>4.7619047619047603E-2</v>
      </c>
      <c r="L83" s="4">
        <f>IF(AND(B83=Werte!B83,LEFT(A83,5)=LEFT(Werte!A83,5)),Werte!E83,"not found")</f>
        <v>0.20588235294117599</v>
      </c>
      <c r="M83" s="4">
        <f>IF(AND(B83=Werte!B83,LEFT(A83,5)=LEFT(Werte!A83,5)),Werte!F83,"not found")</f>
        <v>0.65897274749892398</v>
      </c>
      <c r="N83" s="4" t="str">
        <f t="shared" si="3"/>
        <v>gegenspieler</v>
      </c>
      <c r="O83" s="4" cm="1">
        <f t="array" ref="O83">_xlfn.SWITCH(A83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83" s="4" t="str">
        <f>IF(Nodes[[#This Row],[Bezeichnung2]] = "betrueger",1,"")</f>
        <v/>
      </c>
      <c r="Q83" s="4" t="str">
        <f>IF(Nodes[[#This Row],[Bezeichnung2]] = "betrogener",2,"")</f>
        <v/>
      </c>
      <c r="R83" s="4" t="str">
        <f>IF(Nodes[[#This Row],[Bezeichnung2]] = "liebender",3,"")</f>
        <v/>
      </c>
      <c r="S83" s="4" t="str">
        <f>IF(Nodes[[#This Row],[Bezeichnung2]] = "liebende",4,"")</f>
        <v/>
      </c>
      <c r="T83" s="4">
        <f>IF(Nodes[[#This Row],[Bezeichnung2]] = "gegenspieler",5,"")</f>
        <v>5</v>
      </c>
    </row>
    <row r="84" spans="1:20" x14ac:dyDescent="0.3">
      <c r="A84" t="s">
        <v>140</v>
      </c>
      <c r="B84" t="s">
        <v>142</v>
      </c>
      <c r="C84" t="s">
        <v>18</v>
      </c>
      <c r="D84" t="s">
        <v>31</v>
      </c>
      <c r="E84" t="s">
        <v>47</v>
      </c>
      <c r="F84" t="s">
        <v>47</v>
      </c>
      <c r="G84" t="s">
        <v>26</v>
      </c>
      <c r="H84" t="str">
        <f t="shared" si="2"/>
        <v>adel</v>
      </c>
      <c r="I84" t="str" cm="1">
        <f t="array" ref="I84">_xlfn.SWITCH(A84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84" s="4">
        <f>IF(AND(B84=Werte!B84,LEFT(A84,5)=LEFT(Werte!A84,5)),Werte!C84,"not found")</f>
        <v>0.28571428571428598</v>
      </c>
      <c r="K84" s="4">
        <f>IF(AND(B84=Werte!B84,LEFT(A84,5)=LEFT(Werte!A84,5)),Werte!D84,"not found")</f>
        <v>0</v>
      </c>
      <c r="L84" s="4">
        <f>IF(AND(B84=Werte!B84,LEFT(A84,5)=LEFT(Werte!A84,5)),Werte!E84,"not found")</f>
        <v>0.194444444444444</v>
      </c>
      <c r="M84" s="4">
        <f>IF(AND(B84=Werte!B84,LEFT(A84,5)=LEFT(Werte!A84,5)),Werte!F84,"not found")</f>
        <v>3.1951668996922401E-3</v>
      </c>
      <c r="N84" s="4" t="str">
        <f t="shared" si="3"/>
        <v>unbekannt</v>
      </c>
      <c r="O84" s="4" cm="1">
        <f t="array" ref="O84">_xlfn.SWITCH(A84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84" s="4" t="str">
        <f>IF(Nodes[[#This Row],[Bezeichnung2]] = "betrueger",1,"")</f>
        <v/>
      </c>
      <c r="Q84" s="4" t="str">
        <f>IF(Nodes[[#This Row],[Bezeichnung2]] = "betrogener",2,"")</f>
        <v/>
      </c>
      <c r="R84" s="4" t="str">
        <f>IF(Nodes[[#This Row],[Bezeichnung2]] = "liebender",3,"")</f>
        <v/>
      </c>
      <c r="S84" s="4" t="str">
        <f>IF(Nodes[[#This Row],[Bezeichnung2]] = "liebende",4,"")</f>
        <v/>
      </c>
      <c r="T84" s="4" t="str">
        <f>IF(Nodes[[#This Row],[Bezeichnung2]] = "gegenspieler",5,"")</f>
        <v/>
      </c>
    </row>
    <row r="85" spans="1:20" x14ac:dyDescent="0.3">
      <c r="A85" t="s">
        <v>140</v>
      </c>
      <c r="B85" t="s">
        <v>143</v>
      </c>
      <c r="C85" t="s">
        <v>18</v>
      </c>
      <c r="D85" t="s">
        <v>31</v>
      </c>
      <c r="E85" t="s">
        <v>47</v>
      </c>
      <c r="F85" t="s">
        <v>47</v>
      </c>
      <c r="G85" t="s">
        <v>26</v>
      </c>
      <c r="H85" t="str">
        <f t="shared" si="2"/>
        <v>adel</v>
      </c>
      <c r="I85" t="str" cm="1">
        <f t="array" ref="I85">_xlfn.SWITCH(A85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85" s="4">
        <f>IF(AND(B85=Werte!B85,LEFT(A85,5)=LEFT(Werte!A85,5)),Werte!C85,"not found")</f>
        <v>0.85714285714285698</v>
      </c>
      <c r="K85" s="4">
        <f>IF(AND(B85=Werte!B85,LEFT(A85,5)=LEFT(Werte!A85,5)),Werte!D85,"not found")</f>
        <v>0.42857142857142899</v>
      </c>
      <c r="L85" s="4">
        <f>IF(AND(B85=Werte!B85,LEFT(A85,5)=LEFT(Werte!A85,5)),Werte!E85,"not found")</f>
        <v>0.233333333333333</v>
      </c>
      <c r="M85" s="4">
        <f>IF(AND(B85=Werte!B85,LEFT(A85,5)=LEFT(Werte!A85,5)),Werte!F85,"not found")</f>
        <v>7.8343427975868102E-2</v>
      </c>
      <c r="N85" s="4" t="str">
        <f t="shared" si="3"/>
        <v>unbekannt</v>
      </c>
      <c r="O85" s="4" cm="1">
        <f t="array" ref="O85">_xlfn.SWITCH(A85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85" s="4" t="str">
        <f>IF(Nodes[[#This Row],[Bezeichnung2]] = "betrueger",1,"")</f>
        <v/>
      </c>
      <c r="Q85" s="4" t="str">
        <f>IF(Nodes[[#This Row],[Bezeichnung2]] = "betrogener",2,"")</f>
        <v/>
      </c>
      <c r="R85" s="4" t="str">
        <f>IF(Nodes[[#This Row],[Bezeichnung2]] = "liebender",3,"")</f>
        <v/>
      </c>
      <c r="S85" s="4" t="str">
        <f>IF(Nodes[[#This Row],[Bezeichnung2]] = "liebende",4,"")</f>
        <v/>
      </c>
      <c r="T85" s="4" t="str">
        <f>IF(Nodes[[#This Row],[Bezeichnung2]] = "gegenspieler",5,"")</f>
        <v/>
      </c>
    </row>
    <row r="86" spans="1:20" x14ac:dyDescent="0.3">
      <c r="A86" t="s">
        <v>140</v>
      </c>
      <c r="B86" t="s">
        <v>144</v>
      </c>
      <c r="C86" t="s">
        <v>145</v>
      </c>
      <c r="D86" t="s">
        <v>19</v>
      </c>
      <c r="E86" t="s">
        <v>19</v>
      </c>
      <c r="F86" t="s">
        <v>53</v>
      </c>
      <c r="G86" t="s">
        <v>22</v>
      </c>
      <c r="H86" t="str">
        <f t="shared" si="2"/>
        <v>NA</v>
      </c>
      <c r="I86" t="str" cm="1">
        <f t="array" ref="I86">_xlfn.SWITCH(A86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86" s="4">
        <f>IF(AND(B86=Werte!B86,LEFT(A86,5)=LEFT(Werte!A86,5)),Werte!C86,"not found")</f>
        <v>1.1428571428571399</v>
      </c>
      <c r="K86" s="4">
        <f>IF(AND(B86=Werte!B86,LEFT(A86,5)=LEFT(Werte!A86,5)),Werte!D86,"not found")</f>
        <v>0.33333333333333298</v>
      </c>
      <c r="L86" s="4">
        <f>IF(AND(B86=Werte!B86,LEFT(A86,5)=LEFT(Werte!A86,5)),Werte!E86,"not found")</f>
        <v>0.233333333333333</v>
      </c>
      <c r="M86" s="4">
        <f>IF(AND(B86=Werte!B86,LEFT(A86,5)=LEFT(Werte!A86,5)),Werte!F86,"not found")</f>
        <v>1</v>
      </c>
      <c r="N86" s="4" t="str">
        <f t="shared" si="3"/>
        <v>helfer</v>
      </c>
      <c r="O86" s="4" cm="1">
        <f t="array" ref="O86">_xlfn.SWITCH(A86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86" s="4" t="str">
        <f>IF(Nodes[[#This Row],[Bezeichnung2]] = "betrueger",1,"")</f>
        <v/>
      </c>
      <c r="Q86" s="4" t="str">
        <f>IF(Nodes[[#This Row],[Bezeichnung2]] = "betrogener",2,"")</f>
        <v/>
      </c>
      <c r="R86" s="4" t="str">
        <f>IF(Nodes[[#This Row],[Bezeichnung2]] = "liebender",3,"")</f>
        <v/>
      </c>
      <c r="S86" s="4" t="str">
        <f>IF(Nodes[[#This Row],[Bezeichnung2]] = "liebende",4,"")</f>
        <v/>
      </c>
      <c r="T86" s="4" t="str">
        <f>IF(Nodes[[#This Row],[Bezeichnung2]] = "gegenspieler",5,"")</f>
        <v/>
      </c>
    </row>
    <row r="87" spans="1:20" x14ac:dyDescent="0.3">
      <c r="A87" t="s">
        <v>140</v>
      </c>
      <c r="B87" t="s">
        <v>146</v>
      </c>
      <c r="C87" t="s">
        <v>18</v>
      </c>
      <c r="D87" t="s">
        <v>47</v>
      </c>
      <c r="E87" t="s">
        <v>47</v>
      </c>
      <c r="F87" t="s">
        <v>147</v>
      </c>
      <c r="G87" t="s">
        <v>22</v>
      </c>
      <c r="H87" t="str">
        <f t="shared" si="2"/>
        <v>unbekannt</v>
      </c>
      <c r="I87" t="str" cm="1">
        <f t="array" ref="I87">_xlfn.SWITCH(A87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87" s="4">
        <f>IF(AND(B87=Werte!B87,LEFT(A87,5)=LEFT(Werte!A87,5)),Werte!C87,"not found")</f>
        <v>1.1428571428571399</v>
      </c>
      <c r="K87" s="4">
        <f>IF(AND(B87=Werte!B87,LEFT(A87,5)=LEFT(Werte!A87,5)),Werte!D87,"not found")</f>
        <v>0.14285714285714299</v>
      </c>
      <c r="L87" s="4">
        <f>IF(AND(B87=Werte!B87,LEFT(A87,5)=LEFT(Werte!A87,5)),Werte!E87,"not found")</f>
        <v>0.20588235294117599</v>
      </c>
      <c r="M87" s="4">
        <f>IF(AND(B87=Werte!B87,LEFT(A87,5)=LEFT(Werte!A87,5)),Werte!F87,"not found")</f>
        <v>0.91773506920194703</v>
      </c>
      <c r="N87" s="4" t="str">
        <f t="shared" si="3"/>
        <v>begleiter</v>
      </c>
      <c r="O87" s="4" cm="1">
        <f t="array" ref="O87">_xlfn.SWITCH(A87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87" s="4" t="str">
        <f>IF(Nodes[[#This Row],[Bezeichnung2]] = "betrueger",1,"")</f>
        <v/>
      </c>
      <c r="Q87" s="4" t="str">
        <f>IF(Nodes[[#This Row],[Bezeichnung2]] = "betrogener",2,"")</f>
        <v/>
      </c>
      <c r="R87" s="4" t="str">
        <f>IF(Nodes[[#This Row],[Bezeichnung2]] = "liebender",3,"")</f>
        <v/>
      </c>
      <c r="S87" s="4" t="str">
        <f>IF(Nodes[[#This Row],[Bezeichnung2]] = "liebende",4,"")</f>
        <v/>
      </c>
      <c r="T87" s="4" t="str">
        <f>IF(Nodes[[#This Row],[Bezeichnung2]] = "gegenspieler",5,"")</f>
        <v/>
      </c>
    </row>
    <row r="88" spans="1:20" x14ac:dyDescent="0.3">
      <c r="A88" t="s">
        <v>140</v>
      </c>
      <c r="B88" t="s">
        <v>100</v>
      </c>
      <c r="C88" t="s">
        <v>18</v>
      </c>
      <c r="D88" t="s">
        <v>148</v>
      </c>
      <c r="E88" t="s">
        <v>47</v>
      </c>
      <c r="F88" t="s">
        <v>53</v>
      </c>
      <c r="G88" t="s">
        <v>26</v>
      </c>
      <c r="H88" t="str">
        <f t="shared" si="2"/>
        <v>bauer</v>
      </c>
      <c r="I88" t="str" cm="1">
        <f t="array" ref="I88">_xlfn.SWITCH(A88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88" s="4">
        <f>IF(AND(B88=Werte!B88,LEFT(A88,5)=LEFT(Werte!A88,5)),Werte!C88,"not found")</f>
        <v>1.4285714285714299</v>
      </c>
      <c r="K88" s="4">
        <f>IF(AND(B88=Werte!B88,LEFT(A88,5)=LEFT(Werte!A88,5)),Werte!D88,"not found")</f>
        <v>0.476190476190476</v>
      </c>
      <c r="L88" s="4">
        <f>IF(AND(B88=Werte!B88,LEFT(A88,5)=LEFT(Werte!A88,5)),Werte!E88,"not found")</f>
        <v>0.194444444444444</v>
      </c>
      <c r="M88" s="4">
        <f>IF(AND(B88=Werte!B88,LEFT(A88,5)=LEFT(Werte!A88,5)),Werte!F88,"not found")</f>
        <v>0.68087615945596203</v>
      </c>
      <c r="N88" s="4" t="str">
        <f t="shared" si="3"/>
        <v>helfer</v>
      </c>
      <c r="O88" s="4" cm="1">
        <f t="array" ref="O88">_xlfn.SWITCH(A88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88" s="4" t="str">
        <f>IF(Nodes[[#This Row],[Bezeichnung2]] = "betrueger",1,"")</f>
        <v/>
      </c>
      <c r="Q88" s="4" t="str">
        <f>IF(Nodes[[#This Row],[Bezeichnung2]] = "betrogener",2,"")</f>
        <v/>
      </c>
      <c r="R88" s="4" t="str">
        <f>IF(Nodes[[#This Row],[Bezeichnung2]] = "liebender",3,"")</f>
        <v/>
      </c>
      <c r="S88" s="4" t="str">
        <f>IF(Nodes[[#This Row],[Bezeichnung2]] = "liebende",4,"")</f>
        <v/>
      </c>
      <c r="T88" s="4" t="str">
        <f>IF(Nodes[[#This Row],[Bezeichnung2]] = "gegenspieler",5,"")</f>
        <v/>
      </c>
    </row>
    <row r="89" spans="1:20" x14ac:dyDescent="0.3">
      <c r="A89" t="s">
        <v>140</v>
      </c>
      <c r="B89" t="s">
        <v>85</v>
      </c>
      <c r="C89" t="s">
        <v>24</v>
      </c>
      <c r="D89" t="s">
        <v>148</v>
      </c>
      <c r="E89" t="s">
        <v>47</v>
      </c>
      <c r="F89" t="s">
        <v>25</v>
      </c>
      <c r="G89" t="s">
        <v>26</v>
      </c>
      <c r="H89" t="str">
        <f t="shared" si="2"/>
        <v>bauer</v>
      </c>
      <c r="I89" t="str" cm="1">
        <f t="array" ref="I89">_xlfn.SWITCH(A89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89" s="4">
        <f>IF(AND(B89=Werte!B89,LEFT(A89,5)=LEFT(Werte!A89,5)),Werte!C89,"not found")</f>
        <v>0.57142857142857095</v>
      </c>
      <c r="K89" s="4">
        <f>IF(AND(B89=Werte!B89,LEFT(A89,5)=LEFT(Werte!A89,5)),Werte!D89,"not found")</f>
        <v>0</v>
      </c>
      <c r="L89" s="4">
        <f>IF(AND(B89=Werte!B89,LEFT(A89,5)=LEFT(Werte!A89,5)),Werte!E89,"not found")</f>
        <v>0.17073170731707299</v>
      </c>
      <c r="M89" s="4">
        <f>IF(AND(B89=Werte!B89,LEFT(A89,5)=LEFT(Werte!A89,5)),Werte!F89,"not found")</f>
        <v>2.89496115589159E-2</v>
      </c>
      <c r="N89" s="4" t="str">
        <f t="shared" si="3"/>
        <v>ehefrau</v>
      </c>
      <c r="O89" s="4" cm="1">
        <f t="array" ref="O89">_xlfn.SWITCH(A89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89" s="4" t="str">
        <f>IF(Nodes[[#This Row],[Bezeichnung2]] = "betrueger",1,"")</f>
        <v/>
      </c>
      <c r="Q89" s="4" t="str">
        <f>IF(Nodes[[#This Row],[Bezeichnung2]] = "betrogener",2,"")</f>
        <v/>
      </c>
      <c r="R89" s="4" t="str">
        <f>IF(Nodes[[#This Row],[Bezeichnung2]] = "liebender",3,"")</f>
        <v/>
      </c>
      <c r="S89" s="4" t="str">
        <f>IF(Nodes[[#This Row],[Bezeichnung2]] = "liebende",4,"")</f>
        <v/>
      </c>
      <c r="T89" s="4" t="str">
        <f>IF(Nodes[[#This Row],[Bezeichnung2]] = "gegenspieler",5,"")</f>
        <v/>
      </c>
    </row>
    <row r="90" spans="1:20" x14ac:dyDescent="0.3">
      <c r="A90" t="s">
        <v>140</v>
      </c>
      <c r="B90" t="s">
        <v>149</v>
      </c>
      <c r="C90" t="s">
        <v>46</v>
      </c>
      <c r="D90" t="s">
        <v>148</v>
      </c>
      <c r="E90" t="s">
        <v>28</v>
      </c>
      <c r="F90" t="s">
        <v>136</v>
      </c>
      <c r="G90" t="s">
        <v>26</v>
      </c>
      <c r="H90" t="str">
        <f t="shared" si="2"/>
        <v>bauer</v>
      </c>
      <c r="I90" t="str" cm="1">
        <f t="array" ref="I90">_xlfn.SWITCH(A90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90" s="4">
        <f>IF(AND(B90=Werte!B90,LEFT(A90,5)=LEFT(Werte!A90,5)),Werte!C90,"not found")</f>
        <v>0.57142857142857095</v>
      </c>
      <c r="K90" s="4">
        <f>IF(AND(B90=Werte!B90,LEFT(A90,5)=LEFT(Werte!A90,5)),Werte!D90,"not found")</f>
        <v>0</v>
      </c>
      <c r="L90" s="4">
        <f>IF(AND(B90=Werte!B90,LEFT(A90,5)=LEFT(Werte!A90,5)),Werte!E90,"not found")</f>
        <v>0.17073170731707299</v>
      </c>
      <c r="M90" s="4">
        <f>IF(AND(B90=Werte!B90,LEFT(A90,5)=LEFT(Werte!A90,5)),Werte!F90,"not found")</f>
        <v>2.8949611558916E-2</v>
      </c>
      <c r="N90" s="4" t="str">
        <f t="shared" si="3"/>
        <v>kind</v>
      </c>
      <c r="O90" s="4" cm="1">
        <f t="array" ref="O90">_xlfn.SWITCH(A90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90" s="4" t="str">
        <f>IF(Nodes[[#This Row],[Bezeichnung2]] = "betrueger",1,"")</f>
        <v/>
      </c>
      <c r="Q90" s="4" t="str">
        <f>IF(Nodes[[#This Row],[Bezeichnung2]] = "betrogener",2,"")</f>
        <v/>
      </c>
      <c r="R90" s="4" t="str">
        <f>IF(Nodes[[#This Row],[Bezeichnung2]] = "liebender",3,"")</f>
        <v/>
      </c>
      <c r="S90" s="4" t="str">
        <f>IF(Nodes[[#This Row],[Bezeichnung2]] = "liebende",4,"")</f>
        <v/>
      </c>
      <c r="T90" s="4" t="str">
        <f>IF(Nodes[[#This Row],[Bezeichnung2]] = "gegenspieler",5,"")</f>
        <v/>
      </c>
    </row>
    <row r="91" spans="1:20" x14ac:dyDescent="0.3">
      <c r="A91" t="s">
        <v>554</v>
      </c>
      <c r="B91" t="s">
        <v>115</v>
      </c>
      <c r="C91" t="s">
        <v>18</v>
      </c>
      <c r="D91" t="s">
        <v>47</v>
      </c>
      <c r="E91" t="s">
        <v>47</v>
      </c>
      <c r="F91" t="s">
        <v>21</v>
      </c>
      <c r="G91" t="s">
        <v>22</v>
      </c>
      <c r="H91" t="str">
        <f t="shared" si="2"/>
        <v>unbekannt</v>
      </c>
      <c r="I91" t="str" cm="1">
        <f t="array" ref="I91">_xlfn.SWITCH(A91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91" s="4">
        <f>IF(AND(B91=Werte!B91,LEFT(A91,5)=LEFT(Werte!A91,5)),Werte!C91,"not found")</f>
        <v>0</v>
      </c>
      <c r="K91" s="4">
        <f>IF(AND(B91=Werte!B91,LEFT(A91,5)=LEFT(Werte!A91,5)),Werte!D91,"not found")</f>
        <v>0</v>
      </c>
      <c r="L91" s="4">
        <f>IF(AND(B91=Werte!B91,LEFT(A91,5)=LEFT(Werte!A91,5)),Werte!E91,"not found")</f>
        <v>0</v>
      </c>
      <c r="M91" s="4">
        <f>IF(AND(B91=Werte!B91,LEFT(A91,5)=LEFT(Werte!A91,5)),Werte!F91,"not found")</f>
        <v>0</v>
      </c>
      <c r="N91" s="4" t="str">
        <f t="shared" si="3"/>
        <v>ehemann</v>
      </c>
      <c r="O91" s="4" cm="1">
        <f t="array" ref="O91">_xlfn.SWITCH(A91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91" s="4" t="str">
        <f>IF(Nodes[[#This Row],[Bezeichnung2]] = "betrueger",1,"")</f>
        <v/>
      </c>
      <c r="Q91" s="4" t="str">
        <f>IF(Nodes[[#This Row],[Bezeichnung2]] = "betrogener",2,"")</f>
        <v/>
      </c>
      <c r="R91" s="4" t="str">
        <f>IF(Nodes[[#This Row],[Bezeichnung2]] = "liebender",3,"")</f>
        <v/>
      </c>
      <c r="S91" s="4" t="str">
        <f>IF(Nodes[[#This Row],[Bezeichnung2]] = "liebende",4,"")</f>
        <v/>
      </c>
      <c r="T91" s="4" t="str">
        <f>IF(Nodes[[#This Row],[Bezeichnung2]] = "gegenspieler",5,"")</f>
        <v/>
      </c>
    </row>
    <row r="92" spans="1:20" x14ac:dyDescent="0.3">
      <c r="A92" t="s">
        <v>554</v>
      </c>
      <c r="B92" t="s">
        <v>85</v>
      </c>
      <c r="C92" t="s">
        <v>24</v>
      </c>
      <c r="D92" t="s">
        <v>47</v>
      </c>
      <c r="E92" t="s">
        <v>47</v>
      </c>
      <c r="F92" t="s">
        <v>21</v>
      </c>
      <c r="G92" t="s">
        <v>22</v>
      </c>
      <c r="H92" t="str">
        <f t="shared" si="2"/>
        <v>unbekannt</v>
      </c>
      <c r="I92" t="str" cm="1">
        <f t="array" ref="I92">_xlfn.SWITCH(A92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92" s="4">
        <f>IF(AND(B92=Werte!B92,LEFT(A92,5)=LEFT(Werte!A92,5)),Werte!C92,"not found")</f>
        <v>0</v>
      </c>
      <c r="K92" s="4">
        <f>IF(AND(B92=Werte!B92,LEFT(A92,5)=LEFT(Werte!A92,5)),Werte!D92,"not found")</f>
        <v>0</v>
      </c>
      <c r="L92" s="4">
        <f>IF(AND(B92=Werte!B92,LEFT(A92,5)=LEFT(Werte!A92,5)),Werte!E92,"not found")</f>
        <v>0</v>
      </c>
      <c r="M92" s="4">
        <f>IF(AND(B92=Werte!B92,LEFT(A92,5)=LEFT(Werte!A92,5)),Werte!F92,"not found")</f>
        <v>0</v>
      </c>
      <c r="N92" s="4" t="str">
        <f t="shared" si="3"/>
        <v>ehemann</v>
      </c>
      <c r="O92" s="4" cm="1">
        <f t="array" ref="O92">_xlfn.SWITCH(A92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92" s="4" t="str">
        <f>IF(Nodes[[#This Row],[Bezeichnung2]] = "betrueger",1,"")</f>
        <v/>
      </c>
      <c r="Q92" s="4" t="str">
        <f>IF(Nodes[[#This Row],[Bezeichnung2]] = "betrogener",2,"")</f>
        <v/>
      </c>
      <c r="R92" s="4" t="str">
        <f>IF(Nodes[[#This Row],[Bezeichnung2]] = "liebender",3,"")</f>
        <v/>
      </c>
      <c r="S92" s="4" t="str">
        <f>IF(Nodes[[#This Row],[Bezeichnung2]] = "liebende",4,"")</f>
        <v/>
      </c>
      <c r="T92" s="4" t="str">
        <f>IF(Nodes[[#This Row],[Bezeichnung2]] = "gegenspieler",5,"")</f>
        <v/>
      </c>
    </row>
    <row r="93" spans="1:20" x14ac:dyDescent="0.3">
      <c r="A93" t="s">
        <v>554</v>
      </c>
      <c r="B93" t="s">
        <v>150</v>
      </c>
      <c r="C93" t="s">
        <v>18</v>
      </c>
      <c r="D93" t="s">
        <v>47</v>
      </c>
      <c r="E93" t="s">
        <v>47</v>
      </c>
      <c r="F93" t="s">
        <v>53</v>
      </c>
      <c r="G93" t="s">
        <v>22</v>
      </c>
      <c r="H93" t="str">
        <f t="shared" si="2"/>
        <v>unbekannt</v>
      </c>
      <c r="I93" t="str" cm="1">
        <f t="array" ref="I93">_xlfn.SWITCH(A93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93" s="4">
        <f>IF(AND(B93=Werte!B93,LEFT(A93,5)=LEFT(Werte!A93,5)),Werte!C93,"not found")</f>
        <v>0</v>
      </c>
      <c r="K93" s="4">
        <f>IF(AND(B93=Werte!B93,LEFT(A93,5)=LEFT(Werte!A93,5)),Werte!D93,"not found")</f>
        <v>0</v>
      </c>
      <c r="L93" s="4">
        <f>IF(AND(B93=Werte!B93,LEFT(A93,5)=LEFT(Werte!A93,5)),Werte!E93,"not found")</f>
        <v>0</v>
      </c>
      <c r="M93" s="4">
        <f>IF(AND(B93=Werte!B93,LEFT(A93,5)=LEFT(Werte!A93,5)),Werte!F93,"not found")</f>
        <v>0</v>
      </c>
      <c r="N93" s="4" t="str">
        <f t="shared" si="3"/>
        <v>helfer</v>
      </c>
      <c r="O93" s="4" cm="1">
        <f t="array" ref="O93">_xlfn.SWITCH(A93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93" s="4" t="str">
        <f>IF(Nodes[[#This Row],[Bezeichnung2]] = "betrueger",1,"")</f>
        <v/>
      </c>
      <c r="Q93" s="4" t="str">
        <f>IF(Nodes[[#This Row],[Bezeichnung2]] = "betrogener",2,"")</f>
        <v/>
      </c>
      <c r="R93" s="4" t="str">
        <f>IF(Nodes[[#This Row],[Bezeichnung2]] = "liebender",3,"")</f>
        <v/>
      </c>
      <c r="S93" s="4" t="str">
        <f>IF(Nodes[[#This Row],[Bezeichnung2]] = "liebende",4,"")</f>
        <v/>
      </c>
      <c r="T93" s="4" t="str">
        <f>IF(Nodes[[#This Row],[Bezeichnung2]] = "gegenspieler",5,"")</f>
        <v/>
      </c>
    </row>
    <row r="94" spans="1:20" x14ac:dyDescent="0.3">
      <c r="A94" t="s">
        <v>151</v>
      </c>
      <c r="B94" t="s">
        <v>85</v>
      </c>
      <c r="C94" t="s">
        <v>24</v>
      </c>
      <c r="D94" t="s">
        <v>47</v>
      </c>
      <c r="E94" t="s">
        <v>47</v>
      </c>
      <c r="F94" t="s">
        <v>55</v>
      </c>
      <c r="G94" t="s">
        <v>22</v>
      </c>
      <c r="H94" t="str">
        <f t="shared" si="2"/>
        <v>unbekannt</v>
      </c>
      <c r="I94" t="str" cm="1">
        <f t="array" ref="I94">_xlfn.SWITCH(A94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94" s="4">
        <f>IF(AND(B94=Werte!B94,LEFT(A94,5)=LEFT(Werte!A94,5)),Werte!C94,"not found")</f>
        <v>0</v>
      </c>
      <c r="K94" s="4">
        <f>IF(AND(B94=Werte!B94,LEFT(A94,5)=LEFT(Werte!A94,5)),Werte!D94,"not found")</f>
        <v>0</v>
      </c>
      <c r="L94" s="4">
        <f>IF(AND(B94=Werte!B94,LEFT(A94,5)=LEFT(Werte!A94,5)),Werte!E94,"not found")</f>
        <v>0</v>
      </c>
      <c r="M94" s="4">
        <f>IF(AND(B94=Werte!B94,LEFT(A94,5)=LEFT(Werte!A94,5)),Werte!F94,"not found")</f>
        <v>0</v>
      </c>
      <c r="N94" s="4" t="str">
        <f t="shared" si="3"/>
        <v>betrueger</v>
      </c>
      <c r="O94" s="4" cm="1">
        <f t="array" ref="O94">_xlfn.SWITCH(A94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94" s="4">
        <f>IF(Nodes[[#This Row],[Bezeichnung2]] = "betrueger",1,"")</f>
        <v>1</v>
      </c>
      <c r="Q94" s="4" t="str">
        <f>IF(Nodes[[#This Row],[Bezeichnung2]] = "betrogener",2,"")</f>
        <v/>
      </c>
      <c r="R94" s="4" t="str">
        <f>IF(Nodes[[#This Row],[Bezeichnung2]] = "liebender",3,"")</f>
        <v/>
      </c>
      <c r="S94" s="4" t="str">
        <f>IF(Nodes[[#This Row],[Bezeichnung2]] = "liebende",4,"")</f>
        <v/>
      </c>
      <c r="T94" s="4" t="str">
        <f>IF(Nodes[[#This Row],[Bezeichnung2]] = "gegenspieler",5,"")</f>
        <v/>
      </c>
    </row>
    <row r="95" spans="1:20" x14ac:dyDescent="0.3">
      <c r="A95" t="s">
        <v>151</v>
      </c>
      <c r="B95" t="s">
        <v>115</v>
      </c>
      <c r="C95" t="s">
        <v>18</v>
      </c>
      <c r="D95" t="s">
        <v>47</v>
      </c>
      <c r="E95" t="s">
        <v>47</v>
      </c>
      <c r="F95" t="s">
        <v>50</v>
      </c>
      <c r="G95" t="s">
        <v>22</v>
      </c>
      <c r="H95" t="str">
        <f t="shared" si="2"/>
        <v>unbekannt</v>
      </c>
      <c r="I95" t="str" cm="1">
        <f t="array" ref="I95">_xlfn.SWITCH(A95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95" s="4">
        <f>IF(AND(B95=Werte!B95,LEFT(A95,5)=LEFT(Werte!A95,5)),Werte!C95,"not found")</f>
        <v>0</v>
      </c>
      <c r="K95" s="4">
        <f>IF(AND(B95=Werte!B95,LEFT(A95,5)=LEFT(Werte!A95,5)),Werte!D95,"not found")</f>
        <v>0</v>
      </c>
      <c r="L95" s="4">
        <f>IF(AND(B95=Werte!B95,LEFT(A95,5)=LEFT(Werte!A95,5)),Werte!E95,"not found")</f>
        <v>0</v>
      </c>
      <c r="M95" s="4">
        <f>IF(AND(B95=Werte!B95,LEFT(A95,5)=LEFT(Werte!A95,5)),Werte!F95,"not found")</f>
        <v>0</v>
      </c>
      <c r="N95" s="4" t="str">
        <f t="shared" si="3"/>
        <v>betrogener</v>
      </c>
      <c r="O95" s="4" cm="1">
        <f t="array" ref="O95">_xlfn.SWITCH(A95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95" s="4" t="str">
        <f>IF(Nodes[[#This Row],[Bezeichnung2]] = "betrueger",1,"")</f>
        <v/>
      </c>
      <c r="Q95" s="4">
        <f>IF(Nodes[[#This Row],[Bezeichnung2]] = "betrogener",2,"")</f>
        <v>2</v>
      </c>
      <c r="R95" s="4" t="str">
        <f>IF(Nodes[[#This Row],[Bezeichnung2]] = "liebender",3,"")</f>
        <v/>
      </c>
      <c r="S95" s="4" t="str">
        <f>IF(Nodes[[#This Row],[Bezeichnung2]] = "liebende",4,"")</f>
        <v/>
      </c>
      <c r="T95" s="4" t="str">
        <f>IF(Nodes[[#This Row],[Bezeichnung2]] = "gegenspieler",5,"")</f>
        <v/>
      </c>
    </row>
    <row r="96" spans="1:20" x14ac:dyDescent="0.3">
      <c r="A96" t="s">
        <v>151</v>
      </c>
      <c r="B96" t="s">
        <v>152</v>
      </c>
      <c r="C96" t="s">
        <v>18</v>
      </c>
      <c r="D96" t="s">
        <v>153</v>
      </c>
      <c r="E96" t="s">
        <v>47</v>
      </c>
      <c r="F96" t="s">
        <v>53</v>
      </c>
      <c r="G96" t="s">
        <v>26</v>
      </c>
      <c r="H96" t="str">
        <f t="shared" si="2"/>
        <v>klerus</v>
      </c>
      <c r="I96" t="str" cm="1">
        <f t="array" ref="I96">_xlfn.SWITCH(A96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96" s="4">
        <f>IF(AND(B96=Werte!B96,LEFT(A96,5)=LEFT(Werte!A96,5)),Werte!C96,"not found")</f>
        <v>0</v>
      </c>
      <c r="K96" s="4">
        <f>IF(AND(B96=Werte!B96,LEFT(A96,5)=LEFT(Werte!A96,5)),Werte!D96,"not found")</f>
        <v>0</v>
      </c>
      <c r="L96" s="4">
        <f>IF(AND(B96=Werte!B96,LEFT(A96,5)=LEFT(Werte!A96,5)),Werte!E96,"not found")</f>
        <v>0</v>
      </c>
      <c r="M96" s="4">
        <f>IF(AND(B96=Werte!B96,LEFT(A96,5)=LEFT(Werte!A96,5)),Werte!F96,"not found")</f>
        <v>0</v>
      </c>
      <c r="N96" s="4" t="str">
        <f t="shared" si="3"/>
        <v>helfer</v>
      </c>
      <c r="O96" s="4" cm="1">
        <f t="array" ref="O96">_xlfn.SWITCH(A96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96" s="4" t="str">
        <f>IF(Nodes[[#This Row],[Bezeichnung2]] = "betrueger",1,"")</f>
        <v/>
      </c>
      <c r="Q96" s="4" t="str">
        <f>IF(Nodes[[#This Row],[Bezeichnung2]] = "betrogener",2,"")</f>
        <v/>
      </c>
      <c r="R96" s="4" t="str">
        <f>IF(Nodes[[#This Row],[Bezeichnung2]] = "liebender",3,"")</f>
        <v/>
      </c>
      <c r="S96" s="4" t="str">
        <f>IF(Nodes[[#This Row],[Bezeichnung2]] = "liebende",4,"")</f>
        <v/>
      </c>
      <c r="T96" s="4" t="str">
        <f>IF(Nodes[[#This Row],[Bezeichnung2]] = "gegenspieler",5,"")</f>
        <v/>
      </c>
    </row>
    <row r="97" spans="1:20" x14ac:dyDescent="0.3">
      <c r="A97" t="s">
        <v>567</v>
      </c>
      <c r="B97" t="s">
        <v>115</v>
      </c>
      <c r="C97" t="s">
        <v>18</v>
      </c>
      <c r="D97" t="s">
        <v>555</v>
      </c>
      <c r="E97" t="s">
        <v>47</v>
      </c>
      <c r="F97" t="s">
        <v>318</v>
      </c>
      <c r="G97" t="s">
        <v>22</v>
      </c>
      <c r="H97" t="str">
        <f t="shared" si="2"/>
        <v>buergerlich</v>
      </c>
      <c r="I97" t="str" cm="1">
        <f t="array" ref="I97">_xlfn.SWITCH(A97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97" s="4">
        <f>IF(AND(B97=Werte!B97,LEFT(A97,5)=LEFT(Werte!A97,5)),Werte!C97,"not found")</f>
        <v>2</v>
      </c>
      <c r="K97" s="4">
        <f>IF(AND(B97=Werte!B97,LEFT(A97,5)=LEFT(Werte!A97,5)),Werte!D97,"not found")</f>
        <v>0</v>
      </c>
      <c r="L97" s="4">
        <f>IF(AND(B97=Werte!B97,LEFT(A97,5)=LEFT(Werte!A97,5)),Werte!E97,"not found")</f>
        <v>0.6</v>
      </c>
      <c r="M97" s="4">
        <f>IF(AND(B97=Werte!B97,LEFT(A97,5)=LEFT(Werte!A97,5)),Werte!F97,"not found")</f>
        <v>1</v>
      </c>
      <c r="N97" s="4" t="str">
        <f t="shared" si="3"/>
        <v>betrueger</v>
      </c>
      <c r="O97" s="4" cm="1">
        <f t="array" ref="O97">_xlfn.SWITCH(A97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97" s="4">
        <f>IF(Nodes[[#This Row],[Bezeichnung2]] = "betrueger",1,"")</f>
        <v>1</v>
      </c>
      <c r="Q97" s="4" t="str">
        <f>IF(Nodes[[#This Row],[Bezeichnung2]] = "betrogener",2,"")</f>
        <v/>
      </c>
      <c r="R97" s="4" t="str">
        <f>IF(Nodes[[#This Row],[Bezeichnung2]] = "liebender",3,"")</f>
        <v/>
      </c>
      <c r="S97" s="4" t="str">
        <f>IF(Nodes[[#This Row],[Bezeichnung2]] = "liebende",4,"")</f>
        <v/>
      </c>
      <c r="T97" s="4" t="str">
        <f>IF(Nodes[[#This Row],[Bezeichnung2]] = "gegenspieler",5,"")</f>
        <v/>
      </c>
    </row>
    <row r="98" spans="1:20" x14ac:dyDescent="0.3">
      <c r="A98" t="s">
        <v>567</v>
      </c>
      <c r="B98" t="s">
        <v>556</v>
      </c>
      <c r="C98" t="s">
        <v>24</v>
      </c>
      <c r="D98" t="s">
        <v>124</v>
      </c>
      <c r="E98" t="s">
        <v>47</v>
      </c>
      <c r="F98" t="s">
        <v>55</v>
      </c>
      <c r="G98" t="s">
        <v>22</v>
      </c>
      <c r="H98" t="str">
        <f t="shared" si="2"/>
        <v>buergerlich</v>
      </c>
      <c r="I98" t="str" cm="1">
        <f t="array" ref="I98">_xlfn.SWITCH(A98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98" s="4">
        <f>IF(AND(B98=Werte!B98,LEFT(A98,5)=LEFT(Werte!A98,5)),Werte!C98,"not found")</f>
        <v>2</v>
      </c>
      <c r="K98" s="4">
        <f>IF(AND(B98=Werte!B98,LEFT(A98,5)=LEFT(Werte!A98,5)),Werte!D98,"not found")</f>
        <v>0</v>
      </c>
      <c r="L98" s="4">
        <f>IF(AND(B98=Werte!B98,LEFT(A98,5)=LEFT(Werte!A98,5)),Werte!E98,"not found")</f>
        <v>0.6</v>
      </c>
      <c r="M98" s="4">
        <f>IF(AND(B98=Werte!B98,LEFT(A98,5)=LEFT(Werte!A98,5)),Werte!F98,"not found")</f>
        <v>0.96349394369014196</v>
      </c>
      <c r="N98" s="4" t="str">
        <f t="shared" si="3"/>
        <v>betrueger</v>
      </c>
      <c r="O98" s="4" cm="1">
        <f t="array" ref="O98">_xlfn.SWITCH(A98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98" s="4">
        <f>IF(Nodes[[#This Row],[Bezeichnung2]] = "betrueger",1,"")</f>
        <v>1</v>
      </c>
      <c r="Q98" s="4" t="str">
        <f>IF(Nodes[[#This Row],[Bezeichnung2]] = "betrogener",2,"")</f>
        <v/>
      </c>
      <c r="R98" s="4" t="str">
        <f>IF(Nodes[[#This Row],[Bezeichnung2]] = "liebender",3,"")</f>
        <v/>
      </c>
      <c r="S98" s="4" t="str">
        <f>IF(Nodes[[#This Row],[Bezeichnung2]] = "liebende",4,"")</f>
        <v/>
      </c>
      <c r="T98" s="4" t="str">
        <f>IF(Nodes[[#This Row],[Bezeichnung2]] = "gegenspieler",5,"")</f>
        <v/>
      </c>
    </row>
    <row r="99" spans="1:20" x14ac:dyDescent="0.3">
      <c r="A99" t="s">
        <v>567</v>
      </c>
      <c r="B99" t="s">
        <v>557</v>
      </c>
      <c r="C99" t="s">
        <v>18</v>
      </c>
      <c r="D99" t="s">
        <v>558</v>
      </c>
      <c r="E99" t="s">
        <v>47</v>
      </c>
      <c r="F99" t="s">
        <v>93</v>
      </c>
      <c r="G99" t="s">
        <v>22</v>
      </c>
      <c r="H99" t="str">
        <f t="shared" si="2"/>
        <v>klerus</v>
      </c>
      <c r="I99" t="str" cm="1">
        <f t="array" ref="I99">_xlfn.SWITCH(A99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99" s="4">
        <f>IF(AND(B99=Werte!B99,LEFT(A99,5)=LEFT(Werte!A99,5)),Werte!C99,"not found")</f>
        <v>2</v>
      </c>
      <c r="K99" s="4">
        <f>IF(AND(B99=Werte!B99,LEFT(A99,5)=LEFT(Werte!A99,5)),Werte!D99,"not found")</f>
        <v>0</v>
      </c>
      <c r="L99" s="4">
        <f>IF(AND(B99=Werte!B99,LEFT(A99,5)=LEFT(Werte!A99,5)),Werte!E99,"not found")</f>
        <v>0.6</v>
      </c>
      <c r="M99" s="4">
        <f>IF(AND(B99=Werte!B99,LEFT(A99,5)=LEFT(Werte!A99,5)),Werte!F99,"not found")</f>
        <v>0.92041396180808299</v>
      </c>
      <c r="N99" s="4" t="str">
        <f t="shared" si="3"/>
        <v>betrogener</v>
      </c>
      <c r="O99" s="4" cm="1">
        <f t="array" ref="O99">_xlfn.SWITCH(A99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99" s="4" t="str">
        <f>IF(Nodes[[#This Row],[Bezeichnung2]] = "betrueger",1,"")</f>
        <v/>
      </c>
      <c r="Q99" s="4">
        <f>IF(Nodes[[#This Row],[Bezeichnung2]] = "betrogener",2,"")</f>
        <v>2</v>
      </c>
      <c r="R99" s="4" t="str">
        <f>IF(Nodes[[#This Row],[Bezeichnung2]] = "liebender",3,"")</f>
        <v/>
      </c>
      <c r="S99" s="4" t="str">
        <f>IF(Nodes[[#This Row],[Bezeichnung2]] = "liebende",4,"")</f>
        <v/>
      </c>
      <c r="T99" s="4" t="str">
        <f>IF(Nodes[[#This Row],[Bezeichnung2]] = "gegenspieler",5,"")</f>
        <v/>
      </c>
    </row>
    <row r="100" spans="1:20" x14ac:dyDescent="0.3">
      <c r="A100" t="s">
        <v>567</v>
      </c>
      <c r="B100" t="s">
        <v>236</v>
      </c>
      <c r="C100" t="s">
        <v>24</v>
      </c>
      <c r="D100" t="s">
        <v>129</v>
      </c>
      <c r="E100" t="s">
        <v>47</v>
      </c>
      <c r="F100" t="s">
        <v>104</v>
      </c>
      <c r="G100" t="s">
        <v>26</v>
      </c>
      <c r="H100" t="str">
        <f t="shared" si="2"/>
        <v>buergerlich</v>
      </c>
      <c r="I100" t="str" cm="1">
        <f t="array" ref="I100">_xlfn.SWITCH(A100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00" s="4">
        <f>IF(AND(B100=Werte!B100,LEFT(A100,5)=LEFT(Werte!A100,5)),Werte!C100,"not found")</f>
        <v>2</v>
      </c>
      <c r="K100" s="4">
        <f>IF(AND(B100=Werte!B100,LEFT(A100,5)=LEFT(Werte!A100,5)),Werte!D100,"not found")</f>
        <v>1</v>
      </c>
      <c r="L100" s="4">
        <f>IF(AND(B100=Werte!B100,LEFT(A100,5)=LEFT(Werte!A100,5)),Werte!E100,"not found")</f>
        <v>1</v>
      </c>
      <c r="M100" s="4">
        <f>IF(AND(B100=Werte!B100,LEFT(A100,5)=LEFT(Werte!A100,5)),Werte!F100,"not found")</f>
        <v>0.17788024419939399</v>
      </c>
      <c r="N100" s="4" t="str">
        <f t="shared" si="3"/>
        <v>bote</v>
      </c>
      <c r="O100" s="4" cm="1">
        <f t="array" ref="O100">_xlfn.SWITCH(A100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00" s="4" t="str">
        <f>IF(Nodes[[#This Row],[Bezeichnung2]] = "betrueger",1,"")</f>
        <v/>
      </c>
      <c r="Q100" s="4" t="str">
        <f>IF(Nodes[[#This Row],[Bezeichnung2]] = "betrogener",2,"")</f>
        <v/>
      </c>
      <c r="R100" s="4" t="str">
        <f>IF(Nodes[[#This Row],[Bezeichnung2]] = "liebender",3,"")</f>
        <v/>
      </c>
      <c r="S100" s="4" t="str">
        <f>IF(Nodes[[#This Row],[Bezeichnung2]] = "liebende",4,"")</f>
        <v/>
      </c>
      <c r="T100" s="4" t="str">
        <f>IF(Nodes[[#This Row],[Bezeichnung2]] = "gegenspieler",5,"")</f>
        <v/>
      </c>
    </row>
    <row r="101" spans="1:20" x14ac:dyDescent="0.3">
      <c r="A101" t="s">
        <v>154</v>
      </c>
      <c r="B101" t="s">
        <v>56</v>
      </c>
      <c r="C101" t="s">
        <v>18</v>
      </c>
      <c r="D101" t="s">
        <v>57</v>
      </c>
      <c r="E101" t="s">
        <v>47</v>
      </c>
      <c r="F101" t="s">
        <v>93</v>
      </c>
      <c r="G101" t="s">
        <v>22</v>
      </c>
      <c r="H101" t="str">
        <f t="shared" si="2"/>
        <v>adel</v>
      </c>
      <c r="I101" t="str" cm="1">
        <f t="array" ref="I101">_xlfn.SWITCH(A101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01" s="4">
        <f>IF(AND(B101=Werte!B101,LEFT(A101,5)=LEFT(Werte!A101,5)),Werte!C101,"not found")</f>
        <v>2</v>
      </c>
      <c r="K101" s="4">
        <f>IF(AND(B101=Werte!B101,LEFT(A101,5)=LEFT(Werte!A101,5)),Werte!D101,"not found")</f>
        <v>0.3</v>
      </c>
      <c r="L101" s="4">
        <f>IF(AND(B101=Werte!B101,LEFT(A101,5)=LEFT(Werte!A101,5)),Werte!E101,"not found")</f>
        <v>0.625</v>
      </c>
      <c r="M101" s="4">
        <f>IF(AND(B101=Werte!B101,LEFT(A101,5)=LEFT(Werte!A101,5)),Werte!F101,"not found")</f>
        <v>0.98828583836448602</v>
      </c>
      <c r="N101" s="4" t="str">
        <f t="shared" si="3"/>
        <v>betrogener</v>
      </c>
      <c r="O101" s="4" cm="1">
        <f t="array" ref="O101">_xlfn.SWITCH(A101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01" s="4" t="str">
        <f>IF(Nodes[[#This Row],[Bezeichnung2]] = "betrueger",1,"")</f>
        <v/>
      </c>
      <c r="Q101" s="4">
        <f>IF(Nodes[[#This Row],[Bezeichnung2]] = "betrogener",2,"")</f>
        <v>2</v>
      </c>
      <c r="R101" s="4" t="str">
        <f>IF(Nodes[[#This Row],[Bezeichnung2]] = "liebender",3,"")</f>
        <v/>
      </c>
      <c r="S101" s="4" t="str">
        <f>IF(Nodes[[#This Row],[Bezeichnung2]] = "liebende",4,"")</f>
        <v/>
      </c>
      <c r="T101" s="4" t="str">
        <f>IF(Nodes[[#This Row],[Bezeichnung2]] = "gegenspieler",5,"")</f>
        <v/>
      </c>
    </row>
    <row r="102" spans="1:20" x14ac:dyDescent="0.3">
      <c r="A102" t="s">
        <v>154</v>
      </c>
      <c r="B102" t="s">
        <v>100</v>
      </c>
      <c r="C102" t="s">
        <v>18</v>
      </c>
      <c r="D102" t="s">
        <v>101</v>
      </c>
      <c r="E102" t="s">
        <v>47</v>
      </c>
      <c r="F102" t="s">
        <v>96</v>
      </c>
      <c r="G102" t="s">
        <v>22</v>
      </c>
      <c r="H102" t="str">
        <f t="shared" si="2"/>
        <v>buergerlich</v>
      </c>
      <c r="I102" t="str" cm="1">
        <f t="array" ref="I102">_xlfn.SWITCH(A102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02" s="4">
        <f>IF(AND(B102=Werte!B102,LEFT(A102,5)=LEFT(Werte!A102,5)),Werte!C102,"not found")</f>
        <v>2</v>
      </c>
      <c r="K102" s="4">
        <f>IF(AND(B102=Werte!B102,LEFT(A102,5)=LEFT(Werte!A102,5)),Werte!D102,"not found")</f>
        <v>0</v>
      </c>
      <c r="L102" s="4">
        <f>IF(AND(B102=Werte!B102,LEFT(A102,5)=LEFT(Werte!A102,5)),Werte!E102,"not found")</f>
        <v>0.55555555555555602</v>
      </c>
      <c r="M102" s="4">
        <f>IF(AND(B102=Werte!B102,LEFT(A102,5)=LEFT(Werte!A102,5)),Werte!F102,"not found")</f>
        <v>1</v>
      </c>
      <c r="N102" s="4" t="str">
        <f t="shared" si="3"/>
        <v>betrueger</v>
      </c>
      <c r="O102" s="4" cm="1">
        <f t="array" ref="O102">_xlfn.SWITCH(A102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02" s="4">
        <f>IF(Nodes[[#This Row],[Bezeichnung2]] = "betrueger",1,"")</f>
        <v>1</v>
      </c>
      <c r="Q102" s="4" t="str">
        <f>IF(Nodes[[#This Row],[Bezeichnung2]] = "betrogener",2,"")</f>
        <v/>
      </c>
      <c r="R102" s="4" t="str">
        <f>IF(Nodes[[#This Row],[Bezeichnung2]] = "liebender",3,"")</f>
        <v/>
      </c>
      <c r="S102" s="4" t="str">
        <f>IF(Nodes[[#This Row],[Bezeichnung2]] = "liebende",4,"")</f>
        <v/>
      </c>
      <c r="T102" s="4" t="str">
        <f>IF(Nodes[[#This Row],[Bezeichnung2]] = "gegenspieler",5,"")</f>
        <v/>
      </c>
    </row>
    <row r="103" spans="1:20" x14ac:dyDescent="0.3">
      <c r="A103" t="s">
        <v>154</v>
      </c>
      <c r="B103" t="s">
        <v>155</v>
      </c>
      <c r="C103" t="s">
        <v>46</v>
      </c>
      <c r="D103" t="s">
        <v>135</v>
      </c>
      <c r="E103" t="s">
        <v>47</v>
      </c>
      <c r="F103" t="s">
        <v>136</v>
      </c>
      <c r="G103" t="s">
        <v>26</v>
      </c>
      <c r="H103" t="str">
        <f t="shared" si="2"/>
        <v>buergerlich</v>
      </c>
      <c r="I103" t="str" cm="1">
        <f t="array" ref="I103">_xlfn.SWITCH(A103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03" s="4">
        <f>IF(AND(B103=Werte!B103,LEFT(A103,5)=LEFT(Werte!A103,5)),Werte!C103,"not found")</f>
        <v>1.6</v>
      </c>
      <c r="K103" s="4">
        <f>IF(AND(B103=Werte!B103,LEFT(A103,5)=LEFT(Werte!A103,5)),Werte!D103,"not found")</f>
        <v>0</v>
      </c>
      <c r="L103" s="4">
        <f>IF(AND(B103=Werte!B103,LEFT(A103,5)=LEFT(Werte!A103,5)),Werte!E103,"not found")</f>
        <v>0.5</v>
      </c>
      <c r="M103" s="4">
        <f>IF(AND(B103=Werte!B103,LEFT(A103,5)=LEFT(Werte!A103,5)),Werte!F103,"not found")</f>
        <v>0.79645360513706398</v>
      </c>
      <c r="N103" s="4" t="str">
        <f t="shared" si="3"/>
        <v>kind</v>
      </c>
      <c r="O103" s="4" cm="1">
        <f t="array" ref="O103">_xlfn.SWITCH(A103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03" s="4" t="str">
        <f>IF(Nodes[[#This Row],[Bezeichnung2]] = "betrueger",1,"")</f>
        <v/>
      </c>
      <c r="Q103" s="4" t="str">
        <f>IF(Nodes[[#This Row],[Bezeichnung2]] = "betrogener",2,"")</f>
        <v/>
      </c>
      <c r="R103" s="4" t="str">
        <f>IF(Nodes[[#This Row],[Bezeichnung2]] = "liebender",3,"")</f>
        <v/>
      </c>
      <c r="S103" s="4" t="str">
        <f>IF(Nodes[[#This Row],[Bezeichnung2]] = "liebende",4,"")</f>
        <v/>
      </c>
      <c r="T103" s="4" t="str">
        <f>IF(Nodes[[#This Row],[Bezeichnung2]] = "gegenspieler",5,"")</f>
        <v/>
      </c>
    </row>
    <row r="104" spans="1:20" x14ac:dyDescent="0.3">
      <c r="A104" t="s">
        <v>154</v>
      </c>
      <c r="B104" t="s">
        <v>117</v>
      </c>
      <c r="C104" t="s">
        <v>24</v>
      </c>
      <c r="D104" t="s">
        <v>124</v>
      </c>
      <c r="E104" t="s">
        <v>47</v>
      </c>
      <c r="F104" t="s">
        <v>25</v>
      </c>
      <c r="G104" t="s">
        <v>26</v>
      </c>
      <c r="H104" t="str">
        <f t="shared" si="2"/>
        <v>buergerlich</v>
      </c>
      <c r="I104" t="str" cm="1">
        <f t="array" ref="I104">_xlfn.SWITCH(A104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04" s="4">
        <f>IF(AND(B104=Werte!B104,LEFT(A104,5)=LEFT(Werte!A104,5)),Werte!C104,"not found")</f>
        <v>1.6</v>
      </c>
      <c r="K104" s="4">
        <f>IF(AND(B104=Werte!B104,LEFT(A104,5)=LEFT(Werte!A104,5)),Werte!D104,"not found")</f>
        <v>0</v>
      </c>
      <c r="L104" s="4">
        <f>IF(AND(B104=Werte!B104,LEFT(A104,5)=LEFT(Werte!A104,5)),Werte!E104,"not found")</f>
        <v>0.5</v>
      </c>
      <c r="M104" s="4">
        <f>IF(AND(B104=Werte!B104,LEFT(A104,5)=LEFT(Werte!A104,5)),Werte!F104,"not found")</f>
        <v>0.67101642522730098</v>
      </c>
      <c r="N104" s="4" t="str">
        <f t="shared" si="3"/>
        <v>ehefrau</v>
      </c>
      <c r="O104" s="4" cm="1">
        <f t="array" ref="O104">_xlfn.SWITCH(A104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04" s="4" t="str">
        <f>IF(Nodes[[#This Row],[Bezeichnung2]] = "betrueger",1,"")</f>
        <v/>
      </c>
      <c r="Q104" s="4" t="str">
        <f>IF(Nodes[[#This Row],[Bezeichnung2]] = "betrogener",2,"")</f>
        <v/>
      </c>
      <c r="R104" s="4" t="str">
        <f>IF(Nodes[[#This Row],[Bezeichnung2]] = "liebender",3,"")</f>
        <v/>
      </c>
      <c r="S104" s="4" t="str">
        <f>IF(Nodes[[#This Row],[Bezeichnung2]] = "liebende",4,"")</f>
        <v/>
      </c>
      <c r="T104" s="4" t="str">
        <f>IF(Nodes[[#This Row],[Bezeichnung2]] = "gegenspieler",5,"")</f>
        <v/>
      </c>
    </row>
    <row r="105" spans="1:20" x14ac:dyDescent="0.3">
      <c r="A105" t="s">
        <v>154</v>
      </c>
      <c r="B105" t="s">
        <v>120</v>
      </c>
      <c r="C105" t="s">
        <v>18</v>
      </c>
      <c r="D105" t="s">
        <v>121</v>
      </c>
      <c r="E105" t="s">
        <v>47</v>
      </c>
      <c r="F105" t="s">
        <v>47</v>
      </c>
      <c r="G105" t="s">
        <v>26</v>
      </c>
      <c r="H105" t="str">
        <f t="shared" si="2"/>
        <v>buergerlich</v>
      </c>
      <c r="I105" t="str" cm="1">
        <f t="array" ref="I105">_xlfn.SWITCH(A105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05" s="4">
        <f>IF(AND(B105=Werte!B105,LEFT(A105,5)=LEFT(Werte!A105,5)),Werte!C105,"not found")</f>
        <v>1.6</v>
      </c>
      <c r="K105" s="4">
        <f>IF(AND(B105=Werte!B105,LEFT(A105,5)=LEFT(Werte!A105,5)),Werte!D105,"not found")</f>
        <v>0.8</v>
      </c>
      <c r="L105" s="4">
        <f>IF(AND(B105=Werte!B105,LEFT(A105,5)=LEFT(Werte!A105,5)),Werte!E105,"not found")</f>
        <v>0.83333333333333304</v>
      </c>
      <c r="M105" s="4">
        <f>IF(AND(B105=Werte!B105,LEFT(A105,5)=LEFT(Werte!A105,5)),Werte!F105,"not found")</f>
        <v>0.26891264395280701</v>
      </c>
      <c r="N105" s="4" t="str">
        <f t="shared" si="3"/>
        <v>unbekannt</v>
      </c>
      <c r="O105" s="4" cm="1">
        <f t="array" ref="O105">_xlfn.SWITCH(A105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05" s="4" t="str">
        <f>IF(Nodes[[#This Row],[Bezeichnung2]] = "betrueger",1,"")</f>
        <v/>
      </c>
      <c r="Q105" s="4" t="str">
        <f>IF(Nodes[[#This Row],[Bezeichnung2]] = "betrogener",2,"")</f>
        <v/>
      </c>
      <c r="R105" s="4" t="str">
        <f>IF(Nodes[[#This Row],[Bezeichnung2]] = "liebender",3,"")</f>
        <v/>
      </c>
      <c r="S105" s="4" t="str">
        <f>IF(Nodes[[#This Row],[Bezeichnung2]] = "liebende",4,"")</f>
        <v/>
      </c>
      <c r="T105" s="4" t="str">
        <f>IF(Nodes[[#This Row],[Bezeichnung2]] = "gegenspieler",5,"")</f>
        <v/>
      </c>
    </row>
    <row r="106" spans="1:20" x14ac:dyDescent="0.3">
      <c r="A106" t="s">
        <v>154</v>
      </c>
      <c r="B106" t="s">
        <v>118</v>
      </c>
      <c r="C106" t="s">
        <v>46</v>
      </c>
      <c r="D106" t="s">
        <v>138</v>
      </c>
      <c r="E106" t="s">
        <v>47</v>
      </c>
      <c r="F106" t="s">
        <v>47</v>
      </c>
      <c r="G106" t="s">
        <v>26</v>
      </c>
      <c r="H106" t="str">
        <f t="shared" si="2"/>
        <v>buergerlich</v>
      </c>
      <c r="I106" t="str" cm="1">
        <f t="array" ref="I106">_xlfn.SWITCH(A106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06" s="4">
        <f>IF(AND(B106=Werte!B106,LEFT(A106,5)=LEFT(Werte!A106,5)),Werte!C106,"not found")</f>
        <v>0.8</v>
      </c>
      <c r="K106" s="4">
        <f>IF(AND(B106=Werte!B106,LEFT(A106,5)=LEFT(Werte!A106,5)),Werte!D106,"not found")</f>
        <v>0</v>
      </c>
      <c r="L106" s="4">
        <f>IF(AND(B106=Werte!B106,LEFT(A106,5)=LEFT(Werte!A106,5)),Werte!E106,"not found")</f>
        <v>0.45454545454545497</v>
      </c>
      <c r="M106" s="4">
        <f>IF(AND(B106=Werte!B106,LEFT(A106,5)=LEFT(Werte!A106,5)),Werte!F106,"not found")</f>
        <v>0.23253605758236401</v>
      </c>
      <c r="N106" s="4" t="str">
        <f t="shared" si="3"/>
        <v>unbekannt</v>
      </c>
      <c r="O106" s="4" cm="1">
        <f t="array" ref="O106">_xlfn.SWITCH(A106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06" s="4" t="str">
        <f>IF(Nodes[[#This Row],[Bezeichnung2]] = "betrueger",1,"")</f>
        <v/>
      </c>
      <c r="Q106" s="4" t="str">
        <f>IF(Nodes[[#This Row],[Bezeichnung2]] = "betrogener",2,"")</f>
        <v/>
      </c>
      <c r="R106" s="4" t="str">
        <f>IF(Nodes[[#This Row],[Bezeichnung2]] = "liebender",3,"")</f>
        <v/>
      </c>
      <c r="S106" s="4" t="str">
        <f>IF(Nodes[[#This Row],[Bezeichnung2]] = "liebende",4,"")</f>
        <v/>
      </c>
      <c r="T106" s="4" t="str">
        <f>IF(Nodes[[#This Row],[Bezeichnung2]] = "gegenspieler",5,"")</f>
        <v/>
      </c>
    </row>
    <row r="107" spans="1:20" x14ac:dyDescent="0.3">
      <c r="A107" t="s">
        <v>156</v>
      </c>
      <c r="B107" t="s">
        <v>56</v>
      </c>
      <c r="C107" t="s">
        <v>18</v>
      </c>
      <c r="D107" t="s">
        <v>57</v>
      </c>
      <c r="E107" t="s">
        <v>47</v>
      </c>
      <c r="F107" t="s">
        <v>21</v>
      </c>
      <c r="G107" t="s">
        <v>22</v>
      </c>
      <c r="H107" t="str">
        <f t="shared" si="2"/>
        <v>adel</v>
      </c>
      <c r="I107" t="str" cm="1">
        <f t="array" ref="I107">_xlfn.SWITCH(A107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07" s="4">
        <f>IF(AND(B107=Werte!B107,LEFT(A107,5)=LEFT(Werte!A107,5)),Werte!C107,"not found")</f>
        <v>2</v>
      </c>
      <c r="K107" s="4">
        <f>IF(AND(B107=Werte!B107,LEFT(A107,5)=LEFT(Werte!A107,5)),Werte!D107,"not found")</f>
        <v>0</v>
      </c>
      <c r="L107" s="4">
        <f>IF(AND(B107=Werte!B107,LEFT(A107,5)=LEFT(Werte!A107,5)),Werte!E107,"not found")</f>
        <v>0.38461538461538503</v>
      </c>
      <c r="M107" s="4">
        <f>IF(AND(B107=Werte!B107,LEFT(A107,5)=LEFT(Werte!A107,5)),Werte!F107,"not found")</f>
        <v>1</v>
      </c>
      <c r="N107" s="4" t="str">
        <f t="shared" si="3"/>
        <v>ehemann</v>
      </c>
      <c r="O107" s="4" cm="1">
        <f t="array" ref="O107">_xlfn.SWITCH(A107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07" s="4" t="str">
        <f>IF(Nodes[[#This Row],[Bezeichnung2]] = "betrueger",1,"")</f>
        <v/>
      </c>
      <c r="Q107" s="4" t="str">
        <f>IF(Nodes[[#This Row],[Bezeichnung2]] = "betrogener",2,"")</f>
        <v/>
      </c>
      <c r="R107" s="4" t="str">
        <f>IF(Nodes[[#This Row],[Bezeichnung2]] = "liebender",3,"")</f>
        <v/>
      </c>
      <c r="S107" s="4" t="str">
        <f>IF(Nodes[[#This Row],[Bezeichnung2]] = "liebende",4,"")</f>
        <v/>
      </c>
      <c r="T107" s="4" t="str">
        <f>IF(Nodes[[#This Row],[Bezeichnung2]] = "gegenspieler",5,"")</f>
        <v/>
      </c>
    </row>
    <row r="108" spans="1:20" x14ac:dyDescent="0.3">
      <c r="A108" t="s">
        <v>156</v>
      </c>
      <c r="B108" t="s">
        <v>157</v>
      </c>
      <c r="C108" t="s">
        <v>24</v>
      </c>
      <c r="D108" t="s">
        <v>86</v>
      </c>
      <c r="E108" t="s">
        <v>47</v>
      </c>
      <c r="F108" t="s">
        <v>25</v>
      </c>
      <c r="G108" t="s">
        <v>22</v>
      </c>
      <c r="H108" t="str">
        <f t="shared" si="2"/>
        <v>adel</v>
      </c>
      <c r="I108" t="str" cm="1">
        <f t="array" ref="I108">_xlfn.SWITCH(A108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08" s="4">
        <f>IF(AND(B108=Werte!B108,LEFT(A108,5)=LEFT(Werte!A108,5)),Werte!C108,"not found")</f>
        <v>2</v>
      </c>
      <c r="K108" s="4">
        <f>IF(AND(B108=Werte!B108,LEFT(A108,5)=LEFT(Werte!A108,5)),Werte!D108,"not found")</f>
        <v>0</v>
      </c>
      <c r="L108" s="4">
        <f>IF(AND(B108=Werte!B108,LEFT(A108,5)=LEFT(Werte!A108,5)),Werte!E108,"not found")</f>
        <v>0.38461538461538503</v>
      </c>
      <c r="M108" s="4">
        <f>IF(AND(B108=Werte!B108,LEFT(A108,5)=LEFT(Werte!A108,5)),Werte!F108,"not found")</f>
        <v>0.922063291350257</v>
      </c>
      <c r="N108" s="4" t="str">
        <f t="shared" si="3"/>
        <v>ehefrau</v>
      </c>
      <c r="O108" s="4" cm="1">
        <f t="array" ref="O108">_xlfn.SWITCH(A108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08" s="4" t="str">
        <f>IF(Nodes[[#This Row],[Bezeichnung2]] = "betrueger",1,"")</f>
        <v/>
      </c>
      <c r="Q108" s="4" t="str">
        <f>IF(Nodes[[#This Row],[Bezeichnung2]] = "betrogener",2,"")</f>
        <v/>
      </c>
      <c r="R108" s="4" t="str">
        <f>IF(Nodes[[#This Row],[Bezeichnung2]] = "liebender",3,"")</f>
        <v/>
      </c>
      <c r="S108" s="4" t="str">
        <f>IF(Nodes[[#This Row],[Bezeichnung2]] = "liebende",4,"")</f>
        <v/>
      </c>
      <c r="T108" s="4" t="str">
        <f>IF(Nodes[[#This Row],[Bezeichnung2]] = "gegenspieler",5,"")</f>
        <v/>
      </c>
    </row>
    <row r="109" spans="1:20" x14ac:dyDescent="0.3">
      <c r="A109" t="s">
        <v>156</v>
      </c>
      <c r="B109" t="s">
        <v>158</v>
      </c>
      <c r="C109" t="s">
        <v>24</v>
      </c>
      <c r="D109" t="s">
        <v>47</v>
      </c>
      <c r="E109" t="s">
        <v>47</v>
      </c>
      <c r="F109" t="s">
        <v>47</v>
      </c>
      <c r="G109" t="s">
        <v>26</v>
      </c>
      <c r="H109" t="str">
        <f t="shared" si="2"/>
        <v>unbekannt</v>
      </c>
      <c r="I109" t="str" cm="1">
        <f t="array" ref="I109">_xlfn.SWITCH(A109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09" s="4">
        <f>IF(AND(B109=Werte!B109,LEFT(A109,5)=LEFT(Werte!A109,5)),Werte!C109,"not found")</f>
        <v>2</v>
      </c>
      <c r="K109" s="4">
        <f>IF(AND(B109=Werte!B109,LEFT(A109,5)=LEFT(Werte!A109,5)),Werte!D109,"not found")</f>
        <v>0.1</v>
      </c>
      <c r="L109" s="4">
        <f>IF(AND(B109=Werte!B109,LEFT(A109,5)=LEFT(Werte!A109,5)),Werte!E109,"not found")</f>
        <v>0.55555555555555602</v>
      </c>
      <c r="M109" s="4">
        <f>IF(AND(B109=Werte!B109,LEFT(A109,5)=LEFT(Werte!A109,5)),Werte!F109,"not found")</f>
        <v>0.426652358265807</v>
      </c>
      <c r="N109" s="4" t="str">
        <f t="shared" si="3"/>
        <v>unbekannt</v>
      </c>
      <c r="O109" s="4" cm="1">
        <f t="array" ref="O109">_xlfn.SWITCH(A109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09" s="4" t="str">
        <f>IF(Nodes[[#This Row],[Bezeichnung2]] = "betrueger",1,"")</f>
        <v/>
      </c>
      <c r="Q109" s="4" t="str">
        <f>IF(Nodes[[#This Row],[Bezeichnung2]] = "betrogener",2,"")</f>
        <v/>
      </c>
      <c r="R109" s="4" t="str">
        <f>IF(Nodes[[#This Row],[Bezeichnung2]] = "liebender",3,"")</f>
        <v/>
      </c>
      <c r="S109" s="4" t="str">
        <f>IF(Nodes[[#This Row],[Bezeichnung2]] = "liebende",4,"")</f>
        <v/>
      </c>
      <c r="T109" s="4" t="str">
        <f>IF(Nodes[[#This Row],[Bezeichnung2]] = "gegenspieler",5,"")</f>
        <v/>
      </c>
    </row>
    <row r="110" spans="1:20" x14ac:dyDescent="0.3">
      <c r="A110" t="s">
        <v>156</v>
      </c>
      <c r="B110" t="s">
        <v>159</v>
      </c>
      <c r="C110" t="s">
        <v>24</v>
      </c>
      <c r="D110" t="s">
        <v>47</v>
      </c>
      <c r="E110" t="s">
        <v>47</v>
      </c>
      <c r="F110" t="s">
        <v>47</v>
      </c>
      <c r="G110" t="s">
        <v>26</v>
      </c>
      <c r="H110" t="str">
        <f t="shared" si="2"/>
        <v>unbekannt</v>
      </c>
      <c r="I110" t="str" cm="1">
        <f t="array" ref="I110">_xlfn.SWITCH(A110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10" s="4">
        <f>IF(AND(B110=Werte!B110,LEFT(A110,5)=LEFT(Werte!A110,5)),Werte!C110,"not found")</f>
        <v>2</v>
      </c>
      <c r="K110" s="4">
        <f>IF(AND(B110=Werte!B110,LEFT(A110,5)=LEFT(Werte!A110,5)),Werte!D110,"not found")</f>
        <v>0.1</v>
      </c>
      <c r="L110" s="4">
        <f>IF(AND(B110=Werte!B110,LEFT(A110,5)=LEFT(Werte!A110,5)),Werte!E110,"not found")</f>
        <v>0.55555555555555602</v>
      </c>
      <c r="M110" s="4">
        <f>IF(AND(B110=Werte!B110,LEFT(A110,5)=LEFT(Werte!A110,5)),Werte!F110,"not found")</f>
        <v>0.426652358265807</v>
      </c>
      <c r="N110" s="4" t="str">
        <f t="shared" si="3"/>
        <v>unbekannt</v>
      </c>
      <c r="O110" s="4" cm="1">
        <f t="array" ref="O110">_xlfn.SWITCH(A110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10" s="4" t="str">
        <f>IF(Nodes[[#This Row],[Bezeichnung2]] = "betrueger",1,"")</f>
        <v/>
      </c>
      <c r="Q110" s="4" t="str">
        <f>IF(Nodes[[#This Row],[Bezeichnung2]] = "betrogener",2,"")</f>
        <v/>
      </c>
      <c r="R110" s="4" t="str">
        <f>IF(Nodes[[#This Row],[Bezeichnung2]] = "liebender",3,"")</f>
        <v/>
      </c>
      <c r="S110" s="4" t="str">
        <f>IF(Nodes[[#This Row],[Bezeichnung2]] = "liebende",4,"")</f>
        <v/>
      </c>
      <c r="T110" s="4" t="str">
        <f>IF(Nodes[[#This Row],[Bezeichnung2]] = "gegenspieler",5,"")</f>
        <v/>
      </c>
    </row>
    <row r="111" spans="1:20" x14ac:dyDescent="0.3">
      <c r="A111" t="s">
        <v>156</v>
      </c>
      <c r="B111" t="s">
        <v>160</v>
      </c>
      <c r="C111" t="s">
        <v>24</v>
      </c>
      <c r="D111" t="s">
        <v>47</v>
      </c>
      <c r="E111" t="s">
        <v>47</v>
      </c>
      <c r="F111" t="s">
        <v>47</v>
      </c>
      <c r="G111" t="s">
        <v>26</v>
      </c>
      <c r="H111" t="str">
        <f t="shared" si="2"/>
        <v>unbekannt</v>
      </c>
      <c r="I111" t="str" cm="1">
        <f t="array" ref="I111">_xlfn.SWITCH(A111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11" s="4">
        <f>IF(AND(B111=Werte!B111,LEFT(A111,5)=LEFT(Werte!A111,5)),Werte!C111,"not found")</f>
        <v>2</v>
      </c>
      <c r="K111" s="4">
        <f>IF(AND(B111=Werte!B111,LEFT(A111,5)=LEFT(Werte!A111,5)),Werte!D111,"not found")</f>
        <v>0.1</v>
      </c>
      <c r="L111" s="4">
        <f>IF(AND(B111=Werte!B111,LEFT(A111,5)=LEFT(Werte!A111,5)),Werte!E111,"not found")</f>
        <v>0.55555555555555602</v>
      </c>
      <c r="M111" s="4">
        <f>IF(AND(B111=Werte!B111,LEFT(A111,5)=LEFT(Werte!A111,5)),Werte!F111,"not found")</f>
        <v>0.426652358265807</v>
      </c>
      <c r="N111" s="4" t="str">
        <f t="shared" si="3"/>
        <v>unbekannt</v>
      </c>
      <c r="O111" s="4" cm="1">
        <f t="array" ref="O111">_xlfn.SWITCH(A111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11" s="4" t="str">
        <f>IF(Nodes[[#This Row],[Bezeichnung2]] = "betrueger",1,"")</f>
        <v/>
      </c>
      <c r="Q111" s="4" t="str">
        <f>IF(Nodes[[#This Row],[Bezeichnung2]] = "betrogener",2,"")</f>
        <v/>
      </c>
      <c r="R111" s="4" t="str">
        <f>IF(Nodes[[#This Row],[Bezeichnung2]] = "liebender",3,"")</f>
        <v/>
      </c>
      <c r="S111" s="4" t="str">
        <f>IF(Nodes[[#This Row],[Bezeichnung2]] = "liebende",4,"")</f>
        <v/>
      </c>
      <c r="T111" s="4" t="str">
        <f>IF(Nodes[[#This Row],[Bezeichnung2]] = "gegenspieler",5,"")</f>
        <v/>
      </c>
    </row>
    <row r="112" spans="1:20" x14ac:dyDescent="0.3">
      <c r="A112" t="s">
        <v>156</v>
      </c>
      <c r="B112" t="s">
        <v>152</v>
      </c>
      <c r="C112" t="s">
        <v>18</v>
      </c>
      <c r="D112" t="s">
        <v>153</v>
      </c>
      <c r="E112" t="s">
        <v>47</v>
      </c>
      <c r="F112" t="s">
        <v>53</v>
      </c>
      <c r="G112" t="s">
        <v>26</v>
      </c>
      <c r="H112" t="str">
        <f t="shared" si="2"/>
        <v>klerus</v>
      </c>
      <c r="I112" t="str" cm="1">
        <f t="array" ref="I112">_xlfn.SWITCH(A112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12" s="4">
        <f>IF(AND(B112=Werte!B112,LEFT(A112,5)=LEFT(Werte!A112,5)),Werte!C112,"not found")</f>
        <v>2</v>
      </c>
      <c r="K112" s="4">
        <f>IF(AND(B112=Werte!B112,LEFT(A112,5)=LEFT(Werte!A112,5)),Werte!D112,"not found")</f>
        <v>0.15</v>
      </c>
      <c r="L112" s="4">
        <f>IF(AND(B112=Werte!B112,LEFT(A112,5)=LEFT(Werte!A112,5)),Werte!E112,"not found")</f>
        <v>0.55555555555555602</v>
      </c>
      <c r="M112" s="4">
        <f>IF(AND(B112=Werte!B112,LEFT(A112,5)=LEFT(Werte!A112,5)),Werte!F112,"not found")</f>
        <v>0.858133496191128</v>
      </c>
      <c r="N112" s="4" t="str">
        <f t="shared" si="3"/>
        <v>helfer</v>
      </c>
      <c r="O112" s="4" cm="1">
        <f t="array" ref="O112">_xlfn.SWITCH(A112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12" s="4" t="str">
        <f>IF(Nodes[[#This Row],[Bezeichnung2]] = "betrueger",1,"")</f>
        <v/>
      </c>
      <c r="Q112" s="4" t="str">
        <f>IF(Nodes[[#This Row],[Bezeichnung2]] = "betrogener",2,"")</f>
        <v/>
      </c>
      <c r="R112" s="4" t="str">
        <f>IF(Nodes[[#This Row],[Bezeichnung2]] = "liebender",3,"")</f>
        <v/>
      </c>
      <c r="S112" s="4" t="str">
        <f>IF(Nodes[[#This Row],[Bezeichnung2]] = "liebende",4,"")</f>
        <v/>
      </c>
      <c r="T112" s="4" t="str">
        <f>IF(Nodes[[#This Row],[Bezeichnung2]] = "gegenspieler",5,"")</f>
        <v/>
      </c>
    </row>
    <row r="113" spans="1:20" x14ac:dyDescent="0.3">
      <c r="A113" t="s">
        <v>568</v>
      </c>
      <c r="B113" t="s">
        <v>607</v>
      </c>
      <c r="C113" t="s">
        <v>18</v>
      </c>
      <c r="D113" t="s">
        <v>47</v>
      </c>
      <c r="E113" t="s">
        <v>47</v>
      </c>
      <c r="F113" t="s">
        <v>96</v>
      </c>
      <c r="G113" t="s">
        <v>22</v>
      </c>
      <c r="H113" t="str">
        <f t="shared" si="2"/>
        <v>unbekannt</v>
      </c>
      <c r="I113" t="str" cm="1">
        <f t="array" ref="I113">_xlfn.SWITCH(A113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13" s="4">
        <f>IF(AND(B113=Werte!B113,LEFT(A113,5)=LEFT(Werte!A113,5)),Werte!C113,"not found")</f>
        <v>2</v>
      </c>
      <c r="K113" s="4">
        <f>IF(AND(B113=Werte!B113,LEFT(A113,5)=LEFT(Werte!A113,5)),Werte!D113,"not found")</f>
        <v>0.83333333333333304</v>
      </c>
      <c r="L113" s="4">
        <f>IF(AND(B113=Werte!B113,LEFT(A113,5)=LEFT(Werte!A113,5)),Werte!E113,"not found")</f>
        <v>0.66666666666666696</v>
      </c>
      <c r="M113" s="4">
        <f>IF(AND(B113=Werte!B113,LEFT(A113,5)=LEFT(Werte!A113,5)),Werte!F113,"not found")</f>
        <v>1</v>
      </c>
      <c r="N113" s="4" t="str">
        <f t="shared" si="3"/>
        <v>betrueger</v>
      </c>
      <c r="O113" s="4" cm="1">
        <f t="array" ref="O113">_xlfn.SWITCH(A113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13" s="4">
        <f>IF(Nodes[[#This Row],[Bezeichnung2]] = "betrueger",1,"")</f>
        <v>1</v>
      </c>
      <c r="Q113" s="4" t="str">
        <f>IF(Nodes[[#This Row],[Bezeichnung2]] = "betrogener",2,"")</f>
        <v/>
      </c>
      <c r="R113" s="4" t="str">
        <f>IF(Nodes[[#This Row],[Bezeichnung2]] = "liebender",3,"")</f>
        <v/>
      </c>
      <c r="S113" s="4" t="str">
        <f>IF(Nodes[[#This Row],[Bezeichnung2]] = "liebende",4,"")</f>
        <v/>
      </c>
      <c r="T113" s="4" t="str">
        <f>IF(Nodes[[#This Row],[Bezeichnung2]] = "gegenspieler",5,"")</f>
        <v/>
      </c>
    </row>
    <row r="114" spans="1:20" x14ac:dyDescent="0.3">
      <c r="A114" t="s">
        <v>568</v>
      </c>
      <c r="B114" t="s">
        <v>569</v>
      </c>
      <c r="C114" t="s">
        <v>46</v>
      </c>
      <c r="D114" t="s">
        <v>47</v>
      </c>
      <c r="E114" t="s">
        <v>28</v>
      </c>
      <c r="F114" t="s">
        <v>53</v>
      </c>
      <c r="G114" t="s">
        <v>26</v>
      </c>
      <c r="H114" t="str">
        <f t="shared" si="2"/>
        <v>unbekannt</v>
      </c>
      <c r="I114" t="str" cm="1">
        <f t="array" ref="I114">_xlfn.SWITCH(A114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14" s="4">
        <f>IF(AND(B114=Werte!B114,LEFT(A114,5)=LEFT(Werte!A114,5)),Werte!C114,"not found")</f>
        <v>1</v>
      </c>
      <c r="K114" s="4">
        <f>IF(AND(B114=Werte!B114,LEFT(A114,5)=LEFT(Werte!A114,5)),Werte!D114,"not found")</f>
        <v>0</v>
      </c>
      <c r="L114" s="4">
        <f>IF(AND(B114=Werte!B114,LEFT(A114,5)=LEFT(Werte!A114,5)),Werte!E114,"not found")</f>
        <v>0.4</v>
      </c>
      <c r="M114" s="4">
        <f>IF(AND(B114=Werte!B114,LEFT(A114,5)=LEFT(Werte!A114,5)),Werte!F114,"not found")</f>
        <v>0.88682304343071905</v>
      </c>
      <c r="N114" s="4" t="str">
        <f t="shared" si="3"/>
        <v>helfer</v>
      </c>
      <c r="O114" s="4" cm="1">
        <f t="array" ref="O114">_xlfn.SWITCH(A114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14" s="4" t="str">
        <f>IF(Nodes[[#This Row],[Bezeichnung2]] = "betrueger",1,"")</f>
        <v/>
      </c>
      <c r="Q114" s="4" t="str">
        <f>IF(Nodes[[#This Row],[Bezeichnung2]] = "betrogener",2,"")</f>
        <v/>
      </c>
      <c r="R114" s="4" t="str">
        <f>IF(Nodes[[#This Row],[Bezeichnung2]] = "liebender",3,"")</f>
        <v/>
      </c>
      <c r="S114" s="4" t="str">
        <f>IF(Nodes[[#This Row],[Bezeichnung2]] = "liebende",4,"")</f>
        <v/>
      </c>
      <c r="T114" s="4" t="str">
        <f>IF(Nodes[[#This Row],[Bezeichnung2]] = "gegenspieler",5,"")</f>
        <v/>
      </c>
    </row>
    <row r="115" spans="1:20" x14ac:dyDescent="0.3">
      <c r="A115" t="s">
        <v>568</v>
      </c>
      <c r="B115" t="s">
        <v>570</v>
      </c>
      <c r="C115" t="s">
        <v>46</v>
      </c>
      <c r="D115" t="s">
        <v>47</v>
      </c>
      <c r="E115" t="s">
        <v>47</v>
      </c>
      <c r="F115" t="s">
        <v>47</v>
      </c>
      <c r="G115" t="s">
        <v>26</v>
      </c>
      <c r="H115" t="str">
        <f t="shared" si="2"/>
        <v>unbekannt</v>
      </c>
      <c r="I115" t="str" cm="1">
        <f t="array" ref="I115">_xlfn.SWITCH(A115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15" s="4">
        <f>IF(AND(B115=Werte!B115,LEFT(A115,5)=LEFT(Werte!A115,5)),Werte!C115,"not found")</f>
        <v>1</v>
      </c>
      <c r="K115" s="4">
        <f>IF(AND(B115=Werte!B115,LEFT(A115,5)=LEFT(Werte!A115,5)),Werte!D115,"not found")</f>
        <v>0.5</v>
      </c>
      <c r="L115" s="4">
        <f>IF(AND(B115=Werte!B115,LEFT(A115,5)=LEFT(Werte!A115,5)),Werte!E115,"not found")</f>
        <v>0.57142857142857095</v>
      </c>
      <c r="M115" s="4">
        <f>IF(AND(B115=Werte!B115,LEFT(A115,5)=LEFT(Werte!A115,5)),Werte!F115,"not found")</f>
        <v>0.38186442808788801</v>
      </c>
      <c r="N115" s="4" t="str">
        <f t="shared" si="3"/>
        <v>unbekannt</v>
      </c>
      <c r="O115" s="4" cm="1">
        <f t="array" ref="O115">_xlfn.SWITCH(A115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15" s="4" t="str">
        <f>IF(Nodes[[#This Row],[Bezeichnung2]] = "betrueger",1,"")</f>
        <v/>
      </c>
      <c r="Q115" s="4" t="str">
        <f>IF(Nodes[[#This Row],[Bezeichnung2]] = "betrogener",2,"")</f>
        <v/>
      </c>
      <c r="R115" s="4" t="str">
        <f>IF(Nodes[[#This Row],[Bezeichnung2]] = "liebender",3,"")</f>
        <v/>
      </c>
      <c r="S115" s="4" t="str">
        <f>IF(Nodes[[#This Row],[Bezeichnung2]] = "liebende",4,"")</f>
        <v/>
      </c>
      <c r="T115" s="4" t="str">
        <f>IF(Nodes[[#This Row],[Bezeichnung2]] = "gegenspieler",5,"")</f>
        <v/>
      </c>
    </row>
    <row r="116" spans="1:20" x14ac:dyDescent="0.3">
      <c r="A116" t="s">
        <v>568</v>
      </c>
      <c r="B116" t="s">
        <v>309</v>
      </c>
      <c r="C116" t="s">
        <v>46</v>
      </c>
      <c r="D116" t="s">
        <v>47</v>
      </c>
      <c r="E116" t="s">
        <v>47</v>
      </c>
      <c r="F116" t="s">
        <v>93</v>
      </c>
      <c r="G116" t="s">
        <v>22</v>
      </c>
      <c r="H116" t="str">
        <f t="shared" si="2"/>
        <v>unbekannt</v>
      </c>
      <c r="I116" t="str" cm="1">
        <f t="array" ref="I116">_xlfn.SWITCH(A116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16" s="4">
        <f>IF(AND(B116=Werte!B116,LEFT(A116,5)=LEFT(Werte!A116,5)),Werte!C116,"not found")</f>
        <v>0.5</v>
      </c>
      <c r="K116" s="4">
        <f>IF(AND(B116=Werte!B116,LEFT(A116,5)=LEFT(Werte!A116,5)),Werte!D116,"not found")</f>
        <v>0</v>
      </c>
      <c r="L116" s="4">
        <f>IF(AND(B116=Werte!B116,LEFT(A116,5)=LEFT(Werte!A116,5)),Werte!E116,"not found")</f>
        <v>0.33333333333333298</v>
      </c>
      <c r="M116" s="4">
        <f>IF(AND(B116=Werte!B116,LEFT(A116,5)=LEFT(Werte!A116,5)),Werte!F116,"not found")</f>
        <v>0.40476973123410898</v>
      </c>
      <c r="N116" s="4" t="str">
        <f t="shared" si="3"/>
        <v>betrogener</v>
      </c>
      <c r="O116" s="4" cm="1">
        <f t="array" ref="O116">_xlfn.SWITCH(A116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16" s="4" t="str">
        <f>IF(Nodes[[#This Row],[Bezeichnung2]] = "betrueger",1,"")</f>
        <v/>
      </c>
      <c r="Q116" s="4">
        <f>IF(Nodes[[#This Row],[Bezeichnung2]] = "betrogener",2,"")</f>
        <v>2</v>
      </c>
      <c r="R116" s="4" t="str">
        <f>IF(Nodes[[#This Row],[Bezeichnung2]] = "liebender",3,"")</f>
        <v/>
      </c>
      <c r="S116" s="4" t="str">
        <f>IF(Nodes[[#This Row],[Bezeichnung2]] = "liebende",4,"")</f>
        <v/>
      </c>
      <c r="T116" s="4" t="str">
        <f>IF(Nodes[[#This Row],[Bezeichnung2]] = "gegenspieler",5,"")</f>
        <v/>
      </c>
    </row>
    <row r="117" spans="1:20" x14ac:dyDescent="0.3">
      <c r="A117" t="s">
        <v>568</v>
      </c>
      <c r="B117" t="s">
        <v>423</v>
      </c>
      <c r="C117" t="s">
        <v>18</v>
      </c>
      <c r="D117" t="s">
        <v>47</v>
      </c>
      <c r="E117" t="s">
        <v>47</v>
      </c>
      <c r="F117" t="s">
        <v>87</v>
      </c>
      <c r="G117" t="s">
        <v>26</v>
      </c>
      <c r="H117" t="str">
        <f t="shared" si="2"/>
        <v>unbekannt</v>
      </c>
      <c r="I117" t="str" cm="1">
        <f t="array" ref="I117">_xlfn.SWITCH(A117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17" s="4">
        <f>IF(AND(B117=Werte!B117,LEFT(A117,5)=LEFT(Werte!A117,5)),Werte!C117,"not found")</f>
        <v>0.5</v>
      </c>
      <c r="K117" s="4">
        <f>IF(AND(B117=Werte!B117,LEFT(A117,5)=LEFT(Werte!A117,5)),Werte!D117,"not found")</f>
        <v>0</v>
      </c>
      <c r="L117" s="4">
        <f>IF(AND(B117=Werte!B117,LEFT(A117,5)=LEFT(Werte!A117,5)),Werte!E117,"not found")</f>
        <v>0.44444444444444398</v>
      </c>
      <c r="M117" s="4">
        <f>IF(AND(B117=Werte!B117,LEFT(A117,5)=LEFT(Werte!A117,5)),Werte!F117,"not found")</f>
        <v>0.20238486561705399</v>
      </c>
      <c r="N117" s="4" t="str">
        <f t="shared" si="3"/>
        <v>gegenspieler</v>
      </c>
      <c r="O117" s="4" cm="1">
        <f t="array" ref="O117">_xlfn.SWITCH(A117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17" s="4" t="str">
        <f>IF(Nodes[[#This Row],[Bezeichnung2]] = "betrueger",1,"")</f>
        <v/>
      </c>
      <c r="Q117" s="4" t="str">
        <f>IF(Nodes[[#This Row],[Bezeichnung2]] = "betrogener",2,"")</f>
        <v/>
      </c>
      <c r="R117" s="4" t="str">
        <f>IF(Nodes[[#This Row],[Bezeichnung2]] = "liebender",3,"")</f>
        <v/>
      </c>
      <c r="S117" s="4" t="str">
        <f>IF(Nodes[[#This Row],[Bezeichnung2]] = "liebende",4,"")</f>
        <v/>
      </c>
      <c r="T117" s="4">
        <f>IF(Nodes[[#This Row],[Bezeichnung2]] = "gegenspieler",5,"")</f>
        <v>5</v>
      </c>
    </row>
    <row r="118" spans="1:20" x14ac:dyDescent="0.3">
      <c r="A118" t="s">
        <v>161</v>
      </c>
      <c r="B118" t="s">
        <v>56</v>
      </c>
      <c r="C118" t="s">
        <v>18</v>
      </c>
      <c r="D118" t="s">
        <v>57</v>
      </c>
      <c r="E118" t="s">
        <v>47</v>
      </c>
      <c r="F118" t="s">
        <v>318</v>
      </c>
      <c r="G118" t="s">
        <v>22</v>
      </c>
      <c r="H118" t="str">
        <f t="shared" si="2"/>
        <v>adel</v>
      </c>
      <c r="I118" t="str" cm="1">
        <f t="array" ref="I118">_xlfn.SWITCH(A118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18" s="4">
        <f>IF(AND(B118=Werte!B118,LEFT(A118,5)=LEFT(Werte!A118,5)),Werte!C118,"not found")</f>
        <v>2</v>
      </c>
      <c r="K118" s="4">
        <f>IF(AND(B118=Werte!B118,LEFT(A118,5)=LEFT(Werte!A118,5)),Werte!D118,"not found")</f>
        <v>0.33333333333333298</v>
      </c>
      <c r="L118" s="4">
        <f>IF(AND(B118=Werte!B118,LEFT(A118,5)=LEFT(Werte!A118,5)),Werte!E118,"not found")</f>
        <v>0.75</v>
      </c>
      <c r="M118" s="4">
        <f>IF(AND(B118=Werte!B118,LEFT(A118,5)=LEFT(Werte!A118,5)),Werte!F118,"not found")</f>
        <v>0.99634281667130098</v>
      </c>
      <c r="N118" s="4" t="str">
        <f t="shared" si="3"/>
        <v>betrueger</v>
      </c>
      <c r="O118" s="4" cm="1">
        <f t="array" ref="O118">_xlfn.SWITCH(A118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18" s="4">
        <f>IF(Nodes[[#This Row],[Bezeichnung2]] = "betrueger",1,"")</f>
        <v>1</v>
      </c>
      <c r="Q118" s="4" t="str">
        <f>IF(Nodes[[#This Row],[Bezeichnung2]] = "betrogener",2,"")</f>
        <v/>
      </c>
      <c r="R118" s="4" t="str">
        <f>IF(Nodes[[#This Row],[Bezeichnung2]] = "liebender",3,"")</f>
        <v/>
      </c>
      <c r="S118" s="4" t="str">
        <f>IF(Nodes[[#This Row],[Bezeichnung2]] = "liebende",4,"")</f>
        <v/>
      </c>
      <c r="T118" s="4" t="str">
        <f>IF(Nodes[[#This Row],[Bezeichnung2]] = "gegenspieler",5,"")</f>
        <v/>
      </c>
    </row>
    <row r="119" spans="1:20" x14ac:dyDescent="0.3">
      <c r="A119" t="s">
        <v>161</v>
      </c>
      <c r="B119" t="s">
        <v>85</v>
      </c>
      <c r="C119" t="s">
        <v>24</v>
      </c>
      <c r="D119" t="s">
        <v>86</v>
      </c>
      <c r="E119" t="s">
        <v>47</v>
      </c>
      <c r="F119" t="s">
        <v>162</v>
      </c>
      <c r="G119" t="s">
        <v>22</v>
      </c>
      <c r="H119" t="str">
        <f t="shared" si="2"/>
        <v>adel</v>
      </c>
      <c r="I119" t="str" cm="1">
        <f t="array" ref="I119">_xlfn.SWITCH(A119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19" s="4">
        <f>IF(AND(B119=Werte!B119,LEFT(A119,5)=LEFT(Werte!A119,5)),Werte!C119,"not found")</f>
        <v>2</v>
      </c>
      <c r="K119" s="4">
        <f>IF(AND(B119=Werte!B119,LEFT(A119,5)=LEFT(Werte!A119,5)),Werte!D119,"not found")</f>
        <v>0</v>
      </c>
      <c r="L119" s="4">
        <f>IF(AND(B119=Werte!B119,LEFT(A119,5)=LEFT(Werte!A119,5)),Werte!E119,"not found")</f>
        <v>0.6</v>
      </c>
      <c r="M119" s="4">
        <f>IF(AND(B119=Werte!B119,LEFT(A119,5)=LEFT(Werte!A119,5)),Werte!F119,"not found")</f>
        <v>1</v>
      </c>
      <c r="N119" s="4" t="str">
        <f t="shared" si="3"/>
        <v>betrogener</v>
      </c>
      <c r="O119" s="4" cm="1">
        <f t="array" ref="O119">_xlfn.SWITCH(A119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19" s="4" t="str">
        <f>IF(Nodes[[#This Row],[Bezeichnung2]] = "betrueger",1,"")</f>
        <v/>
      </c>
      <c r="Q119" s="4">
        <f>IF(Nodes[[#This Row],[Bezeichnung2]] = "betrogener",2,"")</f>
        <v>2</v>
      </c>
      <c r="R119" s="4" t="str">
        <f>IF(Nodes[[#This Row],[Bezeichnung2]] = "liebender",3,"")</f>
        <v/>
      </c>
      <c r="S119" s="4" t="str">
        <f>IF(Nodes[[#This Row],[Bezeichnung2]] = "liebende",4,"")</f>
        <v/>
      </c>
      <c r="T119" s="4" t="str">
        <f>IF(Nodes[[#This Row],[Bezeichnung2]] = "gegenspieler",5,"")</f>
        <v/>
      </c>
    </row>
    <row r="120" spans="1:20" x14ac:dyDescent="0.3">
      <c r="A120" t="s">
        <v>161</v>
      </c>
      <c r="B120" t="s">
        <v>137</v>
      </c>
      <c r="C120" t="s">
        <v>46</v>
      </c>
      <c r="D120" t="s">
        <v>119</v>
      </c>
      <c r="E120" t="s">
        <v>47</v>
      </c>
      <c r="F120" t="s">
        <v>47</v>
      </c>
      <c r="G120" t="s">
        <v>26</v>
      </c>
      <c r="H120" t="str">
        <f t="shared" si="2"/>
        <v>adel</v>
      </c>
      <c r="I120" t="str" cm="1">
        <f t="array" ref="I120">_xlfn.SWITCH(A120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20" s="4">
        <f>IF(AND(B120=Werte!B120,LEFT(A120,5)=LEFT(Werte!A120,5)),Werte!C120,"not found")</f>
        <v>1.3333333333333299</v>
      </c>
      <c r="K120" s="4">
        <f>IF(AND(B120=Werte!B120,LEFT(A120,5)=LEFT(Werte!A120,5)),Werte!D120,"not found")</f>
        <v>0</v>
      </c>
      <c r="L120" s="4">
        <f>IF(AND(B120=Werte!B120,LEFT(A120,5)=LEFT(Werte!A120,5)),Werte!E120,"not found")</f>
        <v>0.6</v>
      </c>
      <c r="M120" s="4">
        <f>IF(AND(B120=Werte!B120,LEFT(A120,5)=LEFT(Werte!A120,5)),Werte!F120,"not found")</f>
        <v>0.14745769345937701</v>
      </c>
      <c r="N120" s="4" t="str">
        <f t="shared" si="3"/>
        <v>unbekannt</v>
      </c>
      <c r="O120" s="4" cm="1">
        <f t="array" ref="O120">_xlfn.SWITCH(A120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20" s="4" t="str">
        <f>IF(Nodes[[#This Row],[Bezeichnung2]] = "betrueger",1,"")</f>
        <v/>
      </c>
      <c r="Q120" s="4" t="str">
        <f>IF(Nodes[[#This Row],[Bezeichnung2]] = "betrogener",2,"")</f>
        <v/>
      </c>
      <c r="R120" s="4" t="str">
        <f>IF(Nodes[[#This Row],[Bezeichnung2]] = "liebender",3,"")</f>
        <v/>
      </c>
      <c r="S120" s="4" t="str">
        <f>IF(Nodes[[#This Row],[Bezeichnung2]] = "liebende",4,"")</f>
        <v/>
      </c>
      <c r="T120" s="4" t="str">
        <f>IF(Nodes[[#This Row],[Bezeichnung2]] = "gegenspieler",5,"")</f>
        <v/>
      </c>
    </row>
    <row r="121" spans="1:20" x14ac:dyDescent="0.3">
      <c r="A121" t="s">
        <v>161</v>
      </c>
      <c r="B121" t="s">
        <v>51</v>
      </c>
      <c r="C121" t="s">
        <v>46</v>
      </c>
      <c r="D121" t="s">
        <v>47</v>
      </c>
      <c r="E121" t="s">
        <v>47</v>
      </c>
      <c r="F121" t="s">
        <v>47</v>
      </c>
      <c r="G121" t="s">
        <v>26</v>
      </c>
      <c r="H121" t="str">
        <f t="shared" si="2"/>
        <v>unbekannt</v>
      </c>
      <c r="I121" t="str" cm="1">
        <f t="array" ref="I121">_xlfn.SWITCH(A121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21" s="4">
        <f>IF(AND(B121=Werte!B121,LEFT(A121,5)=LEFT(Werte!A121,5)),Werte!C121,"not found")</f>
        <v>1.3333333333333299</v>
      </c>
      <c r="K121" s="4">
        <f>IF(AND(B121=Werte!B121,LEFT(A121,5)=LEFT(Werte!A121,5)),Werte!D121,"not found")</f>
        <v>0.33333333333333298</v>
      </c>
      <c r="L121" s="4">
        <f>IF(AND(B121=Werte!B121,LEFT(A121,5)=LEFT(Werte!A121,5)),Werte!E121,"not found")</f>
        <v>0.75</v>
      </c>
      <c r="M121" s="4">
        <f>IF(AND(B121=Werte!B121,LEFT(A121,5)=LEFT(Werte!A121,5)),Werte!F121,"not found")</f>
        <v>9.8245135857843793E-2</v>
      </c>
      <c r="N121" s="4" t="str">
        <f t="shared" si="3"/>
        <v>unbekannt</v>
      </c>
      <c r="O121" s="4" cm="1">
        <f t="array" ref="O121">_xlfn.SWITCH(A121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21" s="4" t="str">
        <f>IF(Nodes[[#This Row],[Bezeichnung2]] = "betrueger",1,"")</f>
        <v/>
      </c>
      <c r="Q121" s="4" t="str">
        <f>IF(Nodes[[#This Row],[Bezeichnung2]] = "betrogener",2,"")</f>
        <v/>
      </c>
      <c r="R121" s="4" t="str">
        <f>IF(Nodes[[#This Row],[Bezeichnung2]] = "liebender",3,"")</f>
        <v/>
      </c>
      <c r="S121" s="4" t="str">
        <f>IF(Nodes[[#This Row],[Bezeichnung2]] = "liebende",4,"")</f>
        <v/>
      </c>
      <c r="T121" s="4" t="str">
        <f>IF(Nodes[[#This Row],[Bezeichnung2]] = "gegenspieler",5,"")</f>
        <v/>
      </c>
    </row>
    <row r="122" spans="1:20" x14ac:dyDescent="0.3">
      <c r="A122" t="s">
        <v>163</v>
      </c>
      <c r="B122" t="s">
        <v>164</v>
      </c>
      <c r="C122" t="s">
        <v>46</v>
      </c>
      <c r="D122" t="s">
        <v>57</v>
      </c>
      <c r="E122" t="s">
        <v>47</v>
      </c>
      <c r="F122" t="s">
        <v>47</v>
      </c>
      <c r="G122" t="s">
        <v>22</v>
      </c>
      <c r="H122" t="str">
        <f t="shared" si="2"/>
        <v>adel</v>
      </c>
      <c r="I122" t="str" cm="1">
        <f t="array" ref="I122">_xlfn.SWITCH(A122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22" s="4">
        <f>IF(AND(B122=Werte!B122,LEFT(A122,5)=LEFT(Werte!A122,5)),Werte!C122,"not found")</f>
        <v>1.1764705882352899</v>
      </c>
      <c r="K122" s="4">
        <f>IF(AND(B122=Werte!B122,LEFT(A122,5)=LEFT(Werte!A122,5)),Werte!D122,"not found")</f>
        <v>0.34558823529411797</v>
      </c>
      <c r="L122" s="4">
        <f>IF(AND(B122=Werte!B122,LEFT(A122,5)=LEFT(Werte!A122,5)),Werte!E122,"not found")</f>
        <v>0.32692307692307698</v>
      </c>
      <c r="M122" s="4">
        <f>IF(AND(B122=Werte!B122,LEFT(A122,5)=LEFT(Werte!A122,5)),Werte!F122,"not found")</f>
        <v>0.63172764852622498</v>
      </c>
      <c r="N122" s="4" t="str">
        <f t="shared" si="3"/>
        <v>unbekannt</v>
      </c>
      <c r="O122" s="4" cm="1">
        <f t="array" ref="O122">_xlfn.SWITCH(A122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122" s="4" t="str">
        <f>IF(Nodes[[#This Row],[Bezeichnung2]] = "betrueger",1,"")</f>
        <v/>
      </c>
      <c r="Q122" s="4" t="str">
        <f>IF(Nodes[[#This Row],[Bezeichnung2]] = "betrogener",2,"")</f>
        <v/>
      </c>
      <c r="R122" s="4" t="str">
        <f>IF(Nodes[[#This Row],[Bezeichnung2]] = "liebender",3,"")</f>
        <v/>
      </c>
      <c r="S122" s="4" t="str">
        <f>IF(Nodes[[#This Row],[Bezeichnung2]] = "liebende",4,"")</f>
        <v/>
      </c>
      <c r="T122" s="4" t="str">
        <f>IF(Nodes[[#This Row],[Bezeichnung2]] = "gegenspieler",5,"")</f>
        <v/>
      </c>
    </row>
    <row r="123" spans="1:20" x14ac:dyDescent="0.3">
      <c r="A123" t="s">
        <v>163</v>
      </c>
      <c r="B123" t="s">
        <v>165</v>
      </c>
      <c r="C123" t="s">
        <v>18</v>
      </c>
      <c r="D123" t="s">
        <v>166</v>
      </c>
      <c r="E123" t="s">
        <v>47</v>
      </c>
      <c r="F123" t="s">
        <v>47</v>
      </c>
      <c r="G123" t="s">
        <v>26</v>
      </c>
      <c r="H123" t="str">
        <f t="shared" si="2"/>
        <v>adel</v>
      </c>
      <c r="I123" t="str" cm="1">
        <f t="array" ref="I123">_xlfn.SWITCH(A123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23" s="4">
        <f>IF(AND(B123=Werte!B123,LEFT(A123,5)=LEFT(Werte!A123,5)),Werte!C123,"not found")</f>
        <v>0.11764705882352899</v>
      </c>
      <c r="K123" s="4">
        <f>IF(AND(B123=Werte!B123,LEFT(A123,5)=LEFT(Werte!A123,5)),Werte!D123,"not found")</f>
        <v>0</v>
      </c>
      <c r="L123" s="4">
        <f>IF(AND(B123=Werte!B123,LEFT(A123,5)=LEFT(Werte!A123,5)),Werte!E123,"not found")</f>
        <v>0.25373134328358199</v>
      </c>
      <c r="M123" s="4">
        <f>IF(AND(B123=Werte!B123,LEFT(A123,5)=LEFT(Werte!A123,5)),Werte!F123,"not found")</f>
        <v>4.7812033481528703E-2</v>
      </c>
      <c r="N123" s="4" t="str">
        <f t="shared" si="3"/>
        <v>unbekannt</v>
      </c>
      <c r="O123" s="4" cm="1">
        <f t="array" ref="O123">_xlfn.SWITCH(A123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123" s="4" t="str">
        <f>IF(Nodes[[#This Row],[Bezeichnung2]] = "betrueger",1,"")</f>
        <v/>
      </c>
      <c r="Q123" s="4" t="str">
        <f>IF(Nodes[[#This Row],[Bezeichnung2]] = "betrogener",2,"")</f>
        <v/>
      </c>
      <c r="R123" s="4" t="str">
        <f>IF(Nodes[[#This Row],[Bezeichnung2]] = "liebender",3,"")</f>
        <v/>
      </c>
      <c r="S123" s="4" t="str">
        <f>IF(Nodes[[#This Row],[Bezeichnung2]] = "liebende",4,"")</f>
        <v/>
      </c>
      <c r="T123" s="4" t="str">
        <f>IF(Nodes[[#This Row],[Bezeichnung2]] = "gegenspieler",5,"")</f>
        <v/>
      </c>
    </row>
    <row r="124" spans="1:20" x14ac:dyDescent="0.3">
      <c r="A124" t="s">
        <v>163</v>
      </c>
      <c r="B124" t="s">
        <v>167</v>
      </c>
      <c r="C124" t="s">
        <v>46</v>
      </c>
      <c r="D124" t="s">
        <v>86</v>
      </c>
      <c r="E124" t="s">
        <v>47</v>
      </c>
      <c r="F124" t="s">
        <v>47</v>
      </c>
      <c r="G124" t="s">
        <v>22</v>
      </c>
      <c r="H124" t="str">
        <f t="shared" si="2"/>
        <v>adel</v>
      </c>
      <c r="I124" t="str" cm="1">
        <f t="array" ref="I124">_xlfn.SWITCH(A124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24" s="4">
        <f>IF(AND(B124=Werte!B124,LEFT(A124,5)=LEFT(Werte!A124,5)),Werte!C124,"not found")</f>
        <v>1.4117647058823499</v>
      </c>
      <c r="K124" s="4">
        <f>IF(AND(B124=Werte!B124,LEFT(A124,5)=LEFT(Werte!A124,5)),Werte!D124,"not found")</f>
        <v>0.41911764705882398</v>
      </c>
      <c r="L124" s="4">
        <f>IF(AND(B124=Werte!B124,LEFT(A124,5)=LEFT(Werte!A124,5)),Werte!E124,"not found")</f>
        <v>0.34</v>
      </c>
      <c r="M124" s="4">
        <f>IF(AND(B124=Werte!B124,LEFT(A124,5)=LEFT(Werte!A124,5)),Werte!F124,"not found")</f>
        <v>0.99563054250221905</v>
      </c>
      <c r="N124" s="4" t="str">
        <f t="shared" si="3"/>
        <v>unbekannt</v>
      </c>
      <c r="O124" s="4" cm="1">
        <f t="array" ref="O124">_xlfn.SWITCH(A124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124" s="4" t="str">
        <f>IF(Nodes[[#This Row],[Bezeichnung2]] = "betrueger",1,"")</f>
        <v/>
      </c>
      <c r="Q124" s="4" t="str">
        <f>IF(Nodes[[#This Row],[Bezeichnung2]] = "betrogener",2,"")</f>
        <v/>
      </c>
      <c r="R124" s="4" t="str">
        <f>IF(Nodes[[#This Row],[Bezeichnung2]] = "liebender",3,"")</f>
        <v/>
      </c>
      <c r="S124" s="4" t="str">
        <f>IF(Nodes[[#This Row],[Bezeichnung2]] = "liebende",4,"")</f>
        <v/>
      </c>
      <c r="T124" s="4" t="str">
        <f>IF(Nodes[[#This Row],[Bezeichnung2]] = "gegenspieler",5,"")</f>
        <v/>
      </c>
    </row>
    <row r="125" spans="1:20" x14ac:dyDescent="0.3">
      <c r="A125" t="s">
        <v>163</v>
      </c>
      <c r="B125" t="s">
        <v>168</v>
      </c>
      <c r="C125" t="s">
        <v>18</v>
      </c>
      <c r="D125" t="s">
        <v>57</v>
      </c>
      <c r="E125" t="s">
        <v>47</v>
      </c>
      <c r="F125" t="s">
        <v>71</v>
      </c>
      <c r="G125" t="s">
        <v>26</v>
      </c>
      <c r="H125" t="str">
        <f t="shared" si="2"/>
        <v>adel</v>
      </c>
      <c r="I125" t="str" cm="1">
        <f t="array" ref="I125">_xlfn.SWITCH(A125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25" s="4">
        <f>IF(AND(B125=Werte!B125,LEFT(A125,5)=LEFT(Werte!A125,5)),Werte!C125,"not found")</f>
        <v>0.11764705882352899</v>
      </c>
      <c r="K125" s="4">
        <f>IF(AND(B125=Werte!B125,LEFT(A125,5)=LEFT(Werte!A125,5)),Werte!D125,"not found")</f>
        <v>0</v>
      </c>
      <c r="L125" s="4">
        <f>IF(AND(B125=Werte!B125,LEFT(A125,5)=LEFT(Werte!A125,5)),Werte!E125,"not found")</f>
        <v>0.207317073170732</v>
      </c>
      <c r="M125" s="4">
        <f>IF(AND(B125=Werte!B125,LEFT(A125,5)=LEFT(Werte!A125,5)),Werte!F125,"not found")</f>
        <v>9.5624066963057502E-2</v>
      </c>
      <c r="N125" s="4" t="str">
        <f t="shared" si="3"/>
        <v>gegner</v>
      </c>
      <c r="O125" s="4" cm="1">
        <f t="array" ref="O125">_xlfn.SWITCH(A125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125" s="4" t="str">
        <f>IF(Nodes[[#This Row],[Bezeichnung2]] = "betrueger",1,"")</f>
        <v/>
      </c>
      <c r="Q125" s="4" t="str">
        <f>IF(Nodes[[#This Row],[Bezeichnung2]] = "betrogener",2,"")</f>
        <v/>
      </c>
      <c r="R125" s="4" t="str">
        <f>IF(Nodes[[#This Row],[Bezeichnung2]] = "liebender",3,"")</f>
        <v/>
      </c>
      <c r="S125" s="4" t="str">
        <f>IF(Nodes[[#This Row],[Bezeichnung2]] = "liebende",4,"")</f>
        <v/>
      </c>
      <c r="T125" s="4" t="str">
        <f>IF(Nodes[[#This Row],[Bezeichnung2]] = "gegenspieler",5,"")</f>
        <v/>
      </c>
    </row>
    <row r="126" spans="1:20" x14ac:dyDescent="0.3">
      <c r="A126" t="s">
        <v>163</v>
      </c>
      <c r="B126" t="s">
        <v>169</v>
      </c>
      <c r="C126" t="s">
        <v>24</v>
      </c>
      <c r="D126" t="s">
        <v>86</v>
      </c>
      <c r="E126" t="s">
        <v>47</v>
      </c>
      <c r="F126" t="s">
        <v>47</v>
      </c>
      <c r="G126" t="s">
        <v>26</v>
      </c>
      <c r="H126" t="str">
        <f t="shared" si="2"/>
        <v>adel</v>
      </c>
      <c r="I126" t="str" cm="1">
        <f t="array" ref="I126">_xlfn.SWITCH(A126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26" s="4">
        <f>IF(AND(B126=Werte!B126,LEFT(A126,5)=LEFT(Werte!A126,5)),Werte!C126,"not found")</f>
        <v>0.35294117647058798</v>
      </c>
      <c r="K126" s="4">
        <f>IF(AND(B126=Werte!B126,LEFT(A126,5)=LEFT(Werte!A126,5)),Werte!D126,"not found")</f>
        <v>6.25E-2</v>
      </c>
      <c r="L126" s="4">
        <f>IF(AND(B126=Werte!B126,LEFT(A126,5)=LEFT(Werte!A126,5)),Werte!E126,"not found")</f>
        <v>0.30909090909090903</v>
      </c>
      <c r="M126" s="4">
        <f>IF(AND(B126=Werte!B126,LEFT(A126,5)=LEFT(Werte!A126,5)),Werte!F126,"not found")</f>
        <v>0.12961145898764301</v>
      </c>
      <c r="N126" s="4" t="str">
        <f t="shared" si="3"/>
        <v>unbekannt</v>
      </c>
      <c r="O126" s="4" cm="1">
        <f t="array" ref="O126">_xlfn.SWITCH(A126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126" s="4" t="str">
        <f>IF(Nodes[[#This Row],[Bezeichnung2]] = "betrueger",1,"")</f>
        <v/>
      </c>
      <c r="Q126" s="4" t="str">
        <f>IF(Nodes[[#This Row],[Bezeichnung2]] = "betrogener",2,"")</f>
        <v/>
      </c>
      <c r="R126" s="4" t="str">
        <f>IF(Nodes[[#This Row],[Bezeichnung2]] = "liebender",3,"")</f>
        <v/>
      </c>
      <c r="S126" s="4" t="str">
        <f>IF(Nodes[[#This Row],[Bezeichnung2]] = "liebende",4,"")</f>
        <v/>
      </c>
      <c r="T126" s="4" t="str">
        <f>IF(Nodes[[#This Row],[Bezeichnung2]] = "gegenspieler",5,"")</f>
        <v/>
      </c>
    </row>
    <row r="127" spans="1:20" x14ac:dyDescent="0.3">
      <c r="A127" t="s">
        <v>163</v>
      </c>
      <c r="B127" t="s">
        <v>170</v>
      </c>
      <c r="C127" t="s">
        <v>24</v>
      </c>
      <c r="D127" t="s">
        <v>86</v>
      </c>
      <c r="E127" t="s">
        <v>47</v>
      </c>
      <c r="F127" t="s">
        <v>47</v>
      </c>
      <c r="G127" t="s">
        <v>26</v>
      </c>
      <c r="H127" t="str">
        <f t="shared" si="2"/>
        <v>adel</v>
      </c>
      <c r="I127" t="str" cm="1">
        <f t="array" ref="I127">_xlfn.SWITCH(A127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27" s="4">
        <f>IF(AND(B127=Werte!B127,LEFT(A127,5)=LEFT(Werte!A127,5)),Werte!C127,"not found")</f>
        <v>0.23529411764705899</v>
      </c>
      <c r="K127" s="4">
        <f>IF(AND(B127=Werte!B127,LEFT(A127,5)=LEFT(Werte!A127,5)),Werte!D127,"not found")</f>
        <v>0</v>
      </c>
      <c r="L127" s="4">
        <f>IF(AND(B127=Werte!B127,LEFT(A127,5)=LEFT(Werte!A127,5)),Werte!E127,"not found")</f>
        <v>0.28333333333333299</v>
      </c>
      <c r="M127" s="4">
        <f>IF(AND(B127=Werte!B127,LEFT(A127,5)=LEFT(Werte!A127,5)),Werte!F127,"not found")</f>
        <v>8.5163453547691698E-2</v>
      </c>
      <c r="N127" s="4" t="str">
        <f t="shared" si="3"/>
        <v>unbekannt</v>
      </c>
      <c r="O127" s="4" cm="1">
        <f t="array" ref="O127">_xlfn.SWITCH(A127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127" s="4" t="str">
        <f>IF(Nodes[[#This Row],[Bezeichnung2]] = "betrueger",1,"")</f>
        <v/>
      </c>
      <c r="Q127" s="4" t="str">
        <f>IF(Nodes[[#This Row],[Bezeichnung2]] = "betrogener",2,"")</f>
        <v/>
      </c>
      <c r="R127" s="4" t="str">
        <f>IF(Nodes[[#This Row],[Bezeichnung2]] = "liebender",3,"")</f>
        <v/>
      </c>
      <c r="S127" s="4" t="str">
        <f>IF(Nodes[[#This Row],[Bezeichnung2]] = "liebende",4,"")</f>
        <v/>
      </c>
      <c r="T127" s="4" t="str">
        <f>IF(Nodes[[#This Row],[Bezeichnung2]] = "gegenspieler",5,"")</f>
        <v/>
      </c>
    </row>
    <row r="128" spans="1:20" x14ac:dyDescent="0.3">
      <c r="A128" t="s">
        <v>163</v>
      </c>
      <c r="B128" t="s">
        <v>171</v>
      </c>
      <c r="C128" t="s">
        <v>24</v>
      </c>
      <c r="D128" t="s">
        <v>86</v>
      </c>
      <c r="E128" t="s">
        <v>47</v>
      </c>
      <c r="F128" t="s">
        <v>53</v>
      </c>
      <c r="G128" t="s">
        <v>22</v>
      </c>
      <c r="H128" t="str">
        <f t="shared" si="2"/>
        <v>adel</v>
      </c>
      <c r="I128" t="str" cm="1">
        <f t="array" ref="I128">_xlfn.SWITCH(A128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28" s="4">
        <f>IF(AND(B128=Werte!B128,LEFT(A128,5)=LEFT(Werte!A128,5)),Werte!C128,"not found")</f>
        <v>0.11764705882352899</v>
      </c>
      <c r="K128" s="4">
        <f>IF(AND(B128=Werte!B128,LEFT(A128,5)=LEFT(Werte!A128,5)),Werte!D128,"not found")</f>
        <v>0</v>
      </c>
      <c r="L128" s="4">
        <f>IF(AND(B128=Werte!B128,LEFT(A128,5)=LEFT(Werte!A128,5)),Werte!E128,"not found")</f>
        <v>0.17894736842105299</v>
      </c>
      <c r="M128" s="4">
        <f>IF(AND(B128=Werte!B128,LEFT(A128,5)=LEFT(Werte!A128,5)),Werte!F128,"not found")</f>
        <v>0.226061599224302</v>
      </c>
      <c r="N128" s="4" t="str">
        <f t="shared" si="3"/>
        <v>helfer</v>
      </c>
      <c r="O128" s="4" cm="1">
        <f t="array" ref="O128">_xlfn.SWITCH(A128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128" s="4" t="str">
        <f>IF(Nodes[[#This Row],[Bezeichnung2]] = "betrueger",1,"")</f>
        <v/>
      </c>
      <c r="Q128" s="4" t="str">
        <f>IF(Nodes[[#This Row],[Bezeichnung2]] = "betrogener",2,"")</f>
        <v/>
      </c>
      <c r="R128" s="4" t="str">
        <f>IF(Nodes[[#This Row],[Bezeichnung2]] = "liebender",3,"")</f>
        <v/>
      </c>
      <c r="S128" s="4" t="str">
        <f>IF(Nodes[[#This Row],[Bezeichnung2]] = "liebende",4,"")</f>
        <v/>
      </c>
      <c r="T128" s="4" t="str">
        <f>IF(Nodes[[#This Row],[Bezeichnung2]] = "gegenspieler",5,"")</f>
        <v/>
      </c>
    </row>
    <row r="129" spans="1:20" x14ac:dyDescent="0.3">
      <c r="A129" t="s">
        <v>163</v>
      </c>
      <c r="B129" t="s">
        <v>172</v>
      </c>
      <c r="C129" t="s">
        <v>24</v>
      </c>
      <c r="D129" t="s">
        <v>86</v>
      </c>
      <c r="E129" t="s">
        <v>47</v>
      </c>
      <c r="F129" t="s">
        <v>47</v>
      </c>
      <c r="G129" t="s">
        <v>26</v>
      </c>
      <c r="H129" t="str">
        <f t="shared" si="2"/>
        <v>adel</v>
      </c>
      <c r="I129" t="str" cm="1">
        <f t="array" ref="I129">_xlfn.SWITCH(A129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29" s="4">
        <f>IF(AND(B129=Werte!B129,LEFT(A129,5)=LEFT(Werte!A129,5)),Werte!C129,"not found")</f>
        <v>0</v>
      </c>
      <c r="K129" s="4">
        <f>IF(AND(B129=Werte!B129,LEFT(A129,5)=LEFT(Werte!A129,5)),Werte!D129,"not found")</f>
        <v>0</v>
      </c>
      <c r="L129" s="4">
        <f>IF(AND(B129=Werte!B129,LEFT(A129,5)=LEFT(Werte!A129,5)),Werte!E129,"not found")</f>
        <v>5.5555555555555601E-2</v>
      </c>
      <c r="M129" s="4">
        <f>IF(AND(B129=Werte!B129,LEFT(A129,5)=LEFT(Werte!A129,5)),Werte!F129,"not found")</f>
        <v>9.9831087659658595E-18</v>
      </c>
      <c r="N129" s="4" t="str">
        <f t="shared" si="3"/>
        <v>unbekannt</v>
      </c>
      <c r="O129" s="4" cm="1">
        <f t="array" ref="O129">_xlfn.SWITCH(A129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129" s="4" t="str">
        <f>IF(Nodes[[#This Row],[Bezeichnung2]] = "betrueger",1,"")</f>
        <v/>
      </c>
      <c r="Q129" s="4" t="str">
        <f>IF(Nodes[[#This Row],[Bezeichnung2]] = "betrogener",2,"")</f>
        <v/>
      </c>
      <c r="R129" s="4" t="str">
        <f>IF(Nodes[[#This Row],[Bezeichnung2]] = "liebender",3,"")</f>
        <v/>
      </c>
      <c r="S129" s="4" t="str">
        <f>IF(Nodes[[#This Row],[Bezeichnung2]] = "liebende",4,"")</f>
        <v/>
      </c>
      <c r="T129" s="4" t="str">
        <f>IF(Nodes[[#This Row],[Bezeichnung2]] = "gegenspieler",5,"")</f>
        <v/>
      </c>
    </row>
    <row r="130" spans="1:20" x14ac:dyDescent="0.3">
      <c r="A130" t="s">
        <v>163</v>
      </c>
      <c r="B130" t="s">
        <v>173</v>
      </c>
      <c r="C130" t="s">
        <v>24</v>
      </c>
      <c r="D130" t="s">
        <v>86</v>
      </c>
      <c r="E130" t="s">
        <v>47</v>
      </c>
      <c r="F130" t="s">
        <v>47</v>
      </c>
      <c r="G130" t="s">
        <v>26</v>
      </c>
      <c r="H130" t="str">
        <f t="shared" ref="H130:H193" si="4">IF(LEFT(D130,4)="adel","adel",IF(LEFT(D130,11)="buergerlich","buergerlich",IF(LEFT(D130,6)="klerus","klerus",IF(D130="NA","NA",IF(LEFT(D130,9)="unbekannt","unbekannt",IF(LEFT(D130,5)="bauer","bauer","not found"))))))</f>
        <v>adel</v>
      </c>
      <c r="I130" t="str" cm="1">
        <f t="array" ref="I130">_xlfn.SWITCH(A130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30" s="4">
        <f>IF(AND(B130=Werte!B130,LEFT(A130,5)=LEFT(Werte!A130,5)),Werte!C130,"not found")</f>
        <v>0.11764705882352899</v>
      </c>
      <c r="K130" s="4">
        <f>IF(AND(B130=Werte!B130,LEFT(A130,5)=LEFT(Werte!A130,5)),Werte!D130,"not found")</f>
        <v>0</v>
      </c>
      <c r="L130" s="4">
        <f>IF(AND(B130=Werte!B130,LEFT(A130,5)=LEFT(Werte!A130,5)),Werte!E130,"not found")</f>
        <v>0.21249999999999999</v>
      </c>
      <c r="M130" s="4">
        <f>IF(AND(B130=Werte!B130,LEFT(A130,5)=LEFT(Werte!A130,5)),Werte!F130,"not found")</f>
        <v>0.15070773281620101</v>
      </c>
      <c r="N130" s="4" t="str">
        <f t="shared" ref="N130:N193" si="5">IF(RIGHT(F130,10)="betrogener","betrogener",IF(RIGHT(F130,9)="betrueger","betrueger",F130))</f>
        <v>unbekannt</v>
      </c>
      <c r="O130" s="4" cm="1">
        <f t="array" ref="O130">_xlfn.SWITCH(A130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130" s="4" t="str">
        <f>IF(Nodes[[#This Row],[Bezeichnung2]] = "betrueger",1,"")</f>
        <v/>
      </c>
      <c r="Q130" s="4" t="str">
        <f>IF(Nodes[[#This Row],[Bezeichnung2]] = "betrogener",2,"")</f>
        <v/>
      </c>
      <c r="R130" s="4" t="str">
        <f>IF(Nodes[[#This Row],[Bezeichnung2]] = "liebender",3,"")</f>
        <v/>
      </c>
      <c r="S130" s="4" t="str">
        <f>IF(Nodes[[#This Row],[Bezeichnung2]] = "liebende",4,"")</f>
        <v/>
      </c>
      <c r="T130" s="4" t="str">
        <f>IF(Nodes[[#This Row],[Bezeichnung2]] = "gegenspieler",5,"")</f>
        <v/>
      </c>
    </row>
    <row r="131" spans="1:20" x14ac:dyDescent="0.3">
      <c r="A131" t="s">
        <v>163</v>
      </c>
      <c r="B131" t="s">
        <v>174</v>
      </c>
      <c r="C131" t="s">
        <v>24</v>
      </c>
      <c r="D131" t="s">
        <v>86</v>
      </c>
      <c r="E131" t="s">
        <v>20</v>
      </c>
      <c r="F131" t="s">
        <v>47</v>
      </c>
      <c r="G131" t="s">
        <v>22</v>
      </c>
      <c r="H131" t="str">
        <f t="shared" si="4"/>
        <v>adel</v>
      </c>
      <c r="I131" t="str" cm="1">
        <f t="array" ref="I131">_xlfn.SWITCH(A131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31" s="4">
        <f>IF(AND(B131=Werte!B131,LEFT(A131,5)=LEFT(Werte!A131,5)),Werte!C131,"not found")</f>
        <v>0.70588235294117696</v>
      </c>
      <c r="K131" s="4">
        <f>IF(AND(B131=Werte!B131,LEFT(A131,5)=LEFT(Werte!A131,5)),Werte!D131,"not found")</f>
        <v>3.6764705882352902E-3</v>
      </c>
      <c r="L131" s="4">
        <f>IF(AND(B131=Werte!B131,LEFT(A131,5)=LEFT(Werte!A131,5)),Werte!E131,"not found")</f>
        <v>0.25373134328358199</v>
      </c>
      <c r="M131" s="4">
        <f>IF(AND(B131=Werte!B131,LEFT(A131,5)=LEFT(Werte!A131,5)),Werte!F131,"not found")</f>
        <v>1</v>
      </c>
      <c r="N131" s="4" t="str">
        <f t="shared" si="5"/>
        <v>unbekannt</v>
      </c>
      <c r="O131" s="4" cm="1">
        <f t="array" ref="O131">_xlfn.SWITCH(A131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131" s="4" t="str">
        <f>IF(Nodes[[#This Row],[Bezeichnung2]] = "betrueger",1,"")</f>
        <v/>
      </c>
      <c r="Q131" s="4" t="str">
        <f>IF(Nodes[[#This Row],[Bezeichnung2]] = "betrogener",2,"")</f>
        <v/>
      </c>
      <c r="R131" s="4" t="str">
        <f>IF(Nodes[[#This Row],[Bezeichnung2]] = "liebender",3,"")</f>
        <v/>
      </c>
      <c r="S131" s="4" t="str">
        <f>IF(Nodes[[#This Row],[Bezeichnung2]] = "liebende",4,"")</f>
        <v/>
      </c>
      <c r="T131" s="4" t="str">
        <f>IF(Nodes[[#This Row],[Bezeichnung2]] = "gegenspieler",5,"")</f>
        <v/>
      </c>
    </row>
    <row r="132" spans="1:20" x14ac:dyDescent="0.3">
      <c r="A132" t="s">
        <v>163</v>
      </c>
      <c r="B132" t="s">
        <v>175</v>
      </c>
      <c r="C132" t="s">
        <v>18</v>
      </c>
      <c r="D132" t="s">
        <v>176</v>
      </c>
      <c r="E132" t="s">
        <v>32</v>
      </c>
      <c r="F132" t="s">
        <v>47</v>
      </c>
      <c r="G132" t="s">
        <v>26</v>
      </c>
      <c r="H132" t="str">
        <f t="shared" si="4"/>
        <v>adel</v>
      </c>
      <c r="I132" t="str" cm="1">
        <f t="array" ref="I132">_xlfn.SWITCH(A132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32" s="4">
        <f>IF(AND(B132=Werte!B132,LEFT(A132,5)=LEFT(Werte!A132,5)),Werte!C132,"not found")</f>
        <v>0.35294117647058798</v>
      </c>
      <c r="K132" s="4">
        <f>IF(AND(B132=Werte!B132,LEFT(A132,5)=LEFT(Werte!A132,5)),Werte!D132,"not found")</f>
        <v>1.2867647058823499E-2</v>
      </c>
      <c r="L132" s="4">
        <f>IF(AND(B132=Werte!B132,LEFT(A132,5)=LEFT(Werte!A132,5)),Werte!E132,"not found")</f>
        <v>0.28333333333333299</v>
      </c>
      <c r="M132" s="4">
        <f>IF(AND(B132=Werte!B132,LEFT(A132,5)=LEFT(Werte!A132,5)),Werte!F132,"not found")</f>
        <v>0.33483352403769701</v>
      </c>
      <c r="N132" s="4" t="str">
        <f t="shared" si="5"/>
        <v>unbekannt</v>
      </c>
      <c r="O132" s="4" cm="1">
        <f t="array" ref="O132">_xlfn.SWITCH(A132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132" s="4" t="str">
        <f>IF(Nodes[[#This Row],[Bezeichnung2]] = "betrueger",1,"")</f>
        <v/>
      </c>
      <c r="Q132" s="4" t="str">
        <f>IF(Nodes[[#This Row],[Bezeichnung2]] = "betrogener",2,"")</f>
        <v/>
      </c>
      <c r="R132" s="4" t="str">
        <f>IF(Nodes[[#This Row],[Bezeichnung2]] = "liebender",3,"")</f>
        <v/>
      </c>
      <c r="S132" s="4" t="str">
        <f>IF(Nodes[[#This Row],[Bezeichnung2]] = "liebende",4,"")</f>
        <v/>
      </c>
      <c r="T132" s="4" t="str">
        <f>IF(Nodes[[#This Row],[Bezeichnung2]] = "gegenspieler",5,"")</f>
        <v/>
      </c>
    </row>
    <row r="133" spans="1:20" x14ac:dyDescent="0.3">
      <c r="A133" t="s">
        <v>163</v>
      </c>
      <c r="B133" t="s">
        <v>177</v>
      </c>
      <c r="C133" t="s">
        <v>46</v>
      </c>
      <c r="D133" t="s">
        <v>119</v>
      </c>
      <c r="E133" t="s">
        <v>47</v>
      </c>
      <c r="F133" t="s">
        <v>53</v>
      </c>
      <c r="G133" t="s">
        <v>26</v>
      </c>
      <c r="H133" t="str">
        <f t="shared" si="4"/>
        <v>adel</v>
      </c>
      <c r="I133" t="str" cm="1">
        <f t="array" ref="I133">_xlfn.SWITCH(A133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33" s="4">
        <f>IF(AND(B133=Werte!B133,LEFT(A133,5)=LEFT(Werte!A133,5)),Werte!C133,"not found")</f>
        <v>0.23529411764705899</v>
      </c>
      <c r="K133" s="4">
        <f>IF(AND(B133=Werte!B133,LEFT(A133,5)=LEFT(Werte!A133,5)),Werte!D133,"not found")</f>
        <v>2.9411764705882401E-2</v>
      </c>
      <c r="L133" s="4">
        <f>IF(AND(B133=Werte!B133,LEFT(A133,5)=LEFT(Werte!A133,5)),Werte!E133,"not found")</f>
        <v>0.30357142857142899</v>
      </c>
      <c r="M133" s="4">
        <f>IF(AND(B133=Werte!B133,LEFT(A133,5)=LEFT(Werte!A133,5)),Werte!F133,"not found")</f>
        <v>0.123165899889629</v>
      </c>
      <c r="N133" s="4" t="str">
        <f t="shared" si="5"/>
        <v>helfer</v>
      </c>
      <c r="O133" s="4" cm="1">
        <f t="array" ref="O133">_xlfn.SWITCH(A133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133" s="4" t="str">
        <f>IF(Nodes[[#This Row],[Bezeichnung2]] = "betrueger",1,"")</f>
        <v/>
      </c>
      <c r="Q133" s="4" t="str">
        <f>IF(Nodes[[#This Row],[Bezeichnung2]] = "betrogener",2,"")</f>
        <v/>
      </c>
      <c r="R133" s="4" t="str">
        <f>IF(Nodes[[#This Row],[Bezeichnung2]] = "liebender",3,"")</f>
        <v/>
      </c>
      <c r="S133" s="4" t="str">
        <f>IF(Nodes[[#This Row],[Bezeichnung2]] = "liebende",4,"")</f>
        <v/>
      </c>
      <c r="T133" s="4" t="str">
        <f>IF(Nodes[[#This Row],[Bezeichnung2]] = "gegenspieler",5,"")</f>
        <v/>
      </c>
    </row>
    <row r="134" spans="1:20" x14ac:dyDescent="0.3">
      <c r="A134" t="s">
        <v>163</v>
      </c>
      <c r="B134" t="s">
        <v>178</v>
      </c>
      <c r="C134" t="s">
        <v>18</v>
      </c>
      <c r="D134" t="s">
        <v>57</v>
      </c>
      <c r="E134" t="s">
        <v>47</v>
      </c>
      <c r="F134" t="s">
        <v>47</v>
      </c>
      <c r="G134" t="s">
        <v>26</v>
      </c>
      <c r="H134" t="str">
        <f t="shared" si="4"/>
        <v>adel</v>
      </c>
      <c r="I134" t="str" cm="1">
        <f t="array" ref="I134">_xlfn.SWITCH(A134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34" s="4">
        <f>IF(AND(B134=Werte!B134,LEFT(A134,5)=LEFT(Werte!A134,5)),Werte!C134,"not found")</f>
        <v>0.35294117647058798</v>
      </c>
      <c r="K134" s="4">
        <f>IF(AND(B134=Werte!B134,LEFT(A134,5)=LEFT(Werte!A134,5)),Werte!D134,"not found")</f>
        <v>2.9411764705882401E-2</v>
      </c>
      <c r="L134" s="4">
        <f>IF(AND(B134=Werte!B134,LEFT(A134,5)=LEFT(Werte!A134,5)),Werte!E134,"not found")</f>
        <v>0.30909090909090903</v>
      </c>
      <c r="M134" s="4">
        <f>IF(AND(B134=Werte!B134,LEFT(A134,5)=LEFT(Werte!A134,5)),Werte!F134,"not found")</f>
        <v>0.133250939538475</v>
      </c>
      <c r="N134" s="4" t="str">
        <f t="shared" si="5"/>
        <v>unbekannt</v>
      </c>
      <c r="O134" s="4" cm="1">
        <f t="array" ref="O134">_xlfn.SWITCH(A134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134" s="4" t="str">
        <f>IF(Nodes[[#This Row],[Bezeichnung2]] = "betrueger",1,"")</f>
        <v/>
      </c>
      <c r="Q134" s="4" t="str">
        <f>IF(Nodes[[#This Row],[Bezeichnung2]] = "betrogener",2,"")</f>
        <v/>
      </c>
      <c r="R134" s="4" t="str">
        <f>IF(Nodes[[#This Row],[Bezeichnung2]] = "liebender",3,"")</f>
        <v/>
      </c>
      <c r="S134" s="4" t="str">
        <f>IF(Nodes[[#This Row],[Bezeichnung2]] = "liebende",4,"")</f>
        <v/>
      </c>
      <c r="T134" s="4" t="str">
        <f>IF(Nodes[[#This Row],[Bezeichnung2]] = "gegenspieler",5,"")</f>
        <v/>
      </c>
    </row>
    <row r="135" spans="1:20" x14ac:dyDescent="0.3">
      <c r="A135" t="s">
        <v>163</v>
      </c>
      <c r="B135" t="s">
        <v>179</v>
      </c>
      <c r="C135" t="s">
        <v>18</v>
      </c>
      <c r="D135" t="s">
        <v>57</v>
      </c>
      <c r="E135" t="s">
        <v>47</v>
      </c>
      <c r="F135" t="s">
        <v>47</v>
      </c>
      <c r="G135" t="s">
        <v>26</v>
      </c>
      <c r="H135" t="str">
        <f t="shared" si="4"/>
        <v>adel</v>
      </c>
      <c r="I135" t="str" cm="1">
        <f t="array" ref="I135">_xlfn.SWITCH(A135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35" s="4">
        <f>IF(AND(B135=Werte!B135,LEFT(A135,5)=LEFT(Werte!A135,5)),Werte!C135,"not found")</f>
        <v>0.35294117647058798</v>
      </c>
      <c r="K135" s="4">
        <f>IF(AND(B135=Werte!B135,LEFT(A135,5)=LEFT(Werte!A135,5)),Werte!D135,"not found")</f>
        <v>2.9411764705882401E-2</v>
      </c>
      <c r="L135" s="4">
        <f>IF(AND(B135=Werte!B135,LEFT(A135,5)=LEFT(Werte!A135,5)),Werte!E135,"not found")</f>
        <v>0.30909090909090903</v>
      </c>
      <c r="M135" s="4">
        <f>IF(AND(B135=Werte!B135,LEFT(A135,5)=LEFT(Werte!A135,5)),Werte!F135,"not found")</f>
        <v>0.133250939538474</v>
      </c>
      <c r="N135" s="4" t="str">
        <f t="shared" si="5"/>
        <v>unbekannt</v>
      </c>
      <c r="O135" s="4" cm="1">
        <f t="array" ref="O135">_xlfn.SWITCH(A135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135" s="4" t="str">
        <f>IF(Nodes[[#This Row],[Bezeichnung2]] = "betrueger",1,"")</f>
        <v/>
      </c>
      <c r="Q135" s="4" t="str">
        <f>IF(Nodes[[#This Row],[Bezeichnung2]] = "betrogener",2,"")</f>
        <v/>
      </c>
      <c r="R135" s="4" t="str">
        <f>IF(Nodes[[#This Row],[Bezeichnung2]] = "liebender",3,"")</f>
        <v/>
      </c>
      <c r="S135" s="4" t="str">
        <f>IF(Nodes[[#This Row],[Bezeichnung2]] = "liebende",4,"")</f>
        <v/>
      </c>
      <c r="T135" s="4" t="str">
        <f>IF(Nodes[[#This Row],[Bezeichnung2]] = "gegenspieler",5,"")</f>
        <v/>
      </c>
    </row>
    <row r="136" spans="1:20" x14ac:dyDescent="0.3">
      <c r="A136" t="s">
        <v>163</v>
      </c>
      <c r="B136" t="s">
        <v>180</v>
      </c>
      <c r="C136" t="s">
        <v>18</v>
      </c>
      <c r="D136" t="s">
        <v>57</v>
      </c>
      <c r="E136" t="s">
        <v>47</v>
      </c>
      <c r="F136" t="s">
        <v>47</v>
      </c>
      <c r="G136" t="s">
        <v>26</v>
      </c>
      <c r="H136" t="str">
        <f t="shared" si="4"/>
        <v>adel</v>
      </c>
      <c r="I136" t="str" cm="1">
        <f t="array" ref="I136">_xlfn.SWITCH(A136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36" s="4">
        <f>IF(AND(B136=Werte!B136,LEFT(A136,5)=LEFT(Werte!A136,5)),Werte!C136,"not found")</f>
        <v>0.35294117647058798</v>
      </c>
      <c r="K136" s="4">
        <f>IF(AND(B136=Werte!B136,LEFT(A136,5)=LEFT(Werte!A136,5)),Werte!D136,"not found")</f>
        <v>8.2720588235294101E-2</v>
      </c>
      <c r="L136" s="4">
        <f>IF(AND(B136=Werte!B136,LEFT(A136,5)=LEFT(Werte!A136,5)),Werte!E136,"not found")</f>
        <v>0.29310344827586199</v>
      </c>
      <c r="M136" s="4">
        <f>IF(AND(B136=Werte!B136,LEFT(A136,5)=LEFT(Werte!A136,5)),Werte!F136,"not found")</f>
        <v>0.177551862296327</v>
      </c>
      <c r="N136" s="4" t="str">
        <f t="shared" si="5"/>
        <v>unbekannt</v>
      </c>
      <c r="O136" s="4" cm="1">
        <f t="array" ref="O136">_xlfn.SWITCH(A136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136" s="4" t="str">
        <f>IF(Nodes[[#This Row],[Bezeichnung2]] = "betrueger",1,"")</f>
        <v/>
      </c>
      <c r="Q136" s="4" t="str">
        <f>IF(Nodes[[#This Row],[Bezeichnung2]] = "betrogener",2,"")</f>
        <v/>
      </c>
      <c r="R136" s="4" t="str">
        <f>IF(Nodes[[#This Row],[Bezeichnung2]] = "liebender",3,"")</f>
        <v/>
      </c>
      <c r="S136" s="4" t="str">
        <f>IF(Nodes[[#This Row],[Bezeichnung2]] = "liebende",4,"")</f>
        <v/>
      </c>
      <c r="T136" s="4" t="str">
        <f>IF(Nodes[[#This Row],[Bezeichnung2]] = "gegenspieler",5,"")</f>
        <v/>
      </c>
    </row>
    <row r="137" spans="1:20" x14ac:dyDescent="0.3">
      <c r="A137" t="s">
        <v>163</v>
      </c>
      <c r="B137" t="s">
        <v>181</v>
      </c>
      <c r="C137" t="s">
        <v>18</v>
      </c>
      <c r="D137" t="s">
        <v>182</v>
      </c>
      <c r="E137" t="s">
        <v>47</v>
      </c>
      <c r="F137" t="s">
        <v>53</v>
      </c>
      <c r="G137" t="s">
        <v>26</v>
      </c>
      <c r="H137" t="str">
        <f t="shared" si="4"/>
        <v>adel</v>
      </c>
      <c r="I137" t="str" cm="1">
        <f t="array" ref="I137">_xlfn.SWITCH(A137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37" s="4">
        <f>IF(AND(B137=Werte!B137,LEFT(A137,5)=LEFT(Werte!A137,5)),Werte!C137,"not found")</f>
        <v>0.82352941176470595</v>
      </c>
      <c r="K137" s="4">
        <f>IF(AND(B137=Werte!B137,LEFT(A137,5)=LEFT(Werte!A137,5)),Werte!D137,"not found")</f>
        <v>0.13602941176470601</v>
      </c>
      <c r="L137" s="4">
        <f>IF(AND(B137=Werte!B137,LEFT(A137,5)=LEFT(Werte!A137,5)),Werte!E137,"not found")</f>
        <v>0.28333333333333299</v>
      </c>
      <c r="M137" s="4">
        <f>IF(AND(B137=Werte!B137,LEFT(A137,5)=LEFT(Werte!A137,5)),Werte!F137,"not found")</f>
        <v>0.714217760870416</v>
      </c>
      <c r="N137" s="4" t="str">
        <f t="shared" si="5"/>
        <v>helfer</v>
      </c>
      <c r="O137" s="4" cm="1">
        <f t="array" ref="O137">_xlfn.SWITCH(A137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137" s="4" t="str">
        <f>IF(Nodes[[#This Row],[Bezeichnung2]] = "betrueger",1,"")</f>
        <v/>
      </c>
      <c r="Q137" s="4" t="str">
        <f>IF(Nodes[[#This Row],[Bezeichnung2]] = "betrogener",2,"")</f>
        <v/>
      </c>
      <c r="R137" s="4" t="str">
        <f>IF(Nodes[[#This Row],[Bezeichnung2]] = "liebender",3,"")</f>
        <v/>
      </c>
      <c r="S137" s="4" t="str">
        <f>IF(Nodes[[#This Row],[Bezeichnung2]] = "liebende",4,"")</f>
        <v/>
      </c>
      <c r="T137" s="4" t="str">
        <f>IF(Nodes[[#This Row],[Bezeichnung2]] = "gegenspieler",5,"")</f>
        <v/>
      </c>
    </row>
    <row r="138" spans="1:20" x14ac:dyDescent="0.3">
      <c r="A138" t="s">
        <v>163</v>
      </c>
      <c r="B138" t="s">
        <v>183</v>
      </c>
      <c r="C138" t="s">
        <v>18</v>
      </c>
      <c r="D138" t="s">
        <v>119</v>
      </c>
      <c r="E138" t="s">
        <v>47</v>
      </c>
      <c r="F138" t="s">
        <v>47</v>
      </c>
      <c r="G138" t="s">
        <v>26</v>
      </c>
      <c r="H138" t="str">
        <f t="shared" si="4"/>
        <v>adel</v>
      </c>
      <c r="I138" t="str" cm="1">
        <f t="array" ref="I138">_xlfn.SWITCH(A138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38" s="4">
        <f>IF(AND(B138=Werte!B138,LEFT(A138,5)=LEFT(Werte!A138,5)),Werte!C138,"not found")</f>
        <v>0.11764705882352899</v>
      </c>
      <c r="K138" s="4">
        <f>IF(AND(B138=Werte!B138,LEFT(A138,5)=LEFT(Werte!A138,5)),Werte!D138,"not found")</f>
        <v>0</v>
      </c>
      <c r="L138" s="4">
        <f>IF(AND(B138=Werte!B138,LEFT(A138,5)=LEFT(Werte!A138,5)),Werte!E138,"not found")</f>
        <v>0.22666666666666699</v>
      </c>
      <c r="M138" s="4">
        <f>IF(AND(B138=Werte!B138,LEFT(A138,5)=LEFT(Werte!A138,5)),Werte!F138,"not found")</f>
        <v>5.4055261908362101E-2</v>
      </c>
      <c r="N138" s="4" t="str">
        <f t="shared" si="5"/>
        <v>unbekannt</v>
      </c>
      <c r="O138" s="4" cm="1">
        <f t="array" ref="O138">_xlfn.SWITCH(A138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138" s="4" t="str">
        <f>IF(Nodes[[#This Row],[Bezeichnung2]] = "betrueger",1,"")</f>
        <v/>
      </c>
      <c r="Q138" s="4" t="str">
        <f>IF(Nodes[[#This Row],[Bezeichnung2]] = "betrogener",2,"")</f>
        <v/>
      </c>
      <c r="R138" s="4" t="str">
        <f>IF(Nodes[[#This Row],[Bezeichnung2]] = "liebender",3,"")</f>
        <v/>
      </c>
      <c r="S138" s="4" t="str">
        <f>IF(Nodes[[#This Row],[Bezeichnung2]] = "liebende",4,"")</f>
        <v/>
      </c>
      <c r="T138" s="4" t="str">
        <f>IF(Nodes[[#This Row],[Bezeichnung2]] = "gegenspieler",5,"")</f>
        <v/>
      </c>
    </row>
    <row r="139" spans="1:20" ht="9" customHeight="1" x14ac:dyDescent="0.3">
      <c r="A139" t="s">
        <v>163</v>
      </c>
      <c r="B139" t="s">
        <v>184</v>
      </c>
      <c r="C139" t="s">
        <v>18</v>
      </c>
      <c r="D139" t="s">
        <v>57</v>
      </c>
      <c r="E139" t="s">
        <v>47</v>
      </c>
      <c r="F139" t="s">
        <v>47</v>
      </c>
      <c r="G139" t="s">
        <v>26</v>
      </c>
      <c r="H139" t="str">
        <f t="shared" si="4"/>
        <v>adel</v>
      </c>
      <c r="I139" t="str" cm="1">
        <f t="array" ref="I139">_xlfn.SWITCH(A139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39" s="4">
        <f>IF(AND(B139=Werte!B139,LEFT(A139,5)=LEFT(Werte!A139,5)),Werte!C139,"not found")</f>
        <v>0.35294117647058798</v>
      </c>
      <c r="K139" s="4">
        <f>IF(AND(B139=Werte!B139,LEFT(A139,5)=LEFT(Werte!A139,5)),Werte!D139,"not found")</f>
        <v>6.0661764705882401E-2</v>
      </c>
      <c r="L139" s="4">
        <f>IF(AND(B139=Werte!B139,LEFT(A139,5)=LEFT(Werte!A139,5)),Werte!E139,"not found")</f>
        <v>0.29824561403508798</v>
      </c>
      <c r="M139" s="4">
        <f>IF(AND(B139=Werte!B139,LEFT(A139,5)=LEFT(Werte!A139,5)),Werte!F139,"not found")</f>
        <v>0.28077826212933499</v>
      </c>
      <c r="N139" s="4" t="str">
        <f t="shared" si="5"/>
        <v>unbekannt</v>
      </c>
      <c r="O139" s="4" cm="1">
        <f t="array" ref="O139">_xlfn.SWITCH(A139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139" s="4" t="str">
        <f>IF(Nodes[[#This Row],[Bezeichnung2]] = "betrueger",1,"")</f>
        <v/>
      </c>
      <c r="Q139" s="4" t="str">
        <f>IF(Nodes[[#This Row],[Bezeichnung2]] = "betrogener",2,"")</f>
        <v/>
      </c>
      <c r="R139" s="4" t="str">
        <f>IF(Nodes[[#This Row],[Bezeichnung2]] = "liebender",3,"")</f>
        <v/>
      </c>
      <c r="S139" s="4" t="str">
        <f>IF(Nodes[[#This Row],[Bezeichnung2]] = "liebende",4,"")</f>
        <v/>
      </c>
      <c r="T139" s="4" t="str">
        <f>IF(Nodes[[#This Row],[Bezeichnung2]] = "gegenspieler",5,"")</f>
        <v/>
      </c>
    </row>
    <row r="140" spans="1:20" x14ac:dyDescent="0.3">
      <c r="A140" t="s">
        <v>186</v>
      </c>
      <c r="B140" t="s">
        <v>187</v>
      </c>
      <c r="C140" t="s">
        <v>19</v>
      </c>
      <c r="D140" t="s">
        <v>19</v>
      </c>
      <c r="E140" t="s">
        <v>19</v>
      </c>
      <c r="F140" t="s">
        <v>19</v>
      </c>
      <c r="G140" t="s">
        <v>26</v>
      </c>
      <c r="H140" t="str">
        <f t="shared" si="4"/>
        <v>NA</v>
      </c>
      <c r="I140" t="str" cm="1">
        <f t="array" ref="I140">_xlfn.SWITCH(A140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40" s="4">
        <f>IF(AND(B140=Werte!B140,LEFT(A140,5)=LEFT(Werte!A140,5)),Werte!C140,"not found")</f>
        <v>0.30769230769230799</v>
      </c>
      <c r="K140" s="4">
        <f>IF(AND(B140=Werte!B140,LEFT(A140,5)=LEFT(Werte!A140,5)),Werte!D140,"not found")</f>
        <v>1.2820512820512799E-2</v>
      </c>
      <c r="L140" s="4">
        <f>IF(AND(B140=Werte!B140,LEFT(A140,5)=LEFT(Werte!A140,5)),Werte!E140,"not found")</f>
        <v>0.30232558139534899</v>
      </c>
      <c r="M140" s="4">
        <f>IF(AND(B140=Werte!B140,LEFT(A140,5)=LEFT(Werte!A140,5)),Werte!F140,"not found")</f>
        <v>3.3950300679227503E-2</v>
      </c>
      <c r="N140" s="4" t="str">
        <f t="shared" si="5"/>
        <v>NA</v>
      </c>
      <c r="O140" s="4" cm="1">
        <f t="array" ref="O140">_xlfn.SWITCH(A140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40" s="4" t="str">
        <f>IF(Nodes[[#This Row],[Bezeichnung2]] = "betrueger",1,"")</f>
        <v/>
      </c>
      <c r="Q140" s="4" t="str">
        <f>IF(Nodes[[#This Row],[Bezeichnung2]] = "betrogener",2,"")</f>
        <v/>
      </c>
      <c r="R140" s="4" t="str">
        <f>IF(Nodes[[#This Row],[Bezeichnung2]] = "liebender",3,"")</f>
        <v/>
      </c>
      <c r="S140" s="4" t="str">
        <f>IF(Nodes[[#This Row],[Bezeichnung2]] = "liebende",4,"")</f>
        <v/>
      </c>
      <c r="T140" s="4" t="str">
        <f>IF(Nodes[[#This Row],[Bezeichnung2]] = "gegenspieler",5,"")</f>
        <v/>
      </c>
    </row>
    <row r="141" spans="1:20" x14ac:dyDescent="0.3">
      <c r="A141" t="s">
        <v>186</v>
      </c>
      <c r="B141" t="s">
        <v>188</v>
      </c>
      <c r="C141" t="s">
        <v>18</v>
      </c>
      <c r="D141" t="s">
        <v>57</v>
      </c>
      <c r="E141" t="s">
        <v>47</v>
      </c>
      <c r="F141" t="s">
        <v>50</v>
      </c>
      <c r="G141" t="s">
        <v>22</v>
      </c>
      <c r="H141" t="str">
        <f t="shared" si="4"/>
        <v>adel</v>
      </c>
      <c r="I141" t="str" cm="1">
        <f t="array" ref="I141">_xlfn.SWITCH(A141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41" s="4">
        <f>IF(AND(B141=Werte!B141,LEFT(A141,5)=LEFT(Werte!A141,5)),Werte!C141,"not found")</f>
        <v>0.92307692307692302</v>
      </c>
      <c r="K141" s="4">
        <f>IF(AND(B141=Werte!B141,LEFT(A141,5)=LEFT(Werte!A141,5)),Werte!D141,"not found")</f>
        <v>8.4401709401709393E-2</v>
      </c>
      <c r="L141" s="4">
        <f>IF(AND(B141=Werte!B141,LEFT(A141,5)=LEFT(Werte!A141,5)),Werte!E141,"not found")</f>
        <v>0.32500000000000001</v>
      </c>
      <c r="M141" s="4">
        <f>IF(AND(B141=Werte!B141,LEFT(A141,5)=LEFT(Werte!A141,5)),Werte!F141,"not found")</f>
        <v>0.82855883634683103</v>
      </c>
      <c r="N141" s="4" t="str">
        <f t="shared" si="5"/>
        <v>betrogener</v>
      </c>
      <c r="O141" s="4" cm="1">
        <f t="array" ref="O141">_xlfn.SWITCH(A141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41" s="4" t="str">
        <f>IF(Nodes[[#This Row],[Bezeichnung2]] = "betrueger",1,"")</f>
        <v/>
      </c>
      <c r="Q141" s="4">
        <f>IF(Nodes[[#This Row],[Bezeichnung2]] = "betrogener",2,"")</f>
        <v>2</v>
      </c>
      <c r="R141" s="4" t="str">
        <f>IF(Nodes[[#This Row],[Bezeichnung2]] = "liebender",3,"")</f>
        <v/>
      </c>
      <c r="S141" s="4" t="str">
        <f>IF(Nodes[[#This Row],[Bezeichnung2]] = "liebende",4,"")</f>
        <v/>
      </c>
      <c r="T141" s="4" t="str">
        <f>IF(Nodes[[#This Row],[Bezeichnung2]] = "gegenspieler",5,"")</f>
        <v/>
      </c>
    </row>
    <row r="142" spans="1:20" x14ac:dyDescent="0.3">
      <c r="A142" t="s">
        <v>186</v>
      </c>
      <c r="B142" t="s">
        <v>189</v>
      </c>
      <c r="C142" t="s">
        <v>24</v>
      </c>
      <c r="D142" t="s">
        <v>86</v>
      </c>
      <c r="E142" t="s">
        <v>20</v>
      </c>
      <c r="F142" t="s">
        <v>55</v>
      </c>
      <c r="G142" t="s">
        <v>22</v>
      </c>
      <c r="H142" t="str">
        <f t="shared" si="4"/>
        <v>adel</v>
      </c>
      <c r="I142" t="str" cm="1">
        <f t="array" ref="I142">_xlfn.SWITCH(A142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42" s="4">
        <f>IF(AND(B142=Werte!B142,LEFT(A142,5)=LEFT(Werte!A142,5)),Werte!C142,"not found")</f>
        <v>1.84615384615385</v>
      </c>
      <c r="K142" s="4">
        <f>IF(AND(B142=Werte!B142,LEFT(A142,5)=LEFT(Werte!A142,5)),Werte!D142,"not found")</f>
        <v>0.67841880341880301</v>
      </c>
      <c r="L142" s="4">
        <f>IF(AND(B142=Werte!B142,LEFT(A142,5)=LEFT(Werte!A142,5)),Werte!E142,"not found")</f>
        <v>0.54166666666666696</v>
      </c>
      <c r="M142" s="4">
        <f>IF(AND(B142=Werte!B142,LEFT(A142,5)=LEFT(Werte!A142,5)),Werte!F142,"not found")</f>
        <v>1</v>
      </c>
      <c r="N142" s="4" t="str">
        <f t="shared" si="5"/>
        <v>betrueger</v>
      </c>
      <c r="O142" s="4" cm="1">
        <f t="array" ref="O142">_xlfn.SWITCH(A142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42" s="4">
        <f>IF(Nodes[[#This Row],[Bezeichnung2]] = "betrueger",1,"")</f>
        <v>1</v>
      </c>
      <c r="Q142" s="4" t="str">
        <f>IF(Nodes[[#This Row],[Bezeichnung2]] = "betrogener",2,"")</f>
        <v/>
      </c>
      <c r="R142" s="4" t="str">
        <f>IF(Nodes[[#This Row],[Bezeichnung2]] = "liebender",3,"")</f>
        <v/>
      </c>
      <c r="S142" s="4" t="str">
        <f>IF(Nodes[[#This Row],[Bezeichnung2]] = "liebende",4,"")</f>
        <v/>
      </c>
      <c r="T142" s="4" t="str">
        <f>IF(Nodes[[#This Row],[Bezeichnung2]] = "gegenspieler",5,"")</f>
        <v/>
      </c>
    </row>
    <row r="143" spans="1:20" x14ac:dyDescent="0.3">
      <c r="A143" t="s">
        <v>186</v>
      </c>
      <c r="B143" t="s">
        <v>56</v>
      </c>
      <c r="C143" t="s">
        <v>18</v>
      </c>
      <c r="D143" t="s">
        <v>57</v>
      </c>
      <c r="E143" t="s">
        <v>47</v>
      </c>
      <c r="F143" t="s">
        <v>87</v>
      </c>
      <c r="G143" t="s">
        <v>26</v>
      </c>
      <c r="H143" t="str">
        <f t="shared" si="4"/>
        <v>adel</v>
      </c>
      <c r="I143" t="str" cm="1">
        <f t="array" ref="I143">_xlfn.SWITCH(A143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43" s="4">
        <f>IF(AND(B143=Werte!B143,LEFT(A143,5)=LEFT(Werte!A143,5)),Werte!C143,"not found")</f>
        <v>0.61538461538461497</v>
      </c>
      <c r="K143" s="4">
        <f>IF(AND(B143=Werte!B143,LEFT(A143,5)=LEFT(Werte!A143,5)),Werte!D143,"not found")</f>
        <v>0.112179487179487</v>
      </c>
      <c r="L143" s="4">
        <f>IF(AND(B143=Werte!B143,LEFT(A143,5)=LEFT(Werte!A143,5)),Werte!E143,"not found")</f>
        <v>0.371428571428571</v>
      </c>
      <c r="M143" s="4">
        <f>IF(AND(B143=Werte!B143,LEFT(A143,5)=LEFT(Werte!A143,5)),Werte!F143,"not found")</f>
        <v>0.48756903861689899</v>
      </c>
      <c r="N143" s="4" t="str">
        <f t="shared" si="5"/>
        <v>gegenspieler</v>
      </c>
      <c r="O143" s="4" cm="1">
        <f t="array" ref="O143">_xlfn.SWITCH(A143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43" s="4" t="str">
        <f>IF(Nodes[[#This Row],[Bezeichnung2]] = "betrueger",1,"")</f>
        <v/>
      </c>
      <c r="Q143" s="4" t="str">
        <f>IF(Nodes[[#This Row],[Bezeichnung2]] = "betrogener",2,"")</f>
        <v/>
      </c>
      <c r="R143" s="4" t="str">
        <f>IF(Nodes[[#This Row],[Bezeichnung2]] = "liebender",3,"")</f>
        <v/>
      </c>
      <c r="S143" s="4" t="str">
        <f>IF(Nodes[[#This Row],[Bezeichnung2]] = "liebende",4,"")</f>
        <v/>
      </c>
      <c r="T143" s="4">
        <f>IF(Nodes[[#This Row],[Bezeichnung2]] = "gegenspieler",5,"")</f>
        <v>5</v>
      </c>
    </row>
    <row r="144" spans="1:20" x14ac:dyDescent="0.3">
      <c r="A144" t="s">
        <v>186</v>
      </c>
      <c r="B144" t="s">
        <v>107</v>
      </c>
      <c r="C144" t="s">
        <v>24</v>
      </c>
      <c r="D144" t="s">
        <v>86</v>
      </c>
      <c r="E144" t="s">
        <v>20</v>
      </c>
      <c r="F144" t="s">
        <v>47</v>
      </c>
      <c r="G144" t="s">
        <v>26</v>
      </c>
      <c r="H144" t="str">
        <f t="shared" si="4"/>
        <v>adel</v>
      </c>
      <c r="I144" t="str" cm="1">
        <f t="array" ref="I144">_xlfn.SWITCH(A144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44" s="4">
        <f>IF(AND(B144=Werte!B144,LEFT(A144,5)=LEFT(Werte!A144,5)),Werte!C144,"not found")</f>
        <v>0.30769230769230799</v>
      </c>
      <c r="K144" s="4">
        <f>IF(AND(B144=Werte!B144,LEFT(A144,5)=LEFT(Werte!A144,5)),Werte!D144,"not found")</f>
        <v>0.17521367521367501</v>
      </c>
      <c r="L144" s="4">
        <f>IF(AND(B144=Werte!B144,LEFT(A144,5)=LEFT(Werte!A144,5)),Werte!E144,"not found")</f>
        <v>0.41935483870967699</v>
      </c>
      <c r="M144" s="4">
        <f>IF(AND(B144=Werte!B144,LEFT(A144,5)=LEFT(Werte!A144,5)),Werte!F144,"not found")</f>
        <v>5.1076691492626503E-2</v>
      </c>
      <c r="N144" s="4" t="str">
        <f t="shared" si="5"/>
        <v>unbekannt</v>
      </c>
      <c r="O144" s="4" cm="1">
        <f t="array" ref="O144">_xlfn.SWITCH(A144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44" s="4" t="str">
        <f>IF(Nodes[[#This Row],[Bezeichnung2]] = "betrueger",1,"")</f>
        <v/>
      </c>
      <c r="Q144" s="4" t="str">
        <f>IF(Nodes[[#This Row],[Bezeichnung2]] = "betrogener",2,"")</f>
        <v/>
      </c>
      <c r="R144" s="4" t="str">
        <f>IF(Nodes[[#This Row],[Bezeichnung2]] = "liebender",3,"")</f>
        <v/>
      </c>
      <c r="S144" s="4" t="str">
        <f>IF(Nodes[[#This Row],[Bezeichnung2]] = "liebende",4,"")</f>
        <v/>
      </c>
      <c r="T144" s="4" t="str">
        <f>IF(Nodes[[#This Row],[Bezeichnung2]] = "gegenspieler",5,"")</f>
        <v/>
      </c>
    </row>
    <row r="145" spans="1:20" x14ac:dyDescent="0.3">
      <c r="A145" t="s">
        <v>186</v>
      </c>
      <c r="B145" t="s">
        <v>190</v>
      </c>
      <c r="C145" t="s">
        <v>24</v>
      </c>
      <c r="D145" t="s">
        <v>191</v>
      </c>
      <c r="E145" t="s">
        <v>47</v>
      </c>
      <c r="F145" t="s">
        <v>47</v>
      </c>
      <c r="G145" t="s">
        <v>26</v>
      </c>
      <c r="H145" t="str">
        <f t="shared" si="4"/>
        <v>adel</v>
      </c>
      <c r="I145" t="str" cm="1">
        <f t="array" ref="I145">_xlfn.SWITCH(A145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45" s="4">
        <f>IF(AND(B145=Werte!B145,LEFT(A145,5)=LEFT(Werte!A145,5)),Werte!C145,"not found")</f>
        <v>0.15384615384615399</v>
      </c>
      <c r="K145" s="4">
        <f>IF(AND(B145=Werte!B145,LEFT(A145,5)=LEFT(Werte!A145,5)),Werte!D145,"not found")</f>
        <v>0</v>
      </c>
      <c r="L145" s="4">
        <f>IF(AND(B145=Werte!B145,LEFT(A145,5)=LEFT(Werte!A145,5)),Werte!E145,"not found")</f>
        <v>0.36111111111111099</v>
      </c>
      <c r="M145" s="4">
        <f>IF(AND(B145=Werte!B145,LEFT(A145,5)=LEFT(Werte!A145,5)),Werte!F145,"not found")</f>
        <v>3.4335677986492799E-2</v>
      </c>
      <c r="N145" s="4" t="str">
        <f t="shared" si="5"/>
        <v>unbekannt</v>
      </c>
      <c r="O145" s="4" cm="1">
        <f t="array" ref="O145">_xlfn.SWITCH(A145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45" s="4" t="str">
        <f>IF(Nodes[[#This Row],[Bezeichnung2]] = "betrueger",1,"")</f>
        <v/>
      </c>
      <c r="Q145" s="4" t="str">
        <f>IF(Nodes[[#This Row],[Bezeichnung2]] = "betrogener",2,"")</f>
        <v/>
      </c>
      <c r="R145" s="4" t="str">
        <f>IF(Nodes[[#This Row],[Bezeichnung2]] = "liebender",3,"")</f>
        <v/>
      </c>
      <c r="S145" s="4" t="str">
        <f>IF(Nodes[[#This Row],[Bezeichnung2]] = "liebende",4,"")</f>
        <v/>
      </c>
      <c r="T145" s="4" t="str">
        <f>IF(Nodes[[#This Row],[Bezeichnung2]] = "gegenspieler",5,"")</f>
        <v/>
      </c>
    </row>
    <row r="146" spans="1:20" x14ac:dyDescent="0.3">
      <c r="A146" t="s">
        <v>186</v>
      </c>
      <c r="B146" t="s">
        <v>192</v>
      </c>
      <c r="C146" t="s">
        <v>18</v>
      </c>
      <c r="D146" t="s">
        <v>119</v>
      </c>
      <c r="E146" t="s">
        <v>47</v>
      </c>
      <c r="F146" t="s">
        <v>53</v>
      </c>
      <c r="G146" t="s">
        <v>26</v>
      </c>
      <c r="H146" t="str">
        <f t="shared" si="4"/>
        <v>adel</v>
      </c>
      <c r="I146" t="str" cm="1">
        <f t="array" ref="I146">_xlfn.SWITCH(A146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46" s="4">
        <f>IF(AND(B146=Werte!B146,LEFT(A146,5)=LEFT(Werte!A146,5)),Werte!C146,"not found")</f>
        <v>0.61538461538461497</v>
      </c>
      <c r="K146" s="4">
        <f>IF(AND(B146=Werte!B146,LEFT(A146,5)=LEFT(Werte!A146,5)),Werte!D146,"not found")</f>
        <v>8.9743589743589702E-2</v>
      </c>
      <c r="L146" s="4">
        <f>IF(AND(B146=Werte!B146,LEFT(A146,5)=LEFT(Werte!A146,5)),Werte!E146,"not found")</f>
        <v>0.34210526315789502</v>
      </c>
      <c r="M146" s="4">
        <f>IF(AND(B146=Werte!B146,LEFT(A146,5)=LEFT(Werte!A146,5)),Werte!F146,"not found")</f>
        <v>0.16021734837225601</v>
      </c>
      <c r="N146" s="4" t="str">
        <f t="shared" si="5"/>
        <v>helfer</v>
      </c>
      <c r="O146" s="4" cm="1">
        <f t="array" ref="O146">_xlfn.SWITCH(A146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46" s="4" t="str">
        <f>IF(Nodes[[#This Row],[Bezeichnung2]] = "betrueger",1,"")</f>
        <v/>
      </c>
      <c r="Q146" s="4" t="str">
        <f>IF(Nodes[[#This Row],[Bezeichnung2]] = "betrogener",2,"")</f>
        <v/>
      </c>
      <c r="R146" s="4" t="str">
        <f>IF(Nodes[[#This Row],[Bezeichnung2]] = "liebender",3,"")</f>
        <v/>
      </c>
      <c r="S146" s="4" t="str">
        <f>IF(Nodes[[#This Row],[Bezeichnung2]] = "liebende",4,"")</f>
        <v/>
      </c>
      <c r="T146" s="4" t="str">
        <f>IF(Nodes[[#This Row],[Bezeichnung2]] = "gegenspieler",5,"")</f>
        <v/>
      </c>
    </row>
    <row r="147" spans="1:20" x14ac:dyDescent="0.3">
      <c r="A147" t="s">
        <v>186</v>
      </c>
      <c r="B147" t="s">
        <v>193</v>
      </c>
      <c r="C147" t="s">
        <v>46</v>
      </c>
      <c r="D147" t="s">
        <v>119</v>
      </c>
      <c r="E147" t="s">
        <v>47</v>
      </c>
      <c r="F147" t="s">
        <v>47</v>
      </c>
      <c r="G147" t="s">
        <v>26</v>
      </c>
      <c r="H147" t="str">
        <f t="shared" si="4"/>
        <v>adel</v>
      </c>
      <c r="I147" t="str" cm="1">
        <f t="array" ref="I147">_xlfn.SWITCH(A147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47" s="4">
        <f>IF(AND(B147=Werte!B147,LEFT(A147,5)=LEFT(Werte!A147,5)),Werte!C147,"not found")</f>
        <v>0.30769230769230799</v>
      </c>
      <c r="K147" s="4">
        <f>IF(AND(B147=Werte!B147,LEFT(A147,5)=LEFT(Werte!A147,5)),Werte!D147,"not found")</f>
        <v>0</v>
      </c>
      <c r="L147" s="4">
        <f>IF(AND(B147=Werte!B147,LEFT(A147,5)=LEFT(Werte!A147,5)),Werte!E147,"not found")</f>
        <v>0.282608695652174</v>
      </c>
      <c r="M147" s="4">
        <f>IF(AND(B147=Werte!B147,LEFT(A147,5)=LEFT(Werte!A147,5)),Werte!F147,"not found")</f>
        <v>7.8565988690701902E-2</v>
      </c>
      <c r="N147" s="4" t="str">
        <f t="shared" si="5"/>
        <v>unbekannt</v>
      </c>
      <c r="O147" s="4" cm="1">
        <f t="array" ref="O147">_xlfn.SWITCH(A147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47" s="4" t="str">
        <f>IF(Nodes[[#This Row],[Bezeichnung2]] = "betrueger",1,"")</f>
        <v/>
      </c>
      <c r="Q147" s="4" t="str">
        <f>IF(Nodes[[#This Row],[Bezeichnung2]] = "betrogener",2,"")</f>
        <v/>
      </c>
      <c r="R147" s="4" t="str">
        <f>IF(Nodes[[#This Row],[Bezeichnung2]] = "liebender",3,"")</f>
        <v/>
      </c>
      <c r="S147" s="4" t="str">
        <f>IF(Nodes[[#This Row],[Bezeichnung2]] = "liebende",4,"")</f>
        <v/>
      </c>
      <c r="T147" s="4" t="str">
        <f>IF(Nodes[[#This Row],[Bezeichnung2]] = "gegenspieler",5,"")</f>
        <v/>
      </c>
    </row>
    <row r="148" spans="1:20" x14ac:dyDescent="0.3">
      <c r="A148" t="s">
        <v>186</v>
      </c>
      <c r="B148" t="s">
        <v>100</v>
      </c>
      <c r="C148" t="s">
        <v>18</v>
      </c>
      <c r="D148" t="s">
        <v>101</v>
      </c>
      <c r="E148" t="s">
        <v>47</v>
      </c>
      <c r="F148" t="s">
        <v>53</v>
      </c>
      <c r="G148" t="s">
        <v>26</v>
      </c>
      <c r="H148" t="str">
        <f t="shared" si="4"/>
        <v>buergerlich</v>
      </c>
      <c r="I148" t="str" cm="1">
        <f t="array" ref="I148">_xlfn.SWITCH(A148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48" s="4">
        <f>IF(AND(B148=Werte!B148,LEFT(A148,5)=LEFT(Werte!A148,5)),Werte!C148,"not found")</f>
        <v>0.46153846153846201</v>
      </c>
      <c r="K148" s="4">
        <f>IF(AND(B148=Werte!B148,LEFT(A148,5)=LEFT(Werte!A148,5)),Werte!D148,"not found")</f>
        <v>6.41025641025641E-3</v>
      </c>
      <c r="L148" s="4">
        <f>IF(AND(B148=Werte!B148,LEFT(A148,5)=LEFT(Werte!A148,5)),Werte!E148,"not found")</f>
        <v>0.29545454545454503</v>
      </c>
      <c r="M148" s="4">
        <f>IF(AND(B148=Werte!B148,LEFT(A148,5)=LEFT(Werte!A148,5)),Werte!F148,"not found")</f>
        <v>0.144086753166907</v>
      </c>
      <c r="N148" s="4" t="str">
        <f t="shared" si="5"/>
        <v>helfer</v>
      </c>
      <c r="O148" s="4" cm="1">
        <f t="array" ref="O148">_xlfn.SWITCH(A148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48" s="4" t="str">
        <f>IF(Nodes[[#This Row],[Bezeichnung2]] = "betrueger",1,"")</f>
        <v/>
      </c>
      <c r="Q148" s="4" t="str">
        <f>IF(Nodes[[#This Row],[Bezeichnung2]] = "betrogener",2,"")</f>
        <v/>
      </c>
      <c r="R148" s="4" t="str">
        <f>IF(Nodes[[#This Row],[Bezeichnung2]] = "liebender",3,"")</f>
        <v/>
      </c>
      <c r="S148" s="4" t="str">
        <f>IF(Nodes[[#This Row],[Bezeichnung2]] = "liebende",4,"")</f>
        <v/>
      </c>
      <c r="T148" s="4" t="str">
        <f>IF(Nodes[[#This Row],[Bezeichnung2]] = "gegenspieler",5,"")</f>
        <v/>
      </c>
    </row>
    <row r="149" spans="1:20" x14ac:dyDescent="0.3">
      <c r="A149" t="s">
        <v>186</v>
      </c>
      <c r="B149" t="s">
        <v>194</v>
      </c>
      <c r="C149" t="s">
        <v>46</v>
      </c>
      <c r="D149" t="s">
        <v>119</v>
      </c>
      <c r="E149" t="s">
        <v>47</v>
      </c>
      <c r="F149" t="s">
        <v>47</v>
      </c>
      <c r="G149" t="s">
        <v>26</v>
      </c>
      <c r="H149" t="str">
        <f t="shared" si="4"/>
        <v>adel</v>
      </c>
      <c r="I149" t="str" cm="1">
        <f t="array" ref="I149">_xlfn.SWITCH(A149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49" s="4">
        <f>IF(AND(B149=Werte!B149,LEFT(A149,5)=LEFT(Werte!A149,5)),Werte!C149,"not found")</f>
        <v>0.30769230769230799</v>
      </c>
      <c r="K149" s="4">
        <f>IF(AND(B149=Werte!B149,LEFT(A149,5)=LEFT(Werte!A149,5)),Werte!D149,"not found")</f>
        <v>0.141025641025641</v>
      </c>
      <c r="L149" s="4">
        <f>IF(AND(B149=Werte!B149,LEFT(A149,5)=LEFT(Werte!A149,5)),Werte!E149,"not found")</f>
        <v>0.38235294117647101</v>
      </c>
      <c r="M149" s="4">
        <f>IF(AND(B149=Werte!B149,LEFT(A149,5)=LEFT(Werte!A149,5)),Werte!F149,"not found")</f>
        <v>3.9282994345350999E-2</v>
      </c>
      <c r="N149" s="4" t="str">
        <f t="shared" si="5"/>
        <v>unbekannt</v>
      </c>
      <c r="O149" s="4" cm="1">
        <f t="array" ref="O149">_xlfn.SWITCH(A149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49" s="4" t="str">
        <f>IF(Nodes[[#This Row],[Bezeichnung2]] = "betrueger",1,"")</f>
        <v/>
      </c>
      <c r="Q149" s="4" t="str">
        <f>IF(Nodes[[#This Row],[Bezeichnung2]] = "betrogener",2,"")</f>
        <v/>
      </c>
      <c r="R149" s="4" t="str">
        <f>IF(Nodes[[#This Row],[Bezeichnung2]] = "liebender",3,"")</f>
        <v/>
      </c>
      <c r="S149" s="4" t="str">
        <f>IF(Nodes[[#This Row],[Bezeichnung2]] = "liebende",4,"")</f>
        <v/>
      </c>
      <c r="T149" s="4" t="str">
        <f>IF(Nodes[[#This Row],[Bezeichnung2]] = "gegenspieler",5,"")</f>
        <v/>
      </c>
    </row>
    <row r="150" spans="1:20" x14ac:dyDescent="0.3">
      <c r="A150" t="s">
        <v>186</v>
      </c>
      <c r="B150" t="s">
        <v>195</v>
      </c>
      <c r="C150" t="s">
        <v>18</v>
      </c>
      <c r="D150" t="s">
        <v>182</v>
      </c>
      <c r="E150" t="s">
        <v>47</v>
      </c>
      <c r="F150" t="s">
        <v>47</v>
      </c>
      <c r="G150" t="s">
        <v>26</v>
      </c>
      <c r="H150" t="str">
        <f t="shared" si="4"/>
        <v>adel</v>
      </c>
      <c r="I150" t="str" cm="1">
        <f t="array" ref="I150">_xlfn.SWITCH(A150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50" s="4">
        <f>IF(AND(B150=Werte!B150,LEFT(A150,5)=LEFT(Werte!A150,5)),Werte!C150,"not found")</f>
        <v>0.76923076923076905</v>
      </c>
      <c r="K150" s="4">
        <f>IF(AND(B150=Werte!B150,LEFT(A150,5)=LEFT(Werte!A150,5)),Werte!D150,"not found")</f>
        <v>9.4017094017094002E-2</v>
      </c>
      <c r="L150" s="4">
        <f>IF(AND(B150=Werte!B150,LEFT(A150,5)=LEFT(Werte!A150,5)),Werte!E150,"not found")</f>
        <v>0.35135135135135098</v>
      </c>
      <c r="M150" s="4">
        <f>IF(AND(B150=Werte!B150,LEFT(A150,5)=LEFT(Werte!A150,5)),Werte!F150,"not found")</f>
        <v>0.48929475817026402</v>
      </c>
      <c r="N150" s="4" t="str">
        <f t="shared" si="5"/>
        <v>unbekannt</v>
      </c>
      <c r="O150" s="4" cm="1">
        <f t="array" ref="O150">_xlfn.SWITCH(A150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50" s="4" t="str">
        <f>IF(Nodes[[#This Row],[Bezeichnung2]] = "betrueger",1,"")</f>
        <v/>
      </c>
      <c r="Q150" s="4" t="str">
        <f>IF(Nodes[[#This Row],[Bezeichnung2]] = "betrogener",2,"")</f>
        <v/>
      </c>
      <c r="R150" s="4" t="str">
        <f>IF(Nodes[[#This Row],[Bezeichnung2]] = "liebender",3,"")</f>
        <v/>
      </c>
      <c r="S150" s="4" t="str">
        <f>IF(Nodes[[#This Row],[Bezeichnung2]] = "liebende",4,"")</f>
        <v/>
      </c>
      <c r="T150" s="4" t="str">
        <f>IF(Nodes[[#This Row],[Bezeichnung2]] = "gegenspieler",5,"")</f>
        <v/>
      </c>
    </row>
    <row r="151" spans="1:20" x14ac:dyDescent="0.3">
      <c r="A151" t="s">
        <v>186</v>
      </c>
      <c r="B151" t="s">
        <v>196</v>
      </c>
      <c r="C151" t="s">
        <v>46</v>
      </c>
      <c r="D151" t="s">
        <v>119</v>
      </c>
      <c r="E151" t="s">
        <v>47</v>
      </c>
      <c r="F151" t="s">
        <v>47</v>
      </c>
      <c r="G151" t="s">
        <v>26</v>
      </c>
      <c r="H151" t="str">
        <f t="shared" si="4"/>
        <v>adel</v>
      </c>
      <c r="I151" t="str" cm="1">
        <f t="array" ref="I151">_xlfn.SWITCH(A151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51" s="4">
        <f>IF(AND(B151=Werte!B151,LEFT(A151,5)=LEFT(Werte!A151,5)),Werte!C151,"not found")</f>
        <v>0.30769230769230799</v>
      </c>
      <c r="K151" s="4">
        <f>IF(AND(B151=Werte!B151,LEFT(A151,5)=LEFT(Werte!A151,5)),Werte!D151,"not found")</f>
        <v>7.3717948717948706E-2</v>
      </c>
      <c r="L151" s="4">
        <f>IF(AND(B151=Werte!B151,LEFT(A151,5)=LEFT(Werte!A151,5)),Werte!E151,"not found")</f>
        <v>0.40625</v>
      </c>
      <c r="M151" s="4">
        <f>IF(AND(B151=Werte!B151,LEFT(A151,5)=LEFT(Werte!A151,5)),Werte!F151,"not found")</f>
        <v>5.1135945243505801E-2</v>
      </c>
      <c r="N151" s="4" t="str">
        <f t="shared" si="5"/>
        <v>unbekannt</v>
      </c>
      <c r="O151" s="4" cm="1">
        <f t="array" ref="O151">_xlfn.SWITCH(A151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51" s="4" t="str">
        <f>IF(Nodes[[#This Row],[Bezeichnung2]] = "betrueger",1,"")</f>
        <v/>
      </c>
      <c r="Q151" s="4" t="str">
        <f>IF(Nodes[[#This Row],[Bezeichnung2]] = "betrogener",2,"")</f>
        <v/>
      </c>
      <c r="R151" s="4" t="str">
        <f>IF(Nodes[[#This Row],[Bezeichnung2]] = "liebender",3,"")</f>
        <v/>
      </c>
      <c r="S151" s="4" t="str">
        <f>IF(Nodes[[#This Row],[Bezeichnung2]] = "liebende",4,"")</f>
        <v/>
      </c>
      <c r="T151" s="4" t="str">
        <f>IF(Nodes[[#This Row],[Bezeichnung2]] = "gegenspieler",5,"")</f>
        <v/>
      </c>
    </row>
    <row r="152" spans="1:20" x14ac:dyDescent="0.3">
      <c r="A152" t="s">
        <v>186</v>
      </c>
      <c r="B152" t="s">
        <v>197</v>
      </c>
      <c r="C152" t="s">
        <v>18</v>
      </c>
      <c r="D152" t="s">
        <v>57</v>
      </c>
      <c r="E152" t="s">
        <v>47</v>
      </c>
      <c r="F152" t="s">
        <v>47</v>
      </c>
      <c r="G152" t="s">
        <v>26</v>
      </c>
      <c r="H152" t="str">
        <f t="shared" si="4"/>
        <v>adel</v>
      </c>
      <c r="I152" t="str" cm="1">
        <f t="array" ref="I152">_xlfn.SWITCH(A152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52" s="4">
        <f>IF(AND(B152=Werte!B152,LEFT(A152,5)=LEFT(Werte!A152,5)),Werte!C152,"not found")</f>
        <v>0.30769230769230799</v>
      </c>
      <c r="K152" s="4">
        <f>IF(AND(B152=Werte!B152,LEFT(A152,5)=LEFT(Werte!A152,5)),Werte!D152,"not found")</f>
        <v>7.3717948717948706E-2</v>
      </c>
      <c r="L152" s="4">
        <f>IF(AND(B152=Werte!B152,LEFT(A152,5)=LEFT(Werte!A152,5)),Werte!E152,"not found")</f>
        <v>0.40625</v>
      </c>
      <c r="M152" s="4">
        <f>IF(AND(B152=Werte!B152,LEFT(A152,5)=LEFT(Werte!A152,5)),Werte!F152,"not found")</f>
        <v>5.1135945243505898E-2</v>
      </c>
      <c r="N152" s="4" t="str">
        <f t="shared" si="5"/>
        <v>unbekannt</v>
      </c>
      <c r="O152" s="4" cm="1">
        <f t="array" ref="O152">_xlfn.SWITCH(A152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52" s="4" t="str">
        <f>IF(Nodes[[#This Row],[Bezeichnung2]] = "betrueger",1,"")</f>
        <v/>
      </c>
      <c r="Q152" s="4" t="str">
        <f>IF(Nodes[[#This Row],[Bezeichnung2]] = "betrogener",2,"")</f>
        <v/>
      </c>
      <c r="R152" s="4" t="str">
        <f>IF(Nodes[[#This Row],[Bezeichnung2]] = "liebender",3,"")</f>
        <v/>
      </c>
      <c r="S152" s="4" t="str">
        <f>IF(Nodes[[#This Row],[Bezeichnung2]] = "liebende",4,"")</f>
        <v/>
      </c>
      <c r="T152" s="4" t="str">
        <f>IF(Nodes[[#This Row],[Bezeichnung2]] = "gegenspieler",5,"")</f>
        <v/>
      </c>
    </row>
    <row r="153" spans="1:20" x14ac:dyDescent="0.3">
      <c r="A153" t="s">
        <v>186</v>
      </c>
      <c r="B153" t="s">
        <v>198</v>
      </c>
      <c r="C153" t="s">
        <v>18</v>
      </c>
      <c r="D153" t="s">
        <v>57</v>
      </c>
      <c r="E153" t="s">
        <v>47</v>
      </c>
      <c r="F153" t="s">
        <v>71</v>
      </c>
      <c r="G153" t="s">
        <v>26</v>
      </c>
      <c r="H153" t="str">
        <f t="shared" si="4"/>
        <v>adel</v>
      </c>
      <c r="I153" t="str" cm="1">
        <f t="array" ref="I153">_xlfn.SWITCH(A153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53" s="4">
        <f>IF(AND(B153=Werte!B153,LEFT(A153,5)=LEFT(Werte!A153,5)),Werte!C153,"not found")</f>
        <v>0.46153846153846201</v>
      </c>
      <c r="K153" s="4">
        <f>IF(AND(B153=Werte!B153,LEFT(A153,5)=LEFT(Werte!A153,5)),Werte!D153,"not found")</f>
        <v>4.2735042735042701E-2</v>
      </c>
      <c r="L153" s="4">
        <f>IF(AND(B153=Werte!B153,LEFT(A153,5)=LEFT(Werte!A153,5)),Werte!E153,"not found")</f>
        <v>0.30952380952380998</v>
      </c>
      <c r="M153" s="4">
        <f>IF(AND(B153=Werte!B153,LEFT(A153,5)=LEFT(Werte!A153,5)),Werte!F153,"not found")</f>
        <v>0.176705560011827</v>
      </c>
      <c r="N153" s="4" t="str">
        <f t="shared" si="5"/>
        <v>gegner</v>
      </c>
      <c r="O153" s="4" cm="1">
        <f t="array" ref="O153">_xlfn.SWITCH(A153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53" s="4" t="str">
        <f>IF(Nodes[[#This Row],[Bezeichnung2]] = "betrueger",1,"")</f>
        <v/>
      </c>
      <c r="Q153" s="4" t="str">
        <f>IF(Nodes[[#This Row],[Bezeichnung2]] = "betrogener",2,"")</f>
        <v/>
      </c>
      <c r="R153" s="4" t="str">
        <f>IF(Nodes[[#This Row],[Bezeichnung2]] = "liebender",3,"")</f>
        <v/>
      </c>
      <c r="S153" s="4" t="str">
        <f>IF(Nodes[[#This Row],[Bezeichnung2]] = "liebende",4,"")</f>
        <v/>
      </c>
      <c r="T153" s="4" t="str">
        <f>IF(Nodes[[#This Row],[Bezeichnung2]] = "gegenspieler",5,"")</f>
        <v/>
      </c>
    </row>
    <row r="154" spans="1:20" x14ac:dyDescent="0.3">
      <c r="A154" t="s">
        <v>199</v>
      </c>
      <c r="B154" t="s">
        <v>200</v>
      </c>
      <c r="C154" t="s">
        <v>18</v>
      </c>
      <c r="D154" t="s">
        <v>31</v>
      </c>
      <c r="E154" t="s">
        <v>47</v>
      </c>
      <c r="F154" t="s">
        <v>47</v>
      </c>
      <c r="G154" t="s">
        <v>22</v>
      </c>
      <c r="H154" t="str">
        <f t="shared" si="4"/>
        <v>adel</v>
      </c>
      <c r="I154" t="str" cm="1">
        <f t="array" ref="I154">_xlfn.SWITCH(A154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54" s="4">
        <f>IF(AND(B154=Werte!B154,LEFT(A154,5)=LEFT(Werte!A154,5)),Werte!C154,"not found")</f>
        <v>2</v>
      </c>
      <c r="K154" s="4">
        <f>IF(AND(B154=Werte!B154,LEFT(A154,5)=LEFT(Werte!A154,5)),Werte!D154,"not found")</f>
        <v>0.05</v>
      </c>
      <c r="L154" s="4">
        <f>IF(AND(B154=Werte!B154,LEFT(A154,5)=LEFT(Werte!A154,5)),Werte!E154,"not found")</f>
        <v>0.55555555555555602</v>
      </c>
      <c r="M154" s="4">
        <f>IF(AND(B154=Werte!B154,LEFT(A154,5)=LEFT(Werte!A154,5)),Werte!F154,"not found")</f>
        <v>1</v>
      </c>
      <c r="N154" s="4" t="str">
        <f t="shared" si="5"/>
        <v>unbekannt</v>
      </c>
      <c r="O154" s="4" cm="1">
        <f t="array" ref="O154">_xlfn.SWITCH(A154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54" s="4" t="str">
        <f>IF(Nodes[[#This Row],[Bezeichnung2]] = "betrueger",1,"")</f>
        <v/>
      </c>
      <c r="Q154" s="4" t="str">
        <f>IF(Nodes[[#This Row],[Bezeichnung2]] = "betrogener",2,"")</f>
        <v/>
      </c>
      <c r="R154" s="4" t="str">
        <f>IF(Nodes[[#This Row],[Bezeichnung2]] = "liebender",3,"")</f>
        <v/>
      </c>
      <c r="S154" s="4" t="str">
        <f>IF(Nodes[[#This Row],[Bezeichnung2]] = "liebende",4,"")</f>
        <v/>
      </c>
      <c r="T154" s="4" t="str">
        <f>IF(Nodes[[#This Row],[Bezeichnung2]] = "gegenspieler",5,"")</f>
        <v/>
      </c>
    </row>
    <row r="155" spans="1:20" x14ac:dyDescent="0.3">
      <c r="A155" t="s">
        <v>199</v>
      </c>
      <c r="B155" t="s">
        <v>201</v>
      </c>
      <c r="C155" t="s">
        <v>18</v>
      </c>
      <c r="D155" t="s">
        <v>202</v>
      </c>
      <c r="E155" t="s">
        <v>32</v>
      </c>
      <c r="F155" t="s">
        <v>33</v>
      </c>
      <c r="G155" t="s">
        <v>26</v>
      </c>
      <c r="H155" t="str">
        <f t="shared" si="4"/>
        <v>adel</v>
      </c>
      <c r="I155" t="str" cm="1">
        <f t="array" ref="I155">_xlfn.SWITCH(A155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55" s="4">
        <f>IF(AND(B155=Werte!B155,LEFT(A155,5)=LEFT(Werte!A155,5)),Werte!C155,"not found")</f>
        <v>1.6</v>
      </c>
      <c r="K155" s="4">
        <f>IF(AND(B155=Werte!B155,LEFT(A155,5)=LEFT(Werte!A155,5)),Werte!D155,"not found")</f>
        <v>0.25</v>
      </c>
      <c r="L155" s="4">
        <f>IF(AND(B155=Werte!B155,LEFT(A155,5)=LEFT(Werte!A155,5)),Werte!E155,"not found")</f>
        <v>0.625</v>
      </c>
      <c r="M155" s="4">
        <f>IF(AND(B155=Werte!B155,LEFT(A155,5)=LEFT(Werte!A155,5)),Werte!F155,"not found")</f>
        <v>0.81844232581321796</v>
      </c>
      <c r="N155" s="4" t="str">
        <f t="shared" si="5"/>
        <v>vater</v>
      </c>
      <c r="O155" s="4" cm="1">
        <f t="array" ref="O155">_xlfn.SWITCH(A155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55" s="4" t="str">
        <f>IF(Nodes[[#This Row],[Bezeichnung2]] = "betrueger",1,"")</f>
        <v/>
      </c>
      <c r="Q155" s="4" t="str">
        <f>IF(Nodes[[#This Row],[Bezeichnung2]] = "betrogener",2,"")</f>
        <v/>
      </c>
      <c r="R155" s="4" t="str">
        <f>IF(Nodes[[#This Row],[Bezeichnung2]] = "liebender",3,"")</f>
        <v/>
      </c>
      <c r="S155" s="4" t="str">
        <f>IF(Nodes[[#This Row],[Bezeichnung2]] = "liebende",4,"")</f>
        <v/>
      </c>
      <c r="T155" s="4" t="str">
        <f>IF(Nodes[[#This Row],[Bezeichnung2]] = "gegenspieler",5,"")</f>
        <v/>
      </c>
    </row>
    <row r="156" spans="1:20" x14ac:dyDescent="0.3">
      <c r="A156" t="s">
        <v>199</v>
      </c>
      <c r="B156" t="s">
        <v>203</v>
      </c>
      <c r="C156" t="s">
        <v>18</v>
      </c>
      <c r="D156" t="s">
        <v>202</v>
      </c>
      <c r="E156" t="s">
        <v>20</v>
      </c>
      <c r="F156" t="s">
        <v>204</v>
      </c>
      <c r="G156" t="s">
        <v>22</v>
      </c>
      <c r="H156" t="str">
        <f t="shared" si="4"/>
        <v>adel</v>
      </c>
      <c r="I156" t="str" cm="1">
        <f t="array" ref="I156">_xlfn.SWITCH(A156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56" s="4">
        <f>IF(AND(B156=Werte!B156,LEFT(A156,5)=LEFT(Werte!A156,5)),Werte!C156,"not found")</f>
        <v>2</v>
      </c>
      <c r="K156" s="4">
        <f>IF(AND(B156=Werte!B156,LEFT(A156,5)=LEFT(Werte!A156,5)),Werte!D156,"not found")</f>
        <v>0</v>
      </c>
      <c r="L156" s="4">
        <f>IF(AND(B156=Werte!B156,LEFT(A156,5)=LEFT(Werte!A156,5)),Werte!E156,"not found")</f>
        <v>0.45454545454545497</v>
      </c>
      <c r="M156" s="4">
        <f>IF(AND(B156=Werte!B156,LEFT(A156,5)=LEFT(Werte!A156,5)),Werte!F156,"not found")</f>
        <v>0.896398856114894</v>
      </c>
      <c r="N156" s="4" t="str">
        <f t="shared" si="5"/>
        <v>ratgeber</v>
      </c>
      <c r="O156" s="4" cm="1">
        <f t="array" ref="O156">_xlfn.SWITCH(A156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56" s="4" t="str">
        <f>IF(Nodes[[#This Row],[Bezeichnung2]] = "betrueger",1,"")</f>
        <v/>
      </c>
      <c r="Q156" s="4" t="str">
        <f>IF(Nodes[[#This Row],[Bezeichnung2]] = "betrogener",2,"")</f>
        <v/>
      </c>
      <c r="R156" s="4" t="str">
        <f>IF(Nodes[[#This Row],[Bezeichnung2]] = "liebender",3,"")</f>
        <v/>
      </c>
      <c r="S156" s="4" t="str">
        <f>IF(Nodes[[#This Row],[Bezeichnung2]] = "liebende",4,"")</f>
        <v/>
      </c>
      <c r="T156" s="4" t="str">
        <f>IF(Nodes[[#This Row],[Bezeichnung2]] = "gegenspieler",5,"")</f>
        <v/>
      </c>
    </row>
    <row r="157" spans="1:20" x14ac:dyDescent="0.3">
      <c r="A157" t="s">
        <v>199</v>
      </c>
      <c r="B157" t="s">
        <v>205</v>
      </c>
      <c r="C157" t="s">
        <v>18</v>
      </c>
      <c r="D157" t="s">
        <v>362</v>
      </c>
      <c r="E157" t="s">
        <v>47</v>
      </c>
      <c r="F157" t="s">
        <v>104</v>
      </c>
      <c r="G157" t="s">
        <v>26</v>
      </c>
      <c r="H157" t="str">
        <f t="shared" si="4"/>
        <v>buergerlich</v>
      </c>
      <c r="I157" t="str" cm="1">
        <f t="array" ref="I157">_xlfn.SWITCH(A157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57" s="4">
        <f>IF(AND(B157=Werte!B157,LEFT(A157,5)=LEFT(Werte!A157,5)),Werte!C157,"not found")</f>
        <v>1.2</v>
      </c>
      <c r="K157" s="4">
        <f>IF(AND(B157=Werte!B157,LEFT(A157,5)=LEFT(Werte!A157,5)),Werte!D157,"not found")</f>
        <v>0.4</v>
      </c>
      <c r="L157" s="4">
        <f>IF(AND(B157=Werte!B157,LEFT(A157,5)=LEFT(Werte!A157,5)),Werte!E157,"not found")</f>
        <v>0.625</v>
      </c>
      <c r="M157" s="4">
        <f>IF(AND(B157=Werte!B157,LEFT(A157,5)=LEFT(Werte!A157,5)),Werte!F157,"not found")</f>
        <v>0.19434459280845101</v>
      </c>
      <c r="N157" s="4" t="str">
        <f t="shared" si="5"/>
        <v>bote</v>
      </c>
      <c r="O157" s="4" cm="1">
        <f t="array" ref="O157">_xlfn.SWITCH(A157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57" s="4" t="str">
        <f>IF(Nodes[[#This Row],[Bezeichnung2]] = "betrueger",1,"")</f>
        <v/>
      </c>
      <c r="Q157" s="4" t="str">
        <f>IF(Nodes[[#This Row],[Bezeichnung2]] = "betrogener",2,"")</f>
        <v/>
      </c>
      <c r="R157" s="4" t="str">
        <f>IF(Nodes[[#This Row],[Bezeichnung2]] = "liebender",3,"")</f>
        <v/>
      </c>
      <c r="S157" s="4" t="str">
        <f>IF(Nodes[[#This Row],[Bezeichnung2]] = "liebende",4,"")</f>
        <v/>
      </c>
      <c r="T157" s="4" t="str">
        <f>IF(Nodes[[#This Row],[Bezeichnung2]] = "gegenspieler",5,"")</f>
        <v/>
      </c>
    </row>
    <row r="158" spans="1:20" x14ac:dyDescent="0.3">
      <c r="A158" t="s">
        <v>199</v>
      </c>
      <c r="B158" t="s">
        <v>206</v>
      </c>
      <c r="C158" t="s">
        <v>46</v>
      </c>
      <c r="D158" t="s">
        <v>47</v>
      </c>
      <c r="E158" t="s">
        <v>47</v>
      </c>
      <c r="F158" t="s">
        <v>47</v>
      </c>
      <c r="G158" t="s">
        <v>26</v>
      </c>
      <c r="H158" t="str">
        <f t="shared" si="4"/>
        <v>unbekannt</v>
      </c>
      <c r="I158" t="str" cm="1">
        <f t="array" ref="I158">_xlfn.SWITCH(A158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58" s="4">
        <f>IF(AND(B158=Werte!B158,LEFT(A158,5)=LEFT(Werte!A158,5)),Werte!C158,"not found")</f>
        <v>1.6</v>
      </c>
      <c r="K158" s="4">
        <f>IF(AND(B158=Werte!B158,LEFT(A158,5)=LEFT(Werte!A158,5)),Werte!D158,"not found")</f>
        <v>0.15</v>
      </c>
      <c r="L158" s="4">
        <f>IF(AND(B158=Werte!B158,LEFT(A158,5)=LEFT(Werte!A158,5)),Werte!E158,"not found")</f>
        <v>0.55555555555555602</v>
      </c>
      <c r="M158" s="4">
        <f>IF(AND(B158=Werte!B158,LEFT(A158,5)=LEFT(Werte!A158,5)),Werte!F158,"not found")</f>
        <v>0.54945473053465199</v>
      </c>
      <c r="N158" s="4" t="str">
        <f t="shared" si="5"/>
        <v>unbekannt</v>
      </c>
      <c r="O158" s="4" cm="1">
        <f t="array" ref="O158">_xlfn.SWITCH(A158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58" s="4" t="str">
        <f>IF(Nodes[[#This Row],[Bezeichnung2]] = "betrueger",1,"")</f>
        <v/>
      </c>
      <c r="Q158" s="4" t="str">
        <f>IF(Nodes[[#This Row],[Bezeichnung2]] = "betrogener",2,"")</f>
        <v/>
      </c>
      <c r="R158" s="4" t="str">
        <f>IF(Nodes[[#This Row],[Bezeichnung2]] = "liebender",3,"")</f>
        <v/>
      </c>
      <c r="S158" s="4" t="str">
        <f>IF(Nodes[[#This Row],[Bezeichnung2]] = "liebende",4,"")</f>
        <v/>
      </c>
      <c r="T158" s="4" t="str">
        <f>IF(Nodes[[#This Row],[Bezeichnung2]] = "gegenspieler",5,"")</f>
        <v/>
      </c>
    </row>
    <row r="159" spans="1:20" x14ac:dyDescent="0.3">
      <c r="A159" t="s">
        <v>199</v>
      </c>
      <c r="B159" t="s">
        <v>207</v>
      </c>
      <c r="C159" t="s">
        <v>46</v>
      </c>
      <c r="D159" t="s">
        <v>47</v>
      </c>
      <c r="E159" t="s">
        <v>47</v>
      </c>
      <c r="F159" t="s">
        <v>87</v>
      </c>
      <c r="G159" t="s">
        <v>26</v>
      </c>
      <c r="H159" t="str">
        <f t="shared" si="4"/>
        <v>unbekannt</v>
      </c>
      <c r="I159" t="str" cm="1">
        <f t="array" ref="I159">_xlfn.SWITCH(A159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59" s="4">
        <f>IF(AND(B159=Werte!B159,LEFT(A159,5)=LEFT(Werte!A159,5)),Werte!C159,"not found")</f>
        <v>1.2</v>
      </c>
      <c r="K159" s="4">
        <f>IF(AND(B159=Werte!B159,LEFT(A159,5)=LEFT(Werte!A159,5)),Werte!D159,"not found")</f>
        <v>0</v>
      </c>
      <c r="L159" s="4">
        <f>IF(AND(B159=Werte!B159,LEFT(A159,5)=LEFT(Werte!A159,5)),Werte!E159,"not found")</f>
        <v>0.45454545454545497</v>
      </c>
      <c r="M159" s="4">
        <f>IF(AND(B159=Werte!B159,LEFT(A159,5)=LEFT(Werte!A159,5)),Werte!F159,"not found")</f>
        <v>0.37501403777258802</v>
      </c>
      <c r="N159" s="4" t="str">
        <f t="shared" si="5"/>
        <v>gegenspieler</v>
      </c>
      <c r="O159" s="4" cm="1">
        <f t="array" ref="O159">_xlfn.SWITCH(A159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59" s="4" t="str">
        <f>IF(Nodes[[#This Row],[Bezeichnung2]] = "betrueger",1,"")</f>
        <v/>
      </c>
      <c r="Q159" s="4" t="str">
        <f>IF(Nodes[[#This Row],[Bezeichnung2]] = "betrogener",2,"")</f>
        <v/>
      </c>
      <c r="R159" s="4" t="str">
        <f>IF(Nodes[[#This Row],[Bezeichnung2]] = "liebender",3,"")</f>
        <v/>
      </c>
      <c r="S159" s="4" t="str">
        <f>IF(Nodes[[#This Row],[Bezeichnung2]] = "liebende",4,"")</f>
        <v/>
      </c>
      <c r="T159" s="4">
        <f>IF(Nodes[[#This Row],[Bezeichnung2]] = "gegenspieler",5,"")</f>
        <v>5</v>
      </c>
    </row>
    <row r="160" spans="1:20" x14ac:dyDescent="0.3">
      <c r="A160" t="s">
        <v>571</v>
      </c>
      <c r="B160" t="s">
        <v>115</v>
      </c>
      <c r="C160" t="s">
        <v>18</v>
      </c>
      <c r="D160" t="s">
        <v>47</v>
      </c>
      <c r="E160" t="s">
        <v>47</v>
      </c>
      <c r="F160" t="s">
        <v>50</v>
      </c>
      <c r="G160" t="s">
        <v>22</v>
      </c>
      <c r="H160" t="str">
        <f t="shared" si="4"/>
        <v>unbekannt</v>
      </c>
      <c r="I160" t="str" cm="1">
        <f t="array" ref="I160">_xlfn.SWITCH(A160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60" s="4">
        <f>IF(AND(B160=Werte!B160,LEFT(A160,5)=LEFT(Werte!A160,5)),Werte!C160,"not found")</f>
        <v>2</v>
      </c>
      <c r="K160" s="4">
        <f>IF(AND(B160=Werte!B160,LEFT(A160,5)=LEFT(Werte!A160,5)),Werte!D160,"not found")</f>
        <v>0</v>
      </c>
      <c r="L160" s="4">
        <f>IF(AND(B160=Werte!B160,LEFT(A160,5)=LEFT(Werte!A160,5)),Werte!E160,"not found")</f>
        <v>8.5714285714285701E-2</v>
      </c>
      <c r="M160" s="4">
        <f>IF(AND(B160=Werte!B160,LEFT(A160,5)=LEFT(Werte!A160,5)),Werte!F160,"not found")</f>
        <v>1</v>
      </c>
      <c r="N160" s="4" t="str">
        <f t="shared" si="5"/>
        <v>betrogener</v>
      </c>
      <c r="O160" s="4" cm="1">
        <f t="array" ref="O160">_xlfn.SWITCH(A160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60" s="4" t="str">
        <f>IF(Nodes[[#This Row],[Bezeichnung2]] = "betrueger",1,"")</f>
        <v/>
      </c>
      <c r="Q160" s="4">
        <f>IF(Nodes[[#This Row],[Bezeichnung2]] = "betrogener",2,"")</f>
        <v>2</v>
      </c>
      <c r="R160" s="4" t="str">
        <f>IF(Nodes[[#This Row],[Bezeichnung2]] = "liebender",3,"")</f>
        <v/>
      </c>
      <c r="S160" s="4" t="str">
        <f>IF(Nodes[[#This Row],[Bezeichnung2]] = "liebende",4,"")</f>
        <v/>
      </c>
      <c r="T160" s="4" t="str">
        <f>IF(Nodes[[#This Row],[Bezeichnung2]] = "gegenspieler",5,"")</f>
        <v/>
      </c>
    </row>
    <row r="161" spans="1:20" x14ac:dyDescent="0.3">
      <c r="A161" t="s">
        <v>571</v>
      </c>
      <c r="B161" t="s">
        <v>85</v>
      </c>
      <c r="C161" t="s">
        <v>24</v>
      </c>
      <c r="D161" t="s">
        <v>47</v>
      </c>
      <c r="E161" t="s">
        <v>47</v>
      </c>
      <c r="F161" t="s">
        <v>55</v>
      </c>
      <c r="G161" t="s">
        <v>22</v>
      </c>
      <c r="H161" t="str">
        <f t="shared" si="4"/>
        <v>unbekannt</v>
      </c>
      <c r="I161" t="str" cm="1">
        <f t="array" ref="I161">_xlfn.SWITCH(A161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61" s="4">
        <f>IF(AND(B161=Werte!B161,LEFT(A161,5)=LEFT(Werte!A161,5)),Werte!C161,"not found")</f>
        <v>2</v>
      </c>
      <c r="K161" s="4">
        <f>IF(AND(B161=Werte!B161,LEFT(A161,5)=LEFT(Werte!A161,5)),Werte!D161,"not found")</f>
        <v>0</v>
      </c>
      <c r="L161" s="4">
        <f>IF(AND(B161=Werte!B161,LEFT(A161,5)=LEFT(Werte!A161,5)),Werte!E161,"not found")</f>
        <v>8.5714285714285701E-2</v>
      </c>
      <c r="M161" s="4">
        <f>IF(AND(B161=Werte!B161,LEFT(A161,5)=LEFT(Werte!A161,5)),Werte!F161,"not found")</f>
        <v>0.93521875234554497</v>
      </c>
      <c r="N161" s="4" t="str">
        <f t="shared" si="5"/>
        <v>betrueger</v>
      </c>
      <c r="O161" s="4" cm="1">
        <f t="array" ref="O161">_xlfn.SWITCH(A161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61" s="4">
        <f>IF(Nodes[[#This Row],[Bezeichnung2]] = "betrueger",1,"")</f>
        <v>1</v>
      </c>
      <c r="Q161" s="4" t="str">
        <f>IF(Nodes[[#This Row],[Bezeichnung2]] = "betrogener",2,"")</f>
        <v/>
      </c>
      <c r="R161" s="4" t="str">
        <f>IF(Nodes[[#This Row],[Bezeichnung2]] = "liebender",3,"")</f>
        <v/>
      </c>
      <c r="S161" s="4" t="str">
        <f>IF(Nodes[[#This Row],[Bezeichnung2]] = "liebende",4,"")</f>
        <v/>
      </c>
      <c r="T161" s="4" t="str">
        <f>IF(Nodes[[#This Row],[Bezeichnung2]] = "gegenspieler",5,"")</f>
        <v/>
      </c>
    </row>
    <row r="162" spans="1:20" x14ac:dyDescent="0.3">
      <c r="A162" t="s">
        <v>571</v>
      </c>
      <c r="B162" t="s">
        <v>118</v>
      </c>
      <c r="C162" t="s">
        <v>18</v>
      </c>
      <c r="D162" t="s">
        <v>269</v>
      </c>
      <c r="E162" t="s">
        <v>47</v>
      </c>
      <c r="F162" t="s">
        <v>53</v>
      </c>
      <c r="G162" t="s">
        <v>22</v>
      </c>
      <c r="H162" t="str">
        <f t="shared" si="4"/>
        <v>unbekannt</v>
      </c>
      <c r="I162" t="str" cm="1">
        <f t="array" ref="I162">_xlfn.SWITCH(A162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62" s="4">
        <f>IF(AND(B162=Werte!B162,LEFT(A162,5)=LEFT(Werte!A162,5)),Werte!C162,"not found")</f>
        <v>2</v>
      </c>
      <c r="K162" s="4">
        <f>IF(AND(B162=Werte!B162,LEFT(A162,5)=LEFT(Werte!A162,5)),Werte!D162,"not found")</f>
        <v>0</v>
      </c>
      <c r="L162" s="4">
        <f>IF(AND(B162=Werte!B162,LEFT(A162,5)=LEFT(Werte!A162,5)),Werte!E162,"not found")</f>
        <v>0.12</v>
      </c>
      <c r="M162" s="4">
        <f>IF(AND(B162=Werte!B162,LEFT(A162,5)=LEFT(Werte!A162,5)),Werte!F162,"not found")</f>
        <v>0.88656582522251803</v>
      </c>
      <c r="N162" s="4" t="str">
        <f t="shared" si="5"/>
        <v>helfer</v>
      </c>
      <c r="O162" s="4" cm="1">
        <f t="array" ref="O162">_xlfn.SWITCH(A162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62" s="4" t="str">
        <f>IF(Nodes[[#This Row],[Bezeichnung2]] = "betrueger",1,"")</f>
        <v/>
      </c>
      <c r="Q162" s="4" t="str">
        <f>IF(Nodes[[#This Row],[Bezeichnung2]] = "betrogener",2,"")</f>
        <v/>
      </c>
      <c r="R162" s="4" t="str">
        <f>IF(Nodes[[#This Row],[Bezeichnung2]] = "liebender",3,"")</f>
        <v/>
      </c>
      <c r="S162" s="4" t="str">
        <f>IF(Nodes[[#This Row],[Bezeichnung2]] = "liebende",4,"")</f>
        <v/>
      </c>
      <c r="T162" s="4" t="str">
        <f>IF(Nodes[[#This Row],[Bezeichnung2]] = "gegenspieler",5,"")</f>
        <v/>
      </c>
    </row>
    <row r="163" spans="1:20" x14ac:dyDescent="0.3">
      <c r="A163" t="s">
        <v>571</v>
      </c>
      <c r="B163" t="s">
        <v>572</v>
      </c>
      <c r="C163" t="s">
        <v>18</v>
      </c>
      <c r="D163" t="s">
        <v>153</v>
      </c>
      <c r="E163" t="s">
        <v>47</v>
      </c>
      <c r="F163" t="s">
        <v>96</v>
      </c>
      <c r="G163" t="s">
        <v>26</v>
      </c>
      <c r="H163" t="str">
        <f t="shared" si="4"/>
        <v>klerus</v>
      </c>
      <c r="I163" t="str" cm="1">
        <f t="array" ref="I163">_xlfn.SWITCH(A163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63" s="4">
        <f>IF(AND(B163=Werte!B163,LEFT(A163,5)=LEFT(Werte!A163,5)),Werte!C163,"not found")</f>
        <v>2</v>
      </c>
      <c r="K163" s="4">
        <f>IF(AND(B163=Werte!B163,LEFT(A163,5)=LEFT(Werte!A163,5)),Werte!D163,"not found")</f>
        <v>1</v>
      </c>
      <c r="L163" s="4">
        <f>IF(AND(B163=Werte!B163,LEFT(A163,5)=LEFT(Werte!A163,5)),Werte!E163,"not found")</f>
        <v>0.157894736842105</v>
      </c>
      <c r="M163" s="4">
        <f>IF(AND(B163=Werte!B163,LEFT(A163,5)=LEFT(Werte!A163,5)),Werte!F163,"not found")</f>
        <v>0.49375060358839501</v>
      </c>
      <c r="N163" s="4" t="str">
        <f t="shared" si="5"/>
        <v>betrueger</v>
      </c>
      <c r="O163" s="4" cm="1">
        <f t="array" ref="O163">_xlfn.SWITCH(A163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63" s="4">
        <f>IF(Nodes[[#This Row],[Bezeichnung2]] = "betrueger",1,"")</f>
        <v>1</v>
      </c>
      <c r="Q163" s="4" t="str">
        <f>IF(Nodes[[#This Row],[Bezeichnung2]] = "betrogener",2,"")</f>
        <v/>
      </c>
      <c r="R163" s="4" t="str">
        <f>IF(Nodes[[#This Row],[Bezeichnung2]] = "liebender",3,"")</f>
        <v/>
      </c>
      <c r="S163" s="4" t="str">
        <f>IF(Nodes[[#This Row],[Bezeichnung2]] = "liebende",4,"")</f>
        <v/>
      </c>
      <c r="T163" s="4" t="str">
        <f>IF(Nodes[[#This Row],[Bezeichnung2]] = "gegenspieler",5,"")</f>
        <v/>
      </c>
    </row>
    <row r="164" spans="1:20" x14ac:dyDescent="0.3">
      <c r="A164" t="s">
        <v>208</v>
      </c>
      <c r="B164" t="s">
        <v>118</v>
      </c>
      <c r="C164" t="s">
        <v>18</v>
      </c>
      <c r="D164" t="s">
        <v>119</v>
      </c>
      <c r="E164" t="s">
        <v>47</v>
      </c>
      <c r="F164" t="s">
        <v>93</v>
      </c>
      <c r="G164" t="s">
        <v>22</v>
      </c>
      <c r="H164" t="str">
        <f t="shared" si="4"/>
        <v>adel</v>
      </c>
      <c r="I164" t="str" cm="1">
        <f t="array" ref="I164">_xlfn.SWITCH(A164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64" s="4">
        <f>IF(AND(B164=Werte!B164,LEFT(A164,5)=LEFT(Werte!A164,5)),Werte!C164,"not found")</f>
        <v>2</v>
      </c>
      <c r="K164" s="4">
        <f>IF(AND(B164=Werte!B164,LEFT(A164,5)=LEFT(Werte!A164,5)),Werte!D164,"not found")</f>
        <v>9.5238095238095205E-2</v>
      </c>
      <c r="L164" s="4">
        <f>IF(AND(B164=Werte!B164,LEFT(A164,5)=LEFT(Werte!A164,5)),Werte!E164,"not found")</f>
        <v>0.58333333333333304</v>
      </c>
      <c r="M164" s="4">
        <f>IF(AND(B164=Werte!B164,LEFT(A164,5)=LEFT(Werte!A164,5)),Werte!F164,"not found")</f>
        <v>1</v>
      </c>
      <c r="N164" s="4" t="str">
        <f t="shared" si="5"/>
        <v>betrogener</v>
      </c>
      <c r="O164" s="4" cm="1">
        <f t="array" ref="O164">_xlfn.SWITCH(A164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64" s="4" t="str">
        <f>IF(Nodes[[#This Row],[Bezeichnung2]] = "betrueger",1,"")</f>
        <v/>
      </c>
      <c r="Q164" s="4">
        <f>IF(Nodes[[#This Row],[Bezeichnung2]] = "betrogener",2,"")</f>
        <v>2</v>
      </c>
      <c r="R164" s="4" t="str">
        <f>IF(Nodes[[#This Row],[Bezeichnung2]] = "liebender",3,"")</f>
        <v/>
      </c>
      <c r="S164" s="4" t="str">
        <f>IF(Nodes[[#This Row],[Bezeichnung2]] = "liebende",4,"")</f>
        <v/>
      </c>
      <c r="T164" s="4" t="str">
        <f>IF(Nodes[[#This Row],[Bezeichnung2]] = "gegenspieler",5,"")</f>
        <v/>
      </c>
    </row>
    <row r="165" spans="1:20" x14ac:dyDescent="0.3">
      <c r="A165" t="s">
        <v>208</v>
      </c>
      <c r="B165" t="s">
        <v>117</v>
      </c>
      <c r="C165" t="s">
        <v>24</v>
      </c>
      <c r="D165" t="s">
        <v>124</v>
      </c>
      <c r="E165" t="s">
        <v>47</v>
      </c>
      <c r="F165" t="s">
        <v>25</v>
      </c>
      <c r="G165" t="s">
        <v>26</v>
      </c>
      <c r="H165" t="str">
        <f t="shared" si="4"/>
        <v>buergerlich</v>
      </c>
      <c r="I165" t="str" cm="1">
        <f t="array" ref="I165">_xlfn.SWITCH(A165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65" s="4">
        <f>IF(AND(B165=Werte!B165,LEFT(A165,5)=LEFT(Werte!A165,5)),Werte!C165,"not found")</f>
        <v>1.1428571428571399</v>
      </c>
      <c r="K165" s="4">
        <f>IF(AND(B165=Werte!B165,LEFT(A165,5)=LEFT(Werte!A165,5)),Werte!D165,"not found")</f>
        <v>0</v>
      </c>
      <c r="L165" s="4">
        <f>IF(AND(B165=Werte!B165,LEFT(A165,5)=LEFT(Werte!A165,5)),Werte!E165,"not found")</f>
        <v>0.5</v>
      </c>
      <c r="M165" s="4">
        <f>IF(AND(B165=Werte!B165,LEFT(A165,5)=LEFT(Werte!A165,5)),Werte!F165,"not found")</f>
        <v>0.31866831887568697</v>
      </c>
      <c r="N165" s="4" t="str">
        <f t="shared" si="5"/>
        <v>ehefrau</v>
      </c>
      <c r="O165" s="4" cm="1">
        <f t="array" ref="O165">_xlfn.SWITCH(A165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65" s="4" t="str">
        <f>IF(Nodes[[#This Row],[Bezeichnung2]] = "betrueger",1,"")</f>
        <v/>
      </c>
      <c r="Q165" s="4" t="str">
        <f>IF(Nodes[[#This Row],[Bezeichnung2]] = "betrogener",2,"")</f>
        <v/>
      </c>
      <c r="R165" s="4" t="str">
        <f>IF(Nodes[[#This Row],[Bezeichnung2]] = "liebender",3,"")</f>
        <v/>
      </c>
      <c r="S165" s="4" t="str">
        <f>IF(Nodes[[#This Row],[Bezeichnung2]] = "liebende",4,"")</f>
        <v/>
      </c>
      <c r="T165" s="4" t="str">
        <f>IF(Nodes[[#This Row],[Bezeichnung2]] = "gegenspieler",5,"")</f>
        <v/>
      </c>
    </row>
    <row r="166" spans="1:20" x14ac:dyDescent="0.3">
      <c r="A166" t="s">
        <v>208</v>
      </c>
      <c r="B166" t="s">
        <v>155</v>
      </c>
      <c r="C166" t="s">
        <v>46</v>
      </c>
      <c r="D166" t="s">
        <v>135</v>
      </c>
      <c r="E166" t="s">
        <v>47</v>
      </c>
      <c r="F166" t="s">
        <v>136</v>
      </c>
      <c r="G166" t="s">
        <v>26</v>
      </c>
      <c r="H166" t="str">
        <f t="shared" si="4"/>
        <v>buergerlich</v>
      </c>
      <c r="I166" t="str" cm="1">
        <f t="array" ref="I166">_xlfn.SWITCH(A166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66" s="4">
        <f>IF(AND(B166=Werte!B166,LEFT(A166,5)=LEFT(Werte!A166,5)),Werte!C166,"not found")</f>
        <v>1.1428571428571399</v>
      </c>
      <c r="K166" s="4">
        <f>IF(AND(B166=Werte!B166,LEFT(A166,5)=LEFT(Werte!A166,5)),Werte!D166,"not found")</f>
        <v>0</v>
      </c>
      <c r="L166" s="4">
        <f>IF(AND(B166=Werte!B166,LEFT(A166,5)=LEFT(Werte!A166,5)),Werte!E166,"not found")</f>
        <v>0.5</v>
      </c>
      <c r="M166" s="4">
        <f>IF(AND(B166=Werte!B166,LEFT(A166,5)=LEFT(Werte!A166,5)),Werte!F166,"not found")</f>
        <v>0.31866831887568697</v>
      </c>
      <c r="N166" s="4" t="str">
        <f t="shared" si="5"/>
        <v>kind</v>
      </c>
      <c r="O166" s="4" cm="1">
        <f t="array" ref="O166">_xlfn.SWITCH(A166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66" s="4" t="str">
        <f>IF(Nodes[[#This Row],[Bezeichnung2]] = "betrueger",1,"")</f>
        <v/>
      </c>
      <c r="Q166" s="4" t="str">
        <f>IF(Nodes[[#This Row],[Bezeichnung2]] = "betrogener",2,"")</f>
        <v/>
      </c>
      <c r="R166" s="4" t="str">
        <f>IF(Nodes[[#This Row],[Bezeichnung2]] = "liebender",3,"")</f>
        <v/>
      </c>
      <c r="S166" s="4" t="str">
        <f>IF(Nodes[[#This Row],[Bezeichnung2]] = "liebende",4,"")</f>
        <v/>
      </c>
      <c r="T166" s="4" t="str">
        <f>IF(Nodes[[#This Row],[Bezeichnung2]] = "gegenspieler",5,"")</f>
        <v/>
      </c>
    </row>
    <row r="167" spans="1:20" x14ac:dyDescent="0.3">
      <c r="A167" t="s">
        <v>208</v>
      </c>
      <c r="B167" t="s">
        <v>84</v>
      </c>
      <c r="C167" t="s">
        <v>18</v>
      </c>
      <c r="D167" t="s">
        <v>57</v>
      </c>
      <c r="E167" t="s">
        <v>47</v>
      </c>
      <c r="F167" t="s">
        <v>53</v>
      </c>
      <c r="G167" t="s">
        <v>26</v>
      </c>
      <c r="H167" t="str">
        <f t="shared" si="4"/>
        <v>adel</v>
      </c>
      <c r="I167" t="str" cm="1">
        <f t="array" ref="I167">_xlfn.SWITCH(A167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67" s="4">
        <f>IF(AND(B167=Werte!B167,LEFT(A167,5)=LEFT(Werte!A167,5)),Werte!C167,"not found")</f>
        <v>1.1428571428571399</v>
      </c>
      <c r="K167" s="4">
        <f>IF(AND(B167=Werte!B167,LEFT(A167,5)=LEFT(Werte!A167,5)),Werte!D167,"not found")</f>
        <v>4.7619047619047603E-2</v>
      </c>
      <c r="L167" s="4">
        <f>IF(AND(B167=Werte!B167,LEFT(A167,5)=LEFT(Werte!A167,5)),Werte!E167,"not found")</f>
        <v>0.46666666666666701</v>
      </c>
      <c r="M167" s="4">
        <f>IF(AND(B167=Werte!B167,LEFT(A167,5)=LEFT(Werte!A167,5)),Werte!F167,"not found")</f>
        <v>0.76040883095630196</v>
      </c>
      <c r="N167" s="4" t="str">
        <f t="shared" si="5"/>
        <v>helfer</v>
      </c>
      <c r="O167" s="4" cm="1">
        <f t="array" ref="O167">_xlfn.SWITCH(A167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67" s="4" t="str">
        <f>IF(Nodes[[#This Row],[Bezeichnung2]] = "betrueger",1,"")</f>
        <v/>
      </c>
      <c r="Q167" s="4" t="str">
        <f>IF(Nodes[[#This Row],[Bezeichnung2]] = "betrogener",2,"")</f>
        <v/>
      </c>
      <c r="R167" s="4" t="str">
        <f>IF(Nodes[[#This Row],[Bezeichnung2]] = "liebender",3,"")</f>
        <v/>
      </c>
      <c r="S167" s="4" t="str">
        <f>IF(Nodes[[#This Row],[Bezeichnung2]] = "liebende",4,"")</f>
        <v/>
      </c>
      <c r="T167" s="4" t="str">
        <f>IF(Nodes[[#This Row],[Bezeichnung2]] = "gegenspieler",5,"")</f>
        <v/>
      </c>
    </row>
    <row r="168" spans="1:20" x14ac:dyDescent="0.3">
      <c r="A168" t="s">
        <v>208</v>
      </c>
      <c r="B168" t="s">
        <v>149</v>
      </c>
      <c r="C168" t="s">
        <v>47</v>
      </c>
      <c r="D168" t="s">
        <v>135</v>
      </c>
      <c r="E168" t="s">
        <v>28</v>
      </c>
      <c r="F168" t="s">
        <v>136</v>
      </c>
      <c r="G168" t="s">
        <v>26</v>
      </c>
      <c r="H168" t="str">
        <f t="shared" si="4"/>
        <v>buergerlich</v>
      </c>
      <c r="I168" t="str" cm="1">
        <f t="array" ref="I168">_xlfn.SWITCH(A168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68" s="4">
        <f>IF(AND(B168=Werte!B168,LEFT(A168,5)=LEFT(Werte!A168,5)),Werte!C168,"not found")</f>
        <v>1.1428571428571399</v>
      </c>
      <c r="K168" s="4">
        <f>IF(AND(B168=Werte!B168,LEFT(A168,5)=LEFT(Werte!A168,5)),Werte!D168,"not found")</f>
        <v>0.17460317460317501</v>
      </c>
      <c r="L168" s="4">
        <f>IF(AND(B168=Werte!B168,LEFT(A168,5)=LEFT(Werte!A168,5)),Werte!E168,"not found")</f>
        <v>0.58333333333333304</v>
      </c>
      <c r="M168" s="4">
        <f>IF(AND(B168=Werte!B168,LEFT(A168,5)=LEFT(Werte!A168,5)),Werte!F168,"not found")</f>
        <v>0.36192709358522301</v>
      </c>
      <c r="N168" s="4" t="str">
        <f t="shared" si="5"/>
        <v>kind</v>
      </c>
      <c r="O168" s="4" cm="1">
        <f t="array" ref="O168">_xlfn.SWITCH(A168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68" s="4" t="str">
        <f>IF(Nodes[[#This Row],[Bezeichnung2]] = "betrueger",1,"")</f>
        <v/>
      </c>
      <c r="Q168" s="4" t="str">
        <f>IF(Nodes[[#This Row],[Bezeichnung2]] = "betrogener",2,"")</f>
        <v/>
      </c>
      <c r="R168" s="4" t="str">
        <f>IF(Nodes[[#This Row],[Bezeichnung2]] = "liebender",3,"")</f>
        <v/>
      </c>
      <c r="S168" s="4" t="str">
        <f>IF(Nodes[[#This Row],[Bezeichnung2]] = "liebende",4,"")</f>
        <v/>
      </c>
      <c r="T168" s="4" t="str">
        <f>IF(Nodes[[#This Row],[Bezeichnung2]] = "gegenspieler",5,"")</f>
        <v/>
      </c>
    </row>
    <row r="169" spans="1:20" x14ac:dyDescent="0.3">
      <c r="A169" t="s">
        <v>208</v>
      </c>
      <c r="B169" t="s">
        <v>100</v>
      </c>
      <c r="C169" t="s">
        <v>18</v>
      </c>
      <c r="D169" t="s">
        <v>101</v>
      </c>
      <c r="E169" t="s">
        <v>47</v>
      </c>
      <c r="F169" t="s">
        <v>93</v>
      </c>
      <c r="G169" t="s">
        <v>22</v>
      </c>
      <c r="H169" t="str">
        <f t="shared" si="4"/>
        <v>buergerlich</v>
      </c>
      <c r="I169" t="str" cm="1">
        <f t="array" ref="I169">_xlfn.SWITCH(A169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69" s="4">
        <f>IF(AND(B169=Werte!B169,LEFT(A169,5)=LEFT(Werte!A169,5)),Werte!C169,"not found")</f>
        <v>2</v>
      </c>
      <c r="K169" s="4">
        <f>IF(AND(B169=Werte!B169,LEFT(A169,5)=LEFT(Werte!A169,5)),Werte!D169,"not found")</f>
        <v>7.1428571428571397E-2</v>
      </c>
      <c r="L169" s="4">
        <f>IF(AND(B169=Werte!B169,LEFT(A169,5)=LEFT(Werte!A169,5)),Werte!E169,"not found")</f>
        <v>0.58333333333333304</v>
      </c>
      <c r="M169" s="4">
        <f>IF(AND(B169=Werte!B169,LEFT(A169,5)=LEFT(Werte!A169,5)),Werte!F169,"not found")</f>
        <v>0.87639159649611098</v>
      </c>
      <c r="N169" s="4" t="str">
        <f t="shared" si="5"/>
        <v>betrogener</v>
      </c>
      <c r="O169" s="4" cm="1">
        <f t="array" ref="O169">_xlfn.SWITCH(A169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69" s="4" t="str">
        <f>IF(Nodes[[#This Row],[Bezeichnung2]] = "betrueger",1,"")</f>
        <v/>
      </c>
      <c r="Q169" s="4">
        <f>IF(Nodes[[#This Row],[Bezeichnung2]] = "betrogener",2,"")</f>
        <v>2</v>
      </c>
      <c r="R169" s="4" t="str">
        <f>IF(Nodes[[#This Row],[Bezeichnung2]] = "liebender",3,"")</f>
        <v/>
      </c>
      <c r="S169" s="4" t="str">
        <f>IF(Nodes[[#This Row],[Bezeichnung2]] = "liebende",4,"")</f>
        <v/>
      </c>
      <c r="T169" s="4" t="str">
        <f>IF(Nodes[[#This Row],[Bezeichnung2]] = "gegenspieler",5,"")</f>
        <v/>
      </c>
    </row>
    <row r="170" spans="1:20" x14ac:dyDescent="0.3">
      <c r="A170" t="s">
        <v>208</v>
      </c>
      <c r="B170" t="s">
        <v>51</v>
      </c>
      <c r="C170" t="s">
        <v>46</v>
      </c>
      <c r="D170" t="s">
        <v>47</v>
      </c>
      <c r="E170" t="s">
        <v>47</v>
      </c>
      <c r="F170" t="s">
        <v>47</v>
      </c>
      <c r="G170" t="s">
        <v>26</v>
      </c>
      <c r="H170" t="str">
        <f t="shared" si="4"/>
        <v>unbekannt</v>
      </c>
      <c r="I170" t="str" cm="1">
        <f t="array" ref="I170">_xlfn.SWITCH(A170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70" s="4">
        <f>IF(AND(B170=Werte!B170,LEFT(A170,5)=LEFT(Werte!A170,5)),Werte!C170,"not found")</f>
        <v>1.4285714285714299</v>
      </c>
      <c r="K170" s="4">
        <f>IF(AND(B170=Werte!B170,LEFT(A170,5)=LEFT(Werte!A170,5)),Werte!D170,"not found")</f>
        <v>0.49206349206349198</v>
      </c>
      <c r="L170" s="4">
        <f>IF(AND(B170=Werte!B170,LEFT(A170,5)=LEFT(Werte!A170,5)),Werte!E170,"not found")</f>
        <v>0.77777777777777801</v>
      </c>
      <c r="M170" s="4">
        <f>IF(AND(B170=Werte!B170,LEFT(A170,5)=LEFT(Werte!A170,5)),Werte!F170,"not found")</f>
        <v>0.182723492296711</v>
      </c>
      <c r="N170" s="4" t="str">
        <f t="shared" si="5"/>
        <v>unbekannt</v>
      </c>
      <c r="O170" s="4" cm="1">
        <f t="array" ref="O170">_xlfn.SWITCH(A170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70" s="4" t="str">
        <f>IF(Nodes[[#This Row],[Bezeichnung2]] = "betrueger",1,"")</f>
        <v/>
      </c>
      <c r="Q170" s="4" t="str">
        <f>IF(Nodes[[#This Row],[Bezeichnung2]] = "betrogener",2,"")</f>
        <v/>
      </c>
      <c r="R170" s="4" t="str">
        <f>IF(Nodes[[#This Row],[Bezeichnung2]] = "liebender",3,"")</f>
        <v/>
      </c>
      <c r="S170" s="4" t="str">
        <f>IF(Nodes[[#This Row],[Bezeichnung2]] = "liebende",4,"")</f>
        <v/>
      </c>
      <c r="T170" s="4" t="str">
        <f>IF(Nodes[[#This Row],[Bezeichnung2]] = "gegenspieler",5,"")</f>
        <v/>
      </c>
    </row>
    <row r="171" spans="1:20" x14ac:dyDescent="0.3">
      <c r="A171" t="s">
        <v>208</v>
      </c>
      <c r="B171" t="s">
        <v>209</v>
      </c>
      <c r="C171" t="s">
        <v>46</v>
      </c>
      <c r="D171" t="s">
        <v>138</v>
      </c>
      <c r="E171" t="s">
        <v>47</v>
      </c>
      <c r="F171" t="s">
        <v>47</v>
      </c>
      <c r="G171" t="s">
        <v>26</v>
      </c>
      <c r="H171" t="str">
        <f t="shared" si="4"/>
        <v>buergerlich</v>
      </c>
      <c r="I171" t="str" cm="1">
        <f t="array" ref="I171">_xlfn.SWITCH(A171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71" s="4">
        <f>IF(AND(B171=Werte!B171,LEFT(A171,5)=LEFT(Werte!A171,5)),Werte!C171,"not found")</f>
        <v>0.85714285714285698</v>
      </c>
      <c r="K171" s="4">
        <f>IF(AND(B171=Werte!B171,LEFT(A171,5)=LEFT(Werte!A171,5)),Werte!D171,"not found")</f>
        <v>6.3492063492063502E-2</v>
      </c>
      <c r="L171" s="4">
        <f>IF(AND(B171=Werte!B171,LEFT(A171,5)=LEFT(Werte!A171,5)),Werte!E171,"not found")</f>
        <v>0.5</v>
      </c>
      <c r="M171" s="4">
        <f>IF(AND(B171=Werte!B171,LEFT(A171,5)=LEFT(Werte!A171,5)),Werte!F171,"not found")</f>
        <v>0.22323353898209999</v>
      </c>
      <c r="N171" s="4" t="str">
        <f t="shared" si="5"/>
        <v>unbekannt</v>
      </c>
      <c r="O171" s="4" cm="1">
        <f t="array" ref="O171">_xlfn.SWITCH(A171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71" s="4" t="str">
        <f>IF(Nodes[[#This Row],[Bezeichnung2]] = "betrueger",1,"")</f>
        <v/>
      </c>
      <c r="Q171" s="4" t="str">
        <f>IF(Nodes[[#This Row],[Bezeichnung2]] = "betrogener",2,"")</f>
        <v/>
      </c>
      <c r="R171" s="4" t="str">
        <f>IF(Nodes[[#This Row],[Bezeichnung2]] = "liebender",3,"")</f>
        <v/>
      </c>
      <c r="S171" s="4" t="str">
        <f>IF(Nodes[[#This Row],[Bezeichnung2]] = "liebende",4,"")</f>
        <v/>
      </c>
      <c r="T171" s="4" t="str">
        <f>IF(Nodes[[#This Row],[Bezeichnung2]] = "gegenspieler",5,"")</f>
        <v/>
      </c>
    </row>
    <row r="172" spans="1:20" x14ac:dyDescent="0.3">
      <c r="A172" t="s">
        <v>210</v>
      </c>
      <c r="B172" t="s">
        <v>211</v>
      </c>
      <c r="C172" t="s">
        <v>18</v>
      </c>
      <c r="D172" t="s">
        <v>31</v>
      </c>
      <c r="E172" t="s">
        <v>47</v>
      </c>
      <c r="F172" t="s">
        <v>93</v>
      </c>
      <c r="G172" t="s">
        <v>22</v>
      </c>
      <c r="H172" t="str">
        <f t="shared" si="4"/>
        <v>adel</v>
      </c>
      <c r="I172" t="str" cm="1">
        <f t="array" ref="I172">_xlfn.SWITCH(A172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72" s="4">
        <f>IF(AND(B172=Werte!B172,LEFT(A172,5)=LEFT(Werte!A172,5)),Werte!C172,"not found")</f>
        <v>2</v>
      </c>
      <c r="K172" s="4">
        <f>IF(AND(B172=Werte!B172,LEFT(A172,5)=LEFT(Werte!A172,5)),Werte!D172,"not found")</f>
        <v>8.7962962962963007E-2</v>
      </c>
      <c r="L172" s="4">
        <f>IF(AND(B172=Werte!B172,LEFT(A172,5)=LEFT(Werte!A172,5)),Werte!E172,"not found")</f>
        <v>0.47368421052631599</v>
      </c>
      <c r="M172" s="4">
        <f>IF(AND(B172=Werte!B172,LEFT(A172,5)=LEFT(Werte!A172,5)),Werte!F172,"not found")</f>
        <v>1</v>
      </c>
      <c r="N172" s="4" t="str">
        <f t="shared" si="5"/>
        <v>betrogener</v>
      </c>
      <c r="O172" s="4" cm="1">
        <f t="array" ref="O172">_xlfn.SWITCH(A172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72" s="4" t="str">
        <f>IF(Nodes[[#This Row],[Bezeichnung2]] = "betrueger",1,"")</f>
        <v/>
      </c>
      <c r="Q172" s="4">
        <f>IF(Nodes[[#This Row],[Bezeichnung2]] = "betrogener",2,"")</f>
        <v>2</v>
      </c>
      <c r="R172" s="4" t="str">
        <f>IF(Nodes[[#This Row],[Bezeichnung2]] = "liebender",3,"")</f>
        <v/>
      </c>
      <c r="S172" s="4" t="str">
        <f>IF(Nodes[[#This Row],[Bezeichnung2]] = "liebende",4,"")</f>
        <v/>
      </c>
      <c r="T172" s="4" t="str">
        <f>IF(Nodes[[#This Row],[Bezeichnung2]] = "gegenspieler",5,"")</f>
        <v/>
      </c>
    </row>
    <row r="173" spans="1:20" x14ac:dyDescent="0.3">
      <c r="A173" t="s">
        <v>210</v>
      </c>
      <c r="B173" t="s">
        <v>212</v>
      </c>
      <c r="C173" t="s">
        <v>18</v>
      </c>
      <c r="D173" t="s">
        <v>19</v>
      </c>
      <c r="E173" t="s">
        <v>19</v>
      </c>
      <c r="F173" t="s">
        <v>96</v>
      </c>
      <c r="G173" t="s">
        <v>22</v>
      </c>
      <c r="H173" t="str">
        <f t="shared" si="4"/>
        <v>NA</v>
      </c>
      <c r="I173" t="str" cm="1">
        <f t="array" ref="I173">_xlfn.SWITCH(A173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73" s="4">
        <f>IF(AND(B173=Werte!B173,LEFT(A173,5)=LEFT(Werte!A173,5)),Werte!C173,"not found")</f>
        <v>1.7777777777777799</v>
      </c>
      <c r="K173" s="4">
        <f>IF(AND(B173=Werte!B173,LEFT(A173,5)=LEFT(Werte!A173,5)),Werte!D173,"not found")</f>
        <v>0.24537037037036999</v>
      </c>
      <c r="L173" s="4">
        <f>IF(AND(B173=Werte!B173,LEFT(A173,5)=LEFT(Werte!A173,5)),Werte!E173,"not found")</f>
        <v>0.5</v>
      </c>
      <c r="M173" s="4">
        <f>IF(AND(B173=Werte!B173,LEFT(A173,5)=LEFT(Werte!A173,5)),Werte!F173,"not found")</f>
        <v>0.81199406616390601</v>
      </c>
      <c r="N173" s="4" t="str">
        <f t="shared" si="5"/>
        <v>betrueger</v>
      </c>
      <c r="O173" s="4" cm="1">
        <f t="array" ref="O173">_xlfn.SWITCH(A173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73" s="4">
        <f>IF(Nodes[[#This Row],[Bezeichnung2]] = "betrueger",1,"")</f>
        <v>1</v>
      </c>
      <c r="Q173" s="4" t="str">
        <f>IF(Nodes[[#This Row],[Bezeichnung2]] = "betrogener",2,"")</f>
        <v/>
      </c>
      <c r="R173" s="4" t="str">
        <f>IF(Nodes[[#This Row],[Bezeichnung2]] = "liebender",3,"")</f>
        <v/>
      </c>
      <c r="S173" s="4" t="str">
        <f>IF(Nodes[[#This Row],[Bezeichnung2]] = "liebende",4,"")</f>
        <v/>
      </c>
      <c r="T173" s="4" t="str">
        <f>IF(Nodes[[#This Row],[Bezeichnung2]] = "gegenspieler",5,"")</f>
        <v/>
      </c>
    </row>
    <row r="174" spans="1:20" x14ac:dyDescent="0.3">
      <c r="A174" t="s">
        <v>210</v>
      </c>
      <c r="B174" t="s">
        <v>213</v>
      </c>
      <c r="C174" t="s">
        <v>18</v>
      </c>
      <c r="D174" t="s">
        <v>214</v>
      </c>
      <c r="E174" t="s">
        <v>47</v>
      </c>
      <c r="F174" t="s">
        <v>47</v>
      </c>
      <c r="G174" t="s">
        <v>26</v>
      </c>
      <c r="H174" t="str">
        <f t="shared" si="4"/>
        <v>adel</v>
      </c>
      <c r="I174" t="str" cm="1">
        <f t="array" ref="I174">_xlfn.SWITCH(A174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74" s="4">
        <f>IF(AND(B174=Werte!B174,LEFT(A174,5)=LEFT(Werte!A174,5)),Werte!C174,"not found")</f>
        <v>1.1111111111111101</v>
      </c>
      <c r="K174" s="4">
        <f>IF(AND(B174=Werte!B174,LEFT(A174,5)=LEFT(Werte!A174,5)),Werte!D174,"not found")</f>
        <v>6.9444444444444406E-2</v>
      </c>
      <c r="L174" s="4">
        <f>IF(AND(B174=Werte!B174,LEFT(A174,5)=LEFT(Werte!A174,5)),Werte!E174,"not found")</f>
        <v>0.42857142857142899</v>
      </c>
      <c r="M174" s="4">
        <f>IF(AND(B174=Werte!B174,LEFT(A174,5)=LEFT(Werte!A174,5)),Werte!F174,"not found")</f>
        <v>0.33309027936334501</v>
      </c>
      <c r="N174" s="4" t="str">
        <f t="shared" si="5"/>
        <v>unbekannt</v>
      </c>
      <c r="O174" s="4" cm="1">
        <f t="array" ref="O174">_xlfn.SWITCH(A174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74" s="4" t="str">
        <f>IF(Nodes[[#This Row],[Bezeichnung2]] = "betrueger",1,"")</f>
        <v/>
      </c>
      <c r="Q174" s="4" t="str">
        <f>IF(Nodes[[#This Row],[Bezeichnung2]] = "betrogener",2,"")</f>
        <v/>
      </c>
      <c r="R174" s="4" t="str">
        <f>IF(Nodes[[#This Row],[Bezeichnung2]] = "liebender",3,"")</f>
        <v/>
      </c>
      <c r="S174" s="4" t="str">
        <f>IF(Nodes[[#This Row],[Bezeichnung2]] = "liebende",4,"")</f>
        <v/>
      </c>
      <c r="T174" s="4" t="str">
        <f>IF(Nodes[[#This Row],[Bezeichnung2]] = "gegenspieler",5,"")</f>
        <v/>
      </c>
    </row>
    <row r="175" spans="1:20" x14ac:dyDescent="0.3">
      <c r="A175" t="s">
        <v>210</v>
      </c>
      <c r="B175" t="s">
        <v>215</v>
      </c>
      <c r="C175" t="s">
        <v>46</v>
      </c>
      <c r="D175" t="s">
        <v>214</v>
      </c>
      <c r="E175" t="s">
        <v>47</v>
      </c>
      <c r="F175" t="s">
        <v>47</v>
      </c>
      <c r="G175" t="s">
        <v>26</v>
      </c>
      <c r="H175" t="str">
        <f t="shared" si="4"/>
        <v>adel</v>
      </c>
      <c r="I175" t="str" cm="1">
        <f t="array" ref="I175">_xlfn.SWITCH(A175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75" s="4">
        <f>IF(AND(B175=Werte!B175,LEFT(A175,5)=LEFT(Werte!A175,5)),Werte!C175,"not found")</f>
        <v>0.66666666666666696</v>
      </c>
      <c r="K175" s="4">
        <f>IF(AND(B175=Werte!B175,LEFT(A175,5)=LEFT(Werte!A175,5)),Werte!D175,"not found")</f>
        <v>1.85185185185185E-2</v>
      </c>
      <c r="L175" s="4">
        <f>IF(AND(B175=Werte!B175,LEFT(A175,5)=LEFT(Werte!A175,5)),Werte!E175,"not found")</f>
        <v>0.42857142857142899</v>
      </c>
      <c r="M175" s="4">
        <f>IF(AND(B175=Werte!B175,LEFT(A175,5)=LEFT(Werte!A175,5)),Werte!F175,"not found")</f>
        <v>0.13622536954321901</v>
      </c>
      <c r="N175" s="4" t="str">
        <f t="shared" si="5"/>
        <v>unbekannt</v>
      </c>
      <c r="O175" s="4" cm="1">
        <f t="array" ref="O175">_xlfn.SWITCH(A175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75" s="4" t="str">
        <f>IF(Nodes[[#This Row],[Bezeichnung2]] = "betrueger",1,"")</f>
        <v/>
      </c>
      <c r="Q175" s="4" t="str">
        <f>IF(Nodes[[#This Row],[Bezeichnung2]] = "betrogener",2,"")</f>
        <v/>
      </c>
      <c r="R175" s="4" t="str">
        <f>IF(Nodes[[#This Row],[Bezeichnung2]] = "liebender",3,"")</f>
        <v/>
      </c>
      <c r="S175" s="4" t="str">
        <f>IF(Nodes[[#This Row],[Bezeichnung2]] = "liebende",4,"")</f>
        <v/>
      </c>
      <c r="T175" s="4" t="str">
        <f>IF(Nodes[[#This Row],[Bezeichnung2]] = "gegenspieler",5,"")</f>
        <v/>
      </c>
    </row>
    <row r="176" spans="1:20" x14ac:dyDescent="0.3">
      <c r="A176" t="s">
        <v>210</v>
      </c>
      <c r="B176" t="s">
        <v>216</v>
      </c>
      <c r="C176" t="s">
        <v>18</v>
      </c>
      <c r="D176" t="s">
        <v>101</v>
      </c>
      <c r="E176" t="s">
        <v>47</v>
      </c>
      <c r="F176" t="s">
        <v>53</v>
      </c>
      <c r="G176" t="s">
        <v>26</v>
      </c>
      <c r="H176" t="str">
        <f t="shared" si="4"/>
        <v>buergerlich</v>
      </c>
      <c r="I176" t="str" cm="1">
        <f t="array" ref="I176">_xlfn.SWITCH(A176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76" s="4">
        <f>IF(AND(B176=Werte!B176,LEFT(A176,5)=LEFT(Werte!A176,5)),Werte!C176,"not found")</f>
        <v>1.3333333333333299</v>
      </c>
      <c r="K176" s="4">
        <f>IF(AND(B176=Werte!B176,LEFT(A176,5)=LEFT(Werte!A176,5)),Werte!D176,"not found")</f>
        <v>0.171296296296296</v>
      </c>
      <c r="L176" s="4">
        <f>IF(AND(B176=Werte!B176,LEFT(A176,5)=LEFT(Werte!A176,5)),Werte!E176,"not found")</f>
        <v>0.52941176470588203</v>
      </c>
      <c r="M176" s="4">
        <f>IF(AND(B176=Werte!B176,LEFT(A176,5)=LEFT(Werte!A176,5)),Werte!F176,"not found")</f>
        <v>0.57925812999990201</v>
      </c>
      <c r="N176" s="4" t="str">
        <f t="shared" si="5"/>
        <v>helfer</v>
      </c>
      <c r="O176" s="4" cm="1">
        <f t="array" ref="O176">_xlfn.SWITCH(A176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76" s="4" t="str">
        <f>IF(Nodes[[#This Row],[Bezeichnung2]] = "betrueger",1,"")</f>
        <v/>
      </c>
      <c r="Q176" s="4" t="str">
        <f>IF(Nodes[[#This Row],[Bezeichnung2]] = "betrogener",2,"")</f>
        <v/>
      </c>
      <c r="R176" s="4" t="str">
        <f>IF(Nodes[[#This Row],[Bezeichnung2]] = "liebender",3,"")</f>
        <v/>
      </c>
      <c r="S176" s="4" t="str">
        <f>IF(Nodes[[#This Row],[Bezeichnung2]] = "liebende",4,"")</f>
        <v/>
      </c>
      <c r="T176" s="4" t="str">
        <f>IF(Nodes[[#This Row],[Bezeichnung2]] = "gegenspieler",5,"")</f>
        <v/>
      </c>
    </row>
    <row r="177" spans="1:20" x14ac:dyDescent="0.3">
      <c r="A177" t="s">
        <v>210</v>
      </c>
      <c r="B177" t="s">
        <v>217</v>
      </c>
      <c r="C177" t="s">
        <v>18</v>
      </c>
      <c r="D177" t="s">
        <v>218</v>
      </c>
      <c r="E177" t="s">
        <v>47</v>
      </c>
      <c r="F177" t="s">
        <v>104</v>
      </c>
      <c r="G177" t="s">
        <v>26</v>
      </c>
      <c r="H177" t="str">
        <f t="shared" si="4"/>
        <v>buergerlich</v>
      </c>
      <c r="I177" t="str" cm="1">
        <f t="array" ref="I177">_xlfn.SWITCH(A177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77" s="4">
        <f>IF(AND(B177=Werte!B177,LEFT(A177,5)=LEFT(Werte!A177,5)),Werte!C177,"not found")</f>
        <v>0.66666666666666696</v>
      </c>
      <c r="K177" s="4">
        <f>IF(AND(B177=Werte!B177,LEFT(A177,5)=LEFT(Werte!A177,5)),Werte!D177,"not found")</f>
        <v>0</v>
      </c>
      <c r="L177" s="4">
        <f>IF(AND(B177=Werte!B177,LEFT(A177,5)=LEFT(Werte!A177,5)),Werte!E177,"not found")</f>
        <v>0.34615384615384598</v>
      </c>
      <c r="M177" s="4">
        <f>IF(AND(B177=Werte!B177,LEFT(A177,5)=LEFT(Werte!A177,5)),Werte!F177,"not found")</f>
        <v>0.21736092644973701</v>
      </c>
      <c r="N177" s="4" t="str">
        <f t="shared" si="5"/>
        <v>bote</v>
      </c>
      <c r="O177" s="4" cm="1">
        <f t="array" ref="O177">_xlfn.SWITCH(A177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77" s="4" t="str">
        <f>IF(Nodes[[#This Row],[Bezeichnung2]] = "betrueger",1,"")</f>
        <v/>
      </c>
      <c r="Q177" s="4" t="str">
        <f>IF(Nodes[[#This Row],[Bezeichnung2]] = "betrogener",2,"")</f>
        <v/>
      </c>
      <c r="R177" s="4" t="str">
        <f>IF(Nodes[[#This Row],[Bezeichnung2]] = "liebender",3,"")</f>
        <v/>
      </c>
      <c r="S177" s="4" t="str">
        <f>IF(Nodes[[#This Row],[Bezeichnung2]] = "liebende",4,"")</f>
        <v/>
      </c>
      <c r="T177" s="4" t="str">
        <f>IF(Nodes[[#This Row],[Bezeichnung2]] = "gegenspieler",5,"")</f>
        <v/>
      </c>
    </row>
    <row r="178" spans="1:20" x14ac:dyDescent="0.3">
      <c r="A178" t="s">
        <v>210</v>
      </c>
      <c r="B178" t="s">
        <v>219</v>
      </c>
      <c r="C178" t="s">
        <v>46</v>
      </c>
      <c r="D178" t="s">
        <v>176</v>
      </c>
      <c r="E178" t="s">
        <v>47</v>
      </c>
      <c r="F178" t="s">
        <v>47</v>
      </c>
      <c r="G178" t="s">
        <v>26</v>
      </c>
      <c r="H178" t="str">
        <f t="shared" si="4"/>
        <v>adel</v>
      </c>
      <c r="I178" t="str" cm="1">
        <f t="array" ref="I178">_xlfn.SWITCH(A178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78" s="4">
        <f>IF(AND(B178=Werte!B178,LEFT(A178,5)=LEFT(Werte!A178,5)),Werte!C178,"not found")</f>
        <v>1.3333333333333299</v>
      </c>
      <c r="K178" s="4">
        <f>IF(AND(B178=Werte!B178,LEFT(A178,5)=LEFT(Werte!A178,5)),Werte!D178,"not found")</f>
        <v>0.180555555555556</v>
      </c>
      <c r="L178" s="4">
        <f>IF(AND(B178=Werte!B178,LEFT(A178,5)=LEFT(Werte!A178,5)),Werte!E178,"not found")</f>
        <v>0.52941176470588203</v>
      </c>
      <c r="M178" s="4">
        <f>IF(AND(B178=Werte!B178,LEFT(A178,5)=LEFT(Werte!A178,5)),Werte!F178,"not found")</f>
        <v>0.41989076013968601</v>
      </c>
      <c r="N178" s="4" t="str">
        <f t="shared" si="5"/>
        <v>unbekannt</v>
      </c>
      <c r="O178" s="4" cm="1">
        <f t="array" ref="O178">_xlfn.SWITCH(A178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78" s="4" t="str">
        <f>IF(Nodes[[#This Row],[Bezeichnung2]] = "betrueger",1,"")</f>
        <v/>
      </c>
      <c r="Q178" s="4" t="str">
        <f>IF(Nodes[[#This Row],[Bezeichnung2]] = "betrogener",2,"")</f>
        <v/>
      </c>
      <c r="R178" s="4" t="str">
        <f>IF(Nodes[[#This Row],[Bezeichnung2]] = "liebender",3,"")</f>
        <v/>
      </c>
      <c r="S178" s="4" t="str">
        <f>IF(Nodes[[#This Row],[Bezeichnung2]] = "liebende",4,"")</f>
        <v/>
      </c>
      <c r="T178" s="4" t="str">
        <f>IF(Nodes[[#This Row],[Bezeichnung2]] = "gegenspieler",5,"")</f>
        <v/>
      </c>
    </row>
    <row r="179" spans="1:20" x14ac:dyDescent="0.3">
      <c r="A179" t="s">
        <v>210</v>
      </c>
      <c r="B179" t="s">
        <v>220</v>
      </c>
      <c r="C179" t="s">
        <v>24</v>
      </c>
      <c r="D179" t="s">
        <v>35</v>
      </c>
      <c r="E179" t="s">
        <v>47</v>
      </c>
      <c r="F179" t="s">
        <v>25</v>
      </c>
      <c r="G179" t="s">
        <v>26</v>
      </c>
      <c r="H179" t="str">
        <f t="shared" si="4"/>
        <v>adel</v>
      </c>
      <c r="I179" t="str" cm="1">
        <f t="array" ref="I179">_xlfn.SWITCH(A179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79" s="4">
        <f>IF(AND(B179=Werte!B179,LEFT(A179,5)=LEFT(Werte!A179,5)),Werte!C179,"not found")</f>
        <v>1.1111111111111101</v>
      </c>
      <c r="K179" s="4">
        <f>IF(AND(B179=Werte!B179,LEFT(A179,5)=LEFT(Werte!A179,5)),Werte!D179,"not found")</f>
        <v>2.7777777777777801E-2</v>
      </c>
      <c r="L179" s="4">
        <f>IF(AND(B179=Werte!B179,LEFT(A179,5)=LEFT(Werte!A179,5)),Werte!E179,"not found")</f>
        <v>0.40909090909090901</v>
      </c>
      <c r="M179" s="4">
        <f>IF(AND(B179=Werte!B179,LEFT(A179,5)=LEFT(Werte!A179,5)),Werte!F179,"not found")</f>
        <v>0.37630478201439099</v>
      </c>
      <c r="N179" s="4" t="str">
        <f t="shared" si="5"/>
        <v>ehefrau</v>
      </c>
      <c r="O179" s="4" cm="1">
        <f t="array" ref="O179">_xlfn.SWITCH(A179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79" s="4" t="str">
        <f>IF(Nodes[[#This Row],[Bezeichnung2]] = "betrueger",1,"")</f>
        <v/>
      </c>
      <c r="Q179" s="4" t="str">
        <f>IF(Nodes[[#This Row],[Bezeichnung2]] = "betrogener",2,"")</f>
        <v/>
      </c>
      <c r="R179" s="4" t="str">
        <f>IF(Nodes[[#This Row],[Bezeichnung2]] = "liebender",3,"")</f>
        <v/>
      </c>
      <c r="S179" s="4" t="str">
        <f>IF(Nodes[[#This Row],[Bezeichnung2]] = "liebende",4,"")</f>
        <v/>
      </c>
      <c r="T179" s="4" t="str">
        <f>IF(Nodes[[#This Row],[Bezeichnung2]] = "gegenspieler",5,"")</f>
        <v/>
      </c>
    </row>
    <row r="180" spans="1:20" x14ac:dyDescent="0.3">
      <c r="A180" t="s">
        <v>210</v>
      </c>
      <c r="B180" t="s">
        <v>56</v>
      </c>
      <c r="C180" t="s">
        <v>18</v>
      </c>
      <c r="D180" t="s">
        <v>57</v>
      </c>
      <c r="E180" t="s">
        <v>47</v>
      </c>
      <c r="F180" t="s">
        <v>47</v>
      </c>
      <c r="G180" t="s">
        <v>26</v>
      </c>
      <c r="H180" t="str">
        <f t="shared" si="4"/>
        <v>adel</v>
      </c>
      <c r="I180" t="str" cm="1">
        <f t="array" ref="I180">_xlfn.SWITCH(A180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80" s="4">
        <f>IF(AND(B180=Werte!B180,LEFT(A180,5)=LEFT(Werte!A180,5)),Werte!C180,"not found")</f>
        <v>0.66666666666666696</v>
      </c>
      <c r="K180" s="4">
        <f>IF(AND(B180=Werte!B180,LEFT(A180,5)=LEFT(Werte!A180,5)),Werte!D180,"not found")</f>
        <v>0.21296296296296299</v>
      </c>
      <c r="L180" s="4">
        <f>IF(AND(B180=Werte!B180,LEFT(A180,5)=LEFT(Werte!A180,5)),Werte!E180,"not found")</f>
        <v>0.5625</v>
      </c>
      <c r="M180" s="4">
        <f>IF(AND(B180=Werte!B180,LEFT(A180,5)=LEFT(Werte!A180,5)),Werte!F180,"not found")</f>
        <v>9.3655221265290703E-2</v>
      </c>
      <c r="N180" s="4" t="str">
        <f t="shared" si="5"/>
        <v>unbekannt</v>
      </c>
      <c r="O180" s="4" cm="1">
        <f t="array" ref="O180">_xlfn.SWITCH(A180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80" s="4" t="str">
        <f>IF(Nodes[[#This Row],[Bezeichnung2]] = "betrueger",1,"")</f>
        <v/>
      </c>
      <c r="Q180" s="4" t="str">
        <f>IF(Nodes[[#This Row],[Bezeichnung2]] = "betrogener",2,"")</f>
        <v/>
      </c>
      <c r="R180" s="4" t="str">
        <f>IF(Nodes[[#This Row],[Bezeichnung2]] = "liebender",3,"")</f>
        <v/>
      </c>
      <c r="S180" s="4" t="str">
        <f>IF(Nodes[[#This Row],[Bezeichnung2]] = "liebende",4,"")</f>
        <v/>
      </c>
      <c r="T180" s="4" t="str">
        <f>IF(Nodes[[#This Row],[Bezeichnung2]] = "gegenspieler",5,"")</f>
        <v/>
      </c>
    </row>
    <row r="181" spans="1:20" x14ac:dyDescent="0.3">
      <c r="A181" t="s">
        <v>210</v>
      </c>
      <c r="B181" t="s">
        <v>221</v>
      </c>
      <c r="C181" t="s">
        <v>18</v>
      </c>
      <c r="D181" t="s">
        <v>57</v>
      </c>
      <c r="E181" t="s">
        <v>32</v>
      </c>
      <c r="F181" t="s">
        <v>47</v>
      </c>
      <c r="G181" t="s">
        <v>26</v>
      </c>
      <c r="H181" t="str">
        <f t="shared" si="4"/>
        <v>adel</v>
      </c>
      <c r="I181" t="str" cm="1">
        <f t="array" ref="I181">_xlfn.SWITCH(A181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81" s="4">
        <f>IF(AND(B181=Werte!B181,LEFT(A181,5)=LEFT(Werte!A181,5)),Werte!C181,"not found")</f>
        <v>0.44444444444444398</v>
      </c>
      <c r="K181" s="4">
        <f>IF(AND(B181=Werte!B181,LEFT(A181,5)=LEFT(Werte!A181,5)),Werte!D181,"not found")</f>
        <v>5.5555555555555601E-2</v>
      </c>
      <c r="L181" s="4">
        <f>IF(AND(B181=Werte!B181,LEFT(A181,5)=LEFT(Werte!A181,5)),Werte!E181,"not found")</f>
        <v>0.42857142857142899</v>
      </c>
      <c r="M181" s="4">
        <f>IF(AND(B181=Werte!B181,LEFT(A181,5)=LEFT(Werte!A181,5)),Werte!F181,"not found")</f>
        <v>5.56111076559632E-2</v>
      </c>
      <c r="N181" s="4" t="str">
        <f t="shared" si="5"/>
        <v>unbekannt</v>
      </c>
      <c r="O181" s="4" cm="1">
        <f t="array" ref="O181">_xlfn.SWITCH(A181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81" s="4" t="str">
        <f>IF(Nodes[[#This Row],[Bezeichnung2]] = "betrueger",1,"")</f>
        <v/>
      </c>
      <c r="Q181" s="4" t="str">
        <f>IF(Nodes[[#This Row],[Bezeichnung2]] = "betrogener",2,"")</f>
        <v/>
      </c>
      <c r="R181" s="4" t="str">
        <f>IF(Nodes[[#This Row],[Bezeichnung2]] = "liebender",3,"")</f>
        <v/>
      </c>
      <c r="S181" s="4" t="str">
        <f>IF(Nodes[[#This Row],[Bezeichnung2]] = "liebende",4,"")</f>
        <v/>
      </c>
      <c r="T181" s="4" t="str">
        <f>IF(Nodes[[#This Row],[Bezeichnung2]] = "gegenspieler",5,"")</f>
        <v/>
      </c>
    </row>
    <row r="182" spans="1:20" x14ac:dyDescent="0.3">
      <c r="A182" t="s">
        <v>222</v>
      </c>
      <c r="B182" t="s">
        <v>223</v>
      </c>
      <c r="C182" t="s">
        <v>18</v>
      </c>
      <c r="D182" t="s">
        <v>57</v>
      </c>
      <c r="E182" t="s">
        <v>47</v>
      </c>
      <c r="F182" t="s">
        <v>50</v>
      </c>
      <c r="G182" t="s">
        <v>22</v>
      </c>
      <c r="H182" t="str">
        <f t="shared" si="4"/>
        <v>adel</v>
      </c>
      <c r="I182" t="str" cm="1">
        <f t="array" ref="I182">_xlfn.SWITCH(A182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82" s="4">
        <f>IF(AND(B182=Werte!B182,LEFT(A182,5)=LEFT(Werte!A182,5)),Werte!C182,"not found")</f>
        <v>2</v>
      </c>
      <c r="K182" s="4">
        <f>IF(AND(B182=Werte!B182,LEFT(A182,5)=LEFT(Werte!A182,5)),Werte!D182,"not found")</f>
        <v>0</v>
      </c>
      <c r="L182" s="4">
        <f>IF(AND(B182=Werte!B182,LEFT(A182,5)=LEFT(Werte!A182,5)),Werte!E182,"not found")</f>
        <v>0.6</v>
      </c>
      <c r="M182" s="4">
        <f>IF(AND(B182=Werte!B182,LEFT(A182,5)=LEFT(Werte!A182,5)),Werte!F182,"not found")</f>
        <v>1</v>
      </c>
      <c r="N182" s="4" t="str">
        <f t="shared" si="5"/>
        <v>betrogener</v>
      </c>
      <c r="O182" s="4" cm="1">
        <f t="array" ref="O182">_xlfn.SWITCH(A182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82" s="4" t="str">
        <f>IF(Nodes[[#This Row],[Bezeichnung2]] = "betrueger",1,"")</f>
        <v/>
      </c>
      <c r="Q182" s="4">
        <f>IF(Nodes[[#This Row],[Bezeichnung2]] = "betrogener",2,"")</f>
        <v>2</v>
      </c>
      <c r="R182" s="4" t="str">
        <f>IF(Nodes[[#This Row],[Bezeichnung2]] = "liebender",3,"")</f>
        <v/>
      </c>
      <c r="S182" s="4" t="str">
        <f>IF(Nodes[[#This Row],[Bezeichnung2]] = "liebende",4,"")</f>
        <v/>
      </c>
      <c r="T182" s="4" t="str">
        <f>IF(Nodes[[#This Row],[Bezeichnung2]] = "gegenspieler",5,"")</f>
        <v/>
      </c>
    </row>
    <row r="183" spans="1:20" x14ac:dyDescent="0.3">
      <c r="A183" t="s">
        <v>222</v>
      </c>
      <c r="B183" t="s">
        <v>85</v>
      </c>
      <c r="C183" t="s">
        <v>24</v>
      </c>
      <c r="D183" t="s">
        <v>86</v>
      </c>
      <c r="E183" t="s">
        <v>47</v>
      </c>
      <c r="F183" t="s">
        <v>55</v>
      </c>
      <c r="G183" t="s">
        <v>22</v>
      </c>
      <c r="H183" t="str">
        <f t="shared" si="4"/>
        <v>adel</v>
      </c>
      <c r="I183" t="str" cm="1">
        <f t="array" ref="I183">_xlfn.SWITCH(A183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83" s="4">
        <f>IF(AND(B183=Werte!B183,LEFT(A183,5)=LEFT(Werte!A183,5)),Werte!C183,"not found")</f>
        <v>2</v>
      </c>
      <c r="K183" s="4">
        <f>IF(AND(B183=Werte!B183,LEFT(A183,5)=LEFT(Werte!A183,5)),Werte!D183,"not found")</f>
        <v>0.66666666666666696</v>
      </c>
      <c r="L183" s="4">
        <f>IF(AND(B183=Werte!B183,LEFT(A183,5)=LEFT(Werte!A183,5)),Werte!E183,"not found")</f>
        <v>1</v>
      </c>
      <c r="M183" s="4">
        <f>IF(AND(B183=Werte!B183,LEFT(A183,5)=LEFT(Werte!A183,5)),Werte!F183,"not found")</f>
        <v>0.49033010167086699</v>
      </c>
      <c r="N183" s="4" t="str">
        <f t="shared" si="5"/>
        <v>betrueger</v>
      </c>
      <c r="O183" s="4" cm="1">
        <f t="array" ref="O183">_xlfn.SWITCH(A183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83" s="4">
        <f>IF(Nodes[[#This Row],[Bezeichnung2]] = "betrueger",1,"")</f>
        <v>1</v>
      </c>
      <c r="Q183" s="4" t="str">
        <f>IF(Nodes[[#This Row],[Bezeichnung2]] = "betrogener",2,"")</f>
        <v/>
      </c>
      <c r="R183" s="4" t="str">
        <f>IF(Nodes[[#This Row],[Bezeichnung2]] = "liebender",3,"")</f>
        <v/>
      </c>
      <c r="S183" s="4" t="str">
        <f>IF(Nodes[[#This Row],[Bezeichnung2]] = "liebende",4,"")</f>
        <v/>
      </c>
      <c r="T183" s="4" t="str">
        <f>IF(Nodes[[#This Row],[Bezeichnung2]] = "gegenspieler",5,"")</f>
        <v/>
      </c>
    </row>
    <row r="184" spans="1:20" x14ac:dyDescent="0.3">
      <c r="A184" t="s">
        <v>222</v>
      </c>
      <c r="B184" t="s">
        <v>224</v>
      </c>
      <c r="C184" t="s">
        <v>18</v>
      </c>
      <c r="D184" t="s">
        <v>31</v>
      </c>
      <c r="E184" t="s">
        <v>47</v>
      </c>
      <c r="F184" t="s">
        <v>47</v>
      </c>
      <c r="G184" t="s">
        <v>26</v>
      </c>
      <c r="H184" t="str">
        <f t="shared" si="4"/>
        <v>adel</v>
      </c>
      <c r="I184" t="str" cm="1">
        <f t="array" ref="I184">_xlfn.SWITCH(A184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84" s="4">
        <f>IF(AND(B184=Werte!B184,LEFT(A184,5)=LEFT(Werte!A184,5)),Werte!C184,"not found")</f>
        <v>2</v>
      </c>
      <c r="K184" s="4">
        <f>IF(AND(B184=Werte!B184,LEFT(A184,5)=LEFT(Werte!A184,5)),Werte!D184,"not found")</f>
        <v>0</v>
      </c>
      <c r="L184" s="4">
        <f>IF(AND(B184=Werte!B184,LEFT(A184,5)=LEFT(Werte!A184,5)),Werte!E184,"not found")</f>
        <v>0.75</v>
      </c>
      <c r="M184" s="4">
        <f>IF(AND(B184=Werte!B184,LEFT(A184,5)=LEFT(Werte!A184,5)),Werte!F184,"not found")</f>
        <v>0.80636096254159195</v>
      </c>
      <c r="N184" s="4" t="str">
        <f t="shared" si="5"/>
        <v>unbekannt</v>
      </c>
      <c r="O184" s="4" cm="1">
        <f t="array" ref="O184">_xlfn.SWITCH(A184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84" s="4" t="str">
        <f>IF(Nodes[[#This Row],[Bezeichnung2]] = "betrueger",1,"")</f>
        <v/>
      </c>
      <c r="Q184" s="4" t="str">
        <f>IF(Nodes[[#This Row],[Bezeichnung2]] = "betrogener",2,"")</f>
        <v/>
      </c>
      <c r="R184" s="4" t="str">
        <f>IF(Nodes[[#This Row],[Bezeichnung2]] = "liebender",3,"")</f>
        <v/>
      </c>
      <c r="S184" s="4" t="str">
        <f>IF(Nodes[[#This Row],[Bezeichnung2]] = "liebende",4,"")</f>
        <v/>
      </c>
      <c r="T184" s="4" t="str">
        <f>IF(Nodes[[#This Row],[Bezeichnung2]] = "gegenspieler",5,"")</f>
        <v/>
      </c>
    </row>
    <row r="185" spans="1:20" x14ac:dyDescent="0.3">
      <c r="A185" t="s">
        <v>222</v>
      </c>
      <c r="B185" t="s">
        <v>225</v>
      </c>
      <c r="C185" t="s">
        <v>18</v>
      </c>
      <c r="D185" t="s">
        <v>31</v>
      </c>
      <c r="E185" t="s">
        <v>47</v>
      </c>
      <c r="F185" t="s">
        <v>96</v>
      </c>
      <c r="G185" t="s">
        <v>22</v>
      </c>
      <c r="H185" t="str">
        <f t="shared" si="4"/>
        <v>adel</v>
      </c>
      <c r="I185" t="str" cm="1">
        <f t="array" ref="I185">_xlfn.SWITCH(A185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85" s="4">
        <f>IF(AND(B185=Werte!B185,LEFT(A185,5)=LEFT(Werte!A185,5)),Werte!C185,"not found")</f>
        <v>2</v>
      </c>
      <c r="K185" s="4">
        <f>IF(AND(B185=Werte!B185,LEFT(A185,5)=LEFT(Werte!A185,5)),Werte!D185,"not found")</f>
        <v>0</v>
      </c>
      <c r="L185" s="4">
        <f>IF(AND(B185=Werte!B185,LEFT(A185,5)=LEFT(Werte!A185,5)),Werte!E185,"not found")</f>
        <v>0.75</v>
      </c>
      <c r="M185" s="4">
        <f>IF(AND(B185=Werte!B185,LEFT(A185,5)=LEFT(Werte!A185,5)),Werte!F185,"not found")</f>
        <v>0.80636096254159195</v>
      </c>
      <c r="N185" s="4" t="str">
        <f t="shared" si="5"/>
        <v>betrueger</v>
      </c>
      <c r="O185" s="4" cm="1">
        <f t="array" ref="O185">_xlfn.SWITCH(A185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85" s="4">
        <f>IF(Nodes[[#This Row],[Bezeichnung2]] = "betrueger",1,"")</f>
        <v>1</v>
      </c>
      <c r="Q185" s="4" t="str">
        <f>IF(Nodes[[#This Row],[Bezeichnung2]] = "betrogener",2,"")</f>
        <v/>
      </c>
      <c r="R185" s="4" t="str">
        <f>IF(Nodes[[#This Row],[Bezeichnung2]] = "liebender",3,"")</f>
        <v/>
      </c>
      <c r="S185" s="4" t="str">
        <f>IF(Nodes[[#This Row],[Bezeichnung2]] = "liebende",4,"")</f>
        <v/>
      </c>
      <c r="T185" s="4" t="str">
        <f>IF(Nodes[[#This Row],[Bezeichnung2]] = "gegenspieler",5,"")</f>
        <v/>
      </c>
    </row>
    <row r="186" spans="1:20" x14ac:dyDescent="0.3">
      <c r="A186" t="s">
        <v>226</v>
      </c>
      <c r="B186" t="s">
        <v>227</v>
      </c>
      <c r="C186" t="s">
        <v>18</v>
      </c>
      <c r="D186" t="s">
        <v>228</v>
      </c>
      <c r="E186" t="s">
        <v>47</v>
      </c>
      <c r="F186" t="s">
        <v>50</v>
      </c>
      <c r="G186" t="s">
        <v>22</v>
      </c>
      <c r="H186" t="str">
        <f t="shared" si="4"/>
        <v>bauer</v>
      </c>
      <c r="I186" t="str" cm="1">
        <f t="array" ref="I186">_xlfn.SWITCH(A186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86" s="4">
        <f>IF(AND(B186=Werte!B186,LEFT(A186,5)=LEFT(Werte!A186,5)),Werte!C186,"not found")</f>
        <v>0</v>
      </c>
      <c r="K186" s="4">
        <f>IF(AND(B186=Werte!B186,LEFT(A186,5)=LEFT(Werte!A186,5)),Werte!D186,"not found")</f>
        <v>0</v>
      </c>
      <c r="L186" s="4">
        <f>IF(AND(B186=Werte!B186,LEFT(A186,5)=LEFT(Werte!A186,5)),Werte!E186,"not found")</f>
        <v>0</v>
      </c>
      <c r="M186" s="4">
        <f>IF(AND(B186=Werte!B186,LEFT(A186,5)=LEFT(Werte!A186,5)),Werte!F186,"not found")</f>
        <v>0</v>
      </c>
      <c r="N186" s="4" t="str">
        <f t="shared" si="5"/>
        <v>betrogener</v>
      </c>
      <c r="O186" s="4" cm="1">
        <f t="array" ref="O186">_xlfn.SWITCH(A186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86" s="4" t="str">
        <f>IF(Nodes[[#This Row],[Bezeichnung2]] = "betrueger",1,"")</f>
        <v/>
      </c>
      <c r="Q186" s="4">
        <f>IF(Nodes[[#This Row],[Bezeichnung2]] = "betrogener",2,"")</f>
        <v>2</v>
      </c>
      <c r="R186" s="4" t="str">
        <f>IF(Nodes[[#This Row],[Bezeichnung2]] = "liebender",3,"")</f>
        <v/>
      </c>
      <c r="S186" s="4" t="str">
        <f>IF(Nodes[[#This Row],[Bezeichnung2]] = "liebende",4,"")</f>
        <v/>
      </c>
      <c r="T186" s="4" t="str">
        <f>IF(Nodes[[#This Row],[Bezeichnung2]] = "gegenspieler",5,"")</f>
        <v/>
      </c>
    </row>
    <row r="187" spans="1:20" x14ac:dyDescent="0.3">
      <c r="A187" t="s">
        <v>226</v>
      </c>
      <c r="B187" t="s">
        <v>229</v>
      </c>
      <c r="C187" t="s">
        <v>24</v>
      </c>
      <c r="D187" t="s">
        <v>230</v>
      </c>
      <c r="E187" t="s">
        <v>47</v>
      </c>
      <c r="F187" t="s">
        <v>55</v>
      </c>
      <c r="G187" t="s">
        <v>22</v>
      </c>
      <c r="H187" t="str">
        <f t="shared" si="4"/>
        <v>bauer</v>
      </c>
      <c r="I187" t="str" cm="1">
        <f t="array" ref="I187">_xlfn.SWITCH(A187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87" s="4">
        <f>IF(AND(B187=Werte!B187,LEFT(A187,5)=LEFT(Werte!A187,5)),Werte!C187,"not found")</f>
        <v>0</v>
      </c>
      <c r="K187" s="4">
        <f>IF(AND(B187=Werte!B187,LEFT(A187,5)=LEFT(Werte!A187,5)),Werte!D187,"not found")</f>
        <v>0</v>
      </c>
      <c r="L187" s="4">
        <f>IF(AND(B187=Werte!B187,LEFT(A187,5)=LEFT(Werte!A187,5)),Werte!E187,"not found")</f>
        <v>0</v>
      </c>
      <c r="M187" s="4">
        <f>IF(AND(B187=Werte!B187,LEFT(A187,5)=LEFT(Werte!A187,5)),Werte!F187,"not found")</f>
        <v>0</v>
      </c>
      <c r="N187" s="4" t="str">
        <f t="shared" si="5"/>
        <v>betrueger</v>
      </c>
      <c r="O187" s="4" cm="1">
        <f t="array" ref="O187">_xlfn.SWITCH(A187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87" s="4">
        <f>IF(Nodes[[#This Row],[Bezeichnung2]] = "betrueger",1,"")</f>
        <v>1</v>
      </c>
      <c r="Q187" s="4" t="str">
        <f>IF(Nodes[[#This Row],[Bezeichnung2]] = "betrogener",2,"")</f>
        <v/>
      </c>
      <c r="R187" s="4" t="str">
        <f>IF(Nodes[[#This Row],[Bezeichnung2]] = "liebender",3,"")</f>
        <v/>
      </c>
      <c r="S187" s="4" t="str">
        <f>IF(Nodes[[#This Row],[Bezeichnung2]] = "liebende",4,"")</f>
        <v/>
      </c>
      <c r="T187" s="4" t="str">
        <f>IF(Nodes[[#This Row],[Bezeichnung2]] = "gegenspieler",5,"")</f>
        <v/>
      </c>
    </row>
    <row r="188" spans="1:20" x14ac:dyDescent="0.3">
      <c r="A188" t="s">
        <v>226</v>
      </c>
      <c r="B188" t="s">
        <v>152</v>
      </c>
      <c r="C188" t="s">
        <v>18</v>
      </c>
      <c r="D188" t="s">
        <v>153</v>
      </c>
      <c r="E188" t="s">
        <v>47</v>
      </c>
      <c r="F188" t="s">
        <v>96</v>
      </c>
      <c r="G188" t="s">
        <v>26</v>
      </c>
      <c r="H188" t="str">
        <f t="shared" si="4"/>
        <v>klerus</v>
      </c>
      <c r="I188" t="str" cm="1">
        <f t="array" ref="I188">_xlfn.SWITCH(A188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88" s="4">
        <f>IF(AND(B188=Werte!B188,LEFT(A188,5)=LEFT(Werte!A188,5)),Werte!C188,"not found")</f>
        <v>0</v>
      </c>
      <c r="K188" s="4">
        <f>IF(AND(B188=Werte!B188,LEFT(A188,5)=LEFT(Werte!A188,5)),Werte!D188,"not found")</f>
        <v>0</v>
      </c>
      <c r="L188" s="4">
        <f>IF(AND(B188=Werte!B188,LEFT(A188,5)=LEFT(Werte!A188,5)),Werte!E188,"not found")</f>
        <v>0</v>
      </c>
      <c r="M188" s="4">
        <f>IF(AND(B188=Werte!B188,LEFT(A188,5)=LEFT(Werte!A188,5)),Werte!F188,"not found")</f>
        <v>0</v>
      </c>
      <c r="N188" s="4" t="str">
        <f t="shared" si="5"/>
        <v>betrueger</v>
      </c>
      <c r="O188" s="4" cm="1">
        <f t="array" ref="O188">_xlfn.SWITCH(A188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88" s="4">
        <f>IF(Nodes[[#This Row],[Bezeichnung2]] = "betrueger",1,"")</f>
        <v>1</v>
      </c>
      <c r="Q188" s="4" t="str">
        <f>IF(Nodes[[#This Row],[Bezeichnung2]] = "betrogener",2,"")</f>
        <v/>
      </c>
      <c r="R188" s="4" t="str">
        <f>IF(Nodes[[#This Row],[Bezeichnung2]] = "liebender",3,"")</f>
        <v/>
      </c>
      <c r="S188" s="4" t="str">
        <f>IF(Nodes[[#This Row],[Bezeichnung2]] = "liebende",4,"")</f>
        <v/>
      </c>
      <c r="T188" s="4" t="str">
        <f>IF(Nodes[[#This Row],[Bezeichnung2]] = "gegenspieler",5,"")</f>
        <v/>
      </c>
    </row>
    <row r="189" spans="1:20" x14ac:dyDescent="0.3">
      <c r="A189" t="s">
        <v>231</v>
      </c>
      <c r="B189" t="s">
        <v>56</v>
      </c>
      <c r="C189" t="s">
        <v>18</v>
      </c>
      <c r="D189" t="s">
        <v>57</v>
      </c>
      <c r="E189" t="s">
        <v>47</v>
      </c>
      <c r="F189" t="s">
        <v>93</v>
      </c>
      <c r="G189" t="s">
        <v>22</v>
      </c>
      <c r="H189" t="str">
        <f t="shared" si="4"/>
        <v>adel</v>
      </c>
      <c r="I189" t="str" cm="1">
        <f t="array" ref="I189">_xlfn.SWITCH(A189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89" s="4">
        <f>IF(AND(B189=Werte!B189,LEFT(A189,5)=LEFT(Werte!A189,5)),Werte!C189,"not found")</f>
        <v>2</v>
      </c>
      <c r="K189" s="4">
        <f>IF(AND(B189=Werte!B189,LEFT(A189,5)=LEFT(Werte!A189,5)),Werte!D189,"not found")</f>
        <v>0.33333333333333298</v>
      </c>
      <c r="L189" s="4">
        <f>IF(AND(B189=Werte!B189,LEFT(A189,5)=LEFT(Werte!A189,5)),Werte!E189,"not found")</f>
        <v>0.2</v>
      </c>
      <c r="M189" s="4">
        <f>IF(AND(B189=Werte!B189,LEFT(A189,5)=LEFT(Werte!A189,5)),Werte!F189,"not found")</f>
        <v>0.91001080941258605</v>
      </c>
      <c r="N189" s="4" t="str">
        <f t="shared" si="5"/>
        <v>betrogener</v>
      </c>
      <c r="O189" s="4" cm="1">
        <f t="array" ref="O189">_xlfn.SWITCH(A189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89" s="4" t="str">
        <f>IF(Nodes[[#This Row],[Bezeichnung2]] = "betrueger",1,"")</f>
        <v/>
      </c>
      <c r="Q189" s="4">
        <f>IF(Nodes[[#This Row],[Bezeichnung2]] = "betrogener",2,"")</f>
        <v>2</v>
      </c>
      <c r="R189" s="4" t="str">
        <f>IF(Nodes[[#This Row],[Bezeichnung2]] = "liebender",3,"")</f>
        <v/>
      </c>
      <c r="S189" s="4" t="str">
        <f>IF(Nodes[[#This Row],[Bezeichnung2]] = "liebende",4,"")</f>
        <v/>
      </c>
      <c r="T189" s="4" t="str">
        <f>IF(Nodes[[#This Row],[Bezeichnung2]] = "gegenspieler",5,"")</f>
        <v/>
      </c>
    </row>
    <row r="190" spans="1:20" x14ac:dyDescent="0.3">
      <c r="A190" t="s">
        <v>231</v>
      </c>
      <c r="B190" t="s">
        <v>232</v>
      </c>
      <c r="C190" t="s">
        <v>18</v>
      </c>
      <c r="D190" t="s">
        <v>92</v>
      </c>
      <c r="E190" t="s">
        <v>47</v>
      </c>
      <c r="F190" t="s">
        <v>53</v>
      </c>
      <c r="G190" t="s">
        <v>22</v>
      </c>
      <c r="H190" t="str">
        <f t="shared" si="4"/>
        <v>klerus</v>
      </c>
      <c r="I190" t="str" cm="1">
        <f t="array" ref="I190">_xlfn.SWITCH(A190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90" s="4">
        <f>IF(AND(B190=Werte!B190,LEFT(A190,5)=LEFT(Werte!A190,5)),Werte!C190,"not found")</f>
        <v>2</v>
      </c>
      <c r="K190" s="4">
        <f>IF(AND(B190=Werte!B190,LEFT(A190,5)=LEFT(Werte!A190,5)),Werte!D190,"not found")</f>
        <v>0</v>
      </c>
      <c r="L190" s="4">
        <f>IF(AND(B190=Werte!B190,LEFT(A190,5)=LEFT(Werte!A190,5)),Werte!E190,"not found")</f>
        <v>0.16666666666666699</v>
      </c>
      <c r="M190" s="4">
        <f>IF(AND(B190=Werte!B190,LEFT(A190,5)=LEFT(Werte!A190,5)),Werte!F190,"not found")</f>
        <v>1</v>
      </c>
      <c r="N190" s="4" t="str">
        <f t="shared" si="5"/>
        <v>helfer</v>
      </c>
      <c r="O190" s="4" cm="1">
        <f t="array" ref="O190">_xlfn.SWITCH(A190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90" s="4" t="str">
        <f>IF(Nodes[[#This Row],[Bezeichnung2]] = "betrueger",1,"")</f>
        <v/>
      </c>
      <c r="Q190" s="4" t="str">
        <f>IF(Nodes[[#This Row],[Bezeichnung2]] = "betrogener",2,"")</f>
        <v/>
      </c>
      <c r="R190" s="4" t="str">
        <f>IF(Nodes[[#This Row],[Bezeichnung2]] = "liebender",3,"")</f>
        <v/>
      </c>
      <c r="S190" s="4" t="str">
        <f>IF(Nodes[[#This Row],[Bezeichnung2]] = "liebende",4,"")</f>
        <v/>
      </c>
      <c r="T190" s="4" t="str">
        <f>IF(Nodes[[#This Row],[Bezeichnung2]] = "gegenspieler",5,"")</f>
        <v/>
      </c>
    </row>
    <row r="191" spans="1:20" x14ac:dyDescent="0.3">
      <c r="A191" t="s">
        <v>231</v>
      </c>
      <c r="B191" t="s">
        <v>51</v>
      </c>
      <c r="C191" t="s">
        <v>46</v>
      </c>
      <c r="D191" t="s">
        <v>176</v>
      </c>
      <c r="E191" t="s">
        <v>47</v>
      </c>
      <c r="F191" t="s">
        <v>47</v>
      </c>
      <c r="G191" t="s">
        <v>26</v>
      </c>
      <c r="H191" t="str">
        <f t="shared" si="4"/>
        <v>adel</v>
      </c>
      <c r="I191" t="str" cm="1">
        <f t="array" ref="I191">_xlfn.SWITCH(A191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91" s="4">
        <f>IF(AND(B191=Werte!B191,LEFT(A191,5)=LEFT(Werte!A191,5)),Werte!C191,"not found")</f>
        <v>1.3333333333333299</v>
      </c>
      <c r="K191" s="4">
        <f>IF(AND(B191=Werte!B191,LEFT(A191,5)=LEFT(Werte!A191,5)),Werte!D191,"not found")</f>
        <v>0</v>
      </c>
      <c r="L191" s="4">
        <f>IF(AND(B191=Werte!B191,LEFT(A191,5)=LEFT(Werte!A191,5)),Werte!E191,"not found")</f>
        <v>0.15</v>
      </c>
      <c r="M191" s="4">
        <f>IF(AND(B191=Werte!B191,LEFT(A191,5)=LEFT(Werte!A191,5)),Werte!F191,"not found")</f>
        <v>0.78888576762637597</v>
      </c>
      <c r="N191" s="4" t="str">
        <f t="shared" si="5"/>
        <v>unbekannt</v>
      </c>
      <c r="O191" s="4" cm="1">
        <f t="array" ref="O191">_xlfn.SWITCH(A191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91" s="4" t="str">
        <f>IF(Nodes[[#This Row],[Bezeichnung2]] = "betrueger",1,"")</f>
        <v/>
      </c>
      <c r="Q191" s="4" t="str">
        <f>IF(Nodes[[#This Row],[Bezeichnung2]] = "betrogener",2,"")</f>
        <v/>
      </c>
      <c r="R191" s="4" t="str">
        <f>IF(Nodes[[#This Row],[Bezeichnung2]] = "liebender",3,"")</f>
        <v/>
      </c>
      <c r="S191" s="4" t="str">
        <f>IF(Nodes[[#This Row],[Bezeichnung2]] = "liebende",4,"")</f>
        <v/>
      </c>
      <c r="T191" s="4" t="str">
        <f>IF(Nodes[[#This Row],[Bezeichnung2]] = "gegenspieler",5,"")</f>
        <v/>
      </c>
    </row>
    <row r="192" spans="1:20" x14ac:dyDescent="0.3">
      <c r="A192" t="s">
        <v>231</v>
      </c>
      <c r="B192" t="s">
        <v>233</v>
      </c>
      <c r="C192" t="s">
        <v>18</v>
      </c>
      <c r="D192" t="s">
        <v>234</v>
      </c>
      <c r="E192" t="s">
        <v>47</v>
      </c>
      <c r="F192" t="s">
        <v>96</v>
      </c>
      <c r="G192" t="s">
        <v>22</v>
      </c>
      <c r="H192" t="str">
        <f t="shared" si="4"/>
        <v>adel</v>
      </c>
      <c r="I192" t="str" cm="1">
        <f t="array" ref="I192">_xlfn.SWITCH(A192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92" s="4">
        <f>IF(AND(B192=Werte!B192,LEFT(A192,5)=LEFT(Werte!A192,5)),Werte!C192,"not found")</f>
        <v>1.3333333333333299</v>
      </c>
      <c r="K192" s="4">
        <f>IF(AND(B192=Werte!B192,LEFT(A192,5)=LEFT(Werte!A192,5)),Werte!D192,"not found")</f>
        <v>0.33333333333333298</v>
      </c>
      <c r="L192" s="4">
        <f>IF(AND(B192=Werte!B192,LEFT(A192,5)=LEFT(Werte!A192,5)),Werte!E192,"not found")</f>
        <v>0.2</v>
      </c>
      <c r="M192" s="4">
        <f>IF(AND(B192=Werte!B192,LEFT(A192,5)=LEFT(Werte!A192,5)),Werte!F192,"not found")</f>
        <v>0.45967116488522702</v>
      </c>
      <c r="N192" s="4" t="str">
        <f t="shared" si="5"/>
        <v>betrueger</v>
      </c>
      <c r="O192" s="4" cm="1">
        <f t="array" ref="O192">_xlfn.SWITCH(A192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92" s="4">
        <f>IF(Nodes[[#This Row],[Bezeichnung2]] = "betrueger",1,"")</f>
        <v>1</v>
      </c>
      <c r="Q192" s="4" t="str">
        <f>IF(Nodes[[#This Row],[Bezeichnung2]] = "betrogener",2,"")</f>
        <v/>
      </c>
      <c r="R192" s="4" t="str">
        <f>IF(Nodes[[#This Row],[Bezeichnung2]] = "liebender",3,"")</f>
        <v/>
      </c>
      <c r="S192" s="4" t="str">
        <f>IF(Nodes[[#This Row],[Bezeichnung2]] = "liebende",4,"")</f>
        <v/>
      </c>
      <c r="T192" s="4" t="str">
        <f>IF(Nodes[[#This Row],[Bezeichnung2]] = "gegenspieler",5,"")</f>
        <v/>
      </c>
    </row>
    <row r="193" spans="1:20" x14ac:dyDescent="0.3">
      <c r="A193" t="s">
        <v>235</v>
      </c>
      <c r="B193" t="s">
        <v>115</v>
      </c>
      <c r="C193" t="s">
        <v>18</v>
      </c>
      <c r="D193" t="s">
        <v>57</v>
      </c>
      <c r="E193" t="s">
        <v>47</v>
      </c>
      <c r="F193" t="s">
        <v>50</v>
      </c>
      <c r="G193" t="s">
        <v>22</v>
      </c>
      <c r="H193" t="str">
        <f t="shared" si="4"/>
        <v>adel</v>
      </c>
      <c r="I193" t="str" cm="1">
        <f t="array" ref="I193">_xlfn.SWITCH(A193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93" s="4">
        <f>IF(AND(B193=Werte!B193,LEFT(A193,5)=LEFT(Werte!A193,5)),Werte!C193,"not found")</f>
        <v>1.6</v>
      </c>
      <c r="K193" s="4">
        <f>IF(AND(B193=Werte!B193,LEFT(A193,5)=LEFT(Werte!A193,5)),Werte!D193,"not found")</f>
        <v>0.05</v>
      </c>
      <c r="L193" s="4">
        <f>IF(AND(B193=Werte!B193,LEFT(A193,5)=LEFT(Werte!A193,5)),Werte!E193,"not found")</f>
        <v>0.217391304347826</v>
      </c>
      <c r="M193" s="4">
        <f>IF(AND(B193=Werte!B193,LEFT(A193,5)=LEFT(Werte!A193,5)),Werte!F193,"not found")</f>
        <v>0.77462461884820499</v>
      </c>
      <c r="N193" s="4" t="str">
        <f t="shared" si="5"/>
        <v>betrogener</v>
      </c>
      <c r="O193" s="4" cm="1">
        <f t="array" ref="O193">_xlfn.SWITCH(A193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93" s="4" t="str">
        <f>IF(Nodes[[#This Row],[Bezeichnung2]] = "betrueger",1,"")</f>
        <v/>
      </c>
      <c r="Q193" s="4">
        <f>IF(Nodes[[#This Row],[Bezeichnung2]] = "betrogener",2,"")</f>
        <v>2</v>
      </c>
      <c r="R193" s="4" t="str">
        <f>IF(Nodes[[#This Row],[Bezeichnung2]] = "liebender",3,"")</f>
        <v/>
      </c>
      <c r="S193" s="4" t="str">
        <f>IF(Nodes[[#This Row],[Bezeichnung2]] = "liebende",4,"")</f>
        <v/>
      </c>
      <c r="T193" s="4" t="str">
        <f>IF(Nodes[[#This Row],[Bezeichnung2]] = "gegenspieler",5,"")</f>
        <v/>
      </c>
    </row>
    <row r="194" spans="1:20" x14ac:dyDescent="0.3">
      <c r="A194" t="s">
        <v>235</v>
      </c>
      <c r="B194" t="s">
        <v>117</v>
      </c>
      <c r="C194" t="s">
        <v>24</v>
      </c>
      <c r="D194" t="s">
        <v>86</v>
      </c>
      <c r="E194" t="s">
        <v>47</v>
      </c>
      <c r="F194" t="s">
        <v>55</v>
      </c>
      <c r="G194" t="s">
        <v>22</v>
      </c>
      <c r="H194" t="str">
        <f t="shared" ref="H194:H257" si="6">IF(LEFT(D194,4)="adel","adel",IF(LEFT(D194,11)="buergerlich","buergerlich",IF(LEFT(D194,6)="klerus","klerus",IF(D194="NA","NA",IF(LEFT(D194,9)="unbekannt","unbekannt",IF(LEFT(D194,5)="bauer","bauer","not found"))))))</f>
        <v>adel</v>
      </c>
      <c r="I194" t="str" cm="1">
        <f t="array" ref="I194">_xlfn.SWITCH(A194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94" s="4">
        <f>IF(AND(B194=Werte!B194,LEFT(A194,5)=LEFT(Werte!A194,5)),Werte!C194,"not found")</f>
        <v>2</v>
      </c>
      <c r="K194" s="4">
        <f>IF(AND(B194=Werte!B194,LEFT(A194,5)=LEFT(Werte!A194,5)),Werte!D194,"not found")</f>
        <v>0.3</v>
      </c>
      <c r="L194" s="4">
        <f>IF(AND(B194=Werte!B194,LEFT(A194,5)=LEFT(Werte!A194,5)),Werte!E194,"not found")</f>
        <v>0.29411764705882398</v>
      </c>
      <c r="M194" s="4">
        <f>IF(AND(B194=Werte!B194,LEFT(A194,5)=LEFT(Werte!A194,5)),Werte!F194,"not found")</f>
        <v>1</v>
      </c>
      <c r="N194" s="4" t="str">
        <f t="shared" ref="N194:N257" si="7">IF(RIGHT(F194,10)="betrogener","betrogener",IF(RIGHT(F194,9)="betrueger","betrueger",F194))</f>
        <v>betrueger</v>
      </c>
      <c r="O194" s="4" cm="1">
        <f t="array" ref="O194">_xlfn.SWITCH(A194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94" s="4">
        <f>IF(Nodes[[#This Row],[Bezeichnung2]] = "betrueger",1,"")</f>
        <v>1</v>
      </c>
      <c r="Q194" s="4" t="str">
        <f>IF(Nodes[[#This Row],[Bezeichnung2]] = "betrogener",2,"")</f>
        <v/>
      </c>
      <c r="R194" s="4" t="str">
        <f>IF(Nodes[[#This Row],[Bezeichnung2]] = "liebender",3,"")</f>
        <v/>
      </c>
      <c r="S194" s="4" t="str">
        <f>IF(Nodes[[#This Row],[Bezeichnung2]] = "liebende",4,"")</f>
        <v/>
      </c>
      <c r="T194" s="4" t="str">
        <f>IF(Nodes[[#This Row],[Bezeichnung2]] = "gegenspieler",5,"")</f>
        <v/>
      </c>
    </row>
    <row r="195" spans="1:20" x14ac:dyDescent="0.3">
      <c r="A195" t="s">
        <v>235</v>
      </c>
      <c r="B195" t="s">
        <v>120</v>
      </c>
      <c r="C195" t="s">
        <v>18</v>
      </c>
      <c r="D195" t="s">
        <v>121</v>
      </c>
      <c r="E195" t="s">
        <v>47</v>
      </c>
      <c r="F195" t="s">
        <v>47</v>
      </c>
      <c r="G195" t="s">
        <v>26</v>
      </c>
      <c r="H195" t="str">
        <f t="shared" si="6"/>
        <v>buergerlich</v>
      </c>
      <c r="I195" t="str" cm="1">
        <f t="array" ref="I195">_xlfn.SWITCH(A195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95" s="4">
        <f>IF(AND(B195=Werte!B195,LEFT(A195,5)=LEFT(Werte!A195,5)),Werte!C195,"not found")</f>
        <v>0.8</v>
      </c>
      <c r="K195" s="4">
        <f>IF(AND(B195=Werte!B195,LEFT(A195,5)=LEFT(Werte!A195,5)),Werte!D195,"not found")</f>
        <v>0.15</v>
      </c>
      <c r="L195" s="4">
        <f>IF(AND(B195=Werte!B195,LEFT(A195,5)=LEFT(Werte!A195,5)),Werte!E195,"not found")</f>
        <v>0.238095238095238</v>
      </c>
      <c r="M195" s="4">
        <f>IF(AND(B195=Werte!B195,LEFT(A195,5)=LEFT(Werte!A195,5)),Werte!F195,"not found")</f>
        <v>0.13253896714941199</v>
      </c>
      <c r="N195" s="4" t="str">
        <f t="shared" si="7"/>
        <v>unbekannt</v>
      </c>
      <c r="O195" s="4" cm="1">
        <f t="array" ref="O195">_xlfn.SWITCH(A195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95" s="4" t="str">
        <f>IF(Nodes[[#This Row],[Bezeichnung2]] = "betrueger",1,"")</f>
        <v/>
      </c>
      <c r="Q195" s="4" t="str">
        <f>IF(Nodes[[#This Row],[Bezeichnung2]] = "betrogener",2,"")</f>
        <v/>
      </c>
      <c r="R195" s="4" t="str">
        <f>IF(Nodes[[#This Row],[Bezeichnung2]] = "liebender",3,"")</f>
        <v/>
      </c>
      <c r="S195" s="4" t="str">
        <f>IF(Nodes[[#This Row],[Bezeichnung2]] = "liebende",4,"")</f>
        <v/>
      </c>
      <c r="T195" s="4" t="str">
        <f>IF(Nodes[[#This Row],[Bezeichnung2]] = "gegenspieler",5,"")</f>
        <v/>
      </c>
    </row>
    <row r="196" spans="1:20" x14ac:dyDescent="0.3">
      <c r="A196" t="s">
        <v>235</v>
      </c>
      <c r="B196" t="s">
        <v>236</v>
      </c>
      <c r="C196" t="s">
        <v>24</v>
      </c>
      <c r="D196" t="s">
        <v>191</v>
      </c>
      <c r="E196" t="s">
        <v>47</v>
      </c>
      <c r="F196" t="s">
        <v>104</v>
      </c>
      <c r="G196" t="s">
        <v>26</v>
      </c>
      <c r="H196" t="str">
        <f t="shared" si="6"/>
        <v>adel</v>
      </c>
      <c r="I196" t="str" cm="1">
        <f t="array" ref="I196">_xlfn.SWITCH(A196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96" s="4">
        <f>IF(AND(B196=Werte!B196,LEFT(A196,5)=LEFT(Werte!A196,5)),Werte!C196,"not found")</f>
        <v>0.8</v>
      </c>
      <c r="K196" s="4">
        <f>IF(AND(B196=Werte!B196,LEFT(A196,5)=LEFT(Werte!A196,5)),Werte!D196,"not found")</f>
        <v>0</v>
      </c>
      <c r="L196" s="4">
        <f>IF(AND(B196=Werte!B196,LEFT(A196,5)=LEFT(Werte!A196,5)),Werte!E196,"not found")</f>
        <v>0.18518518518518501</v>
      </c>
      <c r="M196" s="4">
        <f>IF(AND(B196=Werte!B196,LEFT(A196,5)=LEFT(Werte!A196,5)),Werte!F196,"not found")</f>
        <v>0.26336845883157001</v>
      </c>
      <c r="N196" s="4" t="str">
        <f t="shared" si="7"/>
        <v>bote</v>
      </c>
      <c r="O196" s="4" cm="1">
        <f t="array" ref="O196">_xlfn.SWITCH(A196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96" s="4" t="str">
        <f>IF(Nodes[[#This Row],[Bezeichnung2]] = "betrueger",1,"")</f>
        <v/>
      </c>
      <c r="Q196" s="4" t="str">
        <f>IF(Nodes[[#This Row],[Bezeichnung2]] = "betrogener",2,"")</f>
        <v/>
      </c>
      <c r="R196" s="4" t="str">
        <f>IF(Nodes[[#This Row],[Bezeichnung2]] = "liebender",3,"")</f>
        <v/>
      </c>
      <c r="S196" s="4" t="str">
        <f>IF(Nodes[[#This Row],[Bezeichnung2]] = "liebende",4,"")</f>
        <v/>
      </c>
      <c r="T196" s="4" t="str">
        <f>IF(Nodes[[#This Row],[Bezeichnung2]] = "gegenspieler",5,"")</f>
        <v/>
      </c>
    </row>
    <row r="197" spans="1:20" x14ac:dyDescent="0.3">
      <c r="A197" t="s">
        <v>235</v>
      </c>
      <c r="B197" t="s">
        <v>237</v>
      </c>
      <c r="C197" t="s">
        <v>24</v>
      </c>
      <c r="D197" t="s">
        <v>47</v>
      </c>
      <c r="E197" t="s">
        <v>47</v>
      </c>
      <c r="F197" t="s">
        <v>53</v>
      </c>
      <c r="G197" t="s">
        <v>22</v>
      </c>
      <c r="H197" t="str">
        <f t="shared" si="6"/>
        <v>unbekannt</v>
      </c>
      <c r="I197" t="str" cm="1">
        <f t="array" ref="I197">_xlfn.SWITCH(A197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97" s="4">
        <f>IF(AND(B197=Werte!B197,LEFT(A197,5)=LEFT(Werte!A197,5)),Werte!C197,"not found")</f>
        <v>1.6</v>
      </c>
      <c r="K197" s="4">
        <f>IF(AND(B197=Werte!B197,LEFT(A197,5)=LEFT(Werte!A197,5)),Werte!D197,"not found")</f>
        <v>0.2</v>
      </c>
      <c r="L197" s="4">
        <f>IF(AND(B197=Werte!B197,LEFT(A197,5)=LEFT(Werte!A197,5)),Werte!E197,"not found")</f>
        <v>0.26315789473684198</v>
      </c>
      <c r="M197" s="4">
        <f>IF(AND(B197=Werte!B197,LEFT(A197,5)=LEFT(Werte!A197,5)),Werte!F197,"not found")</f>
        <v>0.76318014589525895</v>
      </c>
      <c r="N197" s="4" t="str">
        <f t="shared" si="7"/>
        <v>helfer</v>
      </c>
      <c r="O197" s="4" cm="1">
        <f t="array" ref="O197">_xlfn.SWITCH(A197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97" s="4" t="str">
        <f>IF(Nodes[[#This Row],[Bezeichnung2]] = "betrueger",1,"")</f>
        <v/>
      </c>
      <c r="Q197" s="4" t="str">
        <f>IF(Nodes[[#This Row],[Bezeichnung2]] = "betrogener",2,"")</f>
        <v/>
      </c>
      <c r="R197" s="4" t="str">
        <f>IF(Nodes[[#This Row],[Bezeichnung2]] = "liebender",3,"")</f>
        <v/>
      </c>
      <c r="S197" s="4" t="str">
        <f>IF(Nodes[[#This Row],[Bezeichnung2]] = "liebende",4,"")</f>
        <v/>
      </c>
      <c r="T197" s="4" t="str">
        <f>IF(Nodes[[#This Row],[Bezeichnung2]] = "gegenspieler",5,"")</f>
        <v/>
      </c>
    </row>
    <row r="198" spans="1:20" x14ac:dyDescent="0.3">
      <c r="A198" t="s">
        <v>235</v>
      </c>
      <c r="B198" t="s">
        <v>84</v>
      </c>
      <c r="C198" t="s">
        <v>18</v>
      </c>
      <c r="D198" t="s">
        <v>176</v>
      </c>
      <c r="E198" t="s">
        <v>47</v>
      </c>
      <c r="F198" t="s">
        <v>47</v>
      </c>
      <c r="G198" t="s">
        <v>26</v>
      </c>
      <c r="H198" t="str">
        <f t="shared" si="6"/>
        <v>adel</v>
      </c>
      <c r="I198" t="str" cm="1">
        <f t="array" ref="I198">_xlfn.SWITCH(A198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198" s="4">
        <f>IF(AND(B198=Werte!B198,LEFT(A198,5)=LEFT(Werte!A198,5)),Werte!C198,"not found")</f>
        <v>1.2</v>
      </c>
      <c r="K198" s="4">
        <f>IF(AND(B198=Werte!B198,LEFT(A198,5)=LEFT(Werte!A198,5)),Werte!D198,"not found")</f>
        <v>0.15</v>
      </c>
      <c r="L198" s="4">
        <f>IF(AND(B198=Werte!B198,LEFT(A198,5)=LEFT(Werte!A198,5)),Werte!E198,"not found")</f>
        <v>0.26315789473684198</v>
      </c>
      <c r="M198" s="4">
        <f>IF(AND(B198=Werte!B198,LEFT(A198,5)=LEFT(Werte!A198,5)),Werte!F198,"not found")</f>
        <v>0.285161079570807</v>
      </c>
      <c r="N198" s="4" t="str">
        <f t="shared" si="7"/>
        <v>unbekannt</v>
      </c>
      <c r="O198" s="4" cm="1">
        <f t="array" ref="O198">_xlfn.SWITCH(A198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98" s="4" t="str">
        <f>IF(Nodes[[#This Row],[Bezeichnung2]] = "betrueger",1,"")</f>
        <v/>
      </c>
      <c r="Q198" s="4" t="str">
        <f>IF(Nodes[[#This Row],[Bezeichnung2]] = "betrogener",2,"")</f>
        <v/>
      </c>
      <c r="R198" s="4" t="str">
        <f>IF(Nodes[[#This Row],[Bezeichnung2]] = "liebender",3,"")</f>
        <v/>
      </c>
      <c r="S198" s="4" t="str">
        <f>IF(Nodes[[#This Row],[Bezeichnung2]] = "liebende",4,"")</f>
        <v/>
      </c>
      <c r="T198" s="4" t="str">
        <f>IF(Nodes[[#This Row],[Bezeichnung2]] = "gegenspieler",5,"")</f>
        <v/>
      </c>
    </row>
    <row r="199" spans="1:20" x14ac:dyDescent="0.3">
      <c r="A199" t="s">
        <v>238</v>
      </c>
      <c r="B199" t="s">
        <v>239</v>
      </c>
      <c r="C199" t="s">
        <v>18</v>
      </c>
      <c r="D199" t="s">
        <v>240</v>
      </c>
      <c r="E199" t="s">
        <v>47</v>
      </c>
      <c r="F199" t="s">
        <v>96</v>
      </c>
      <c r="G199" t="s">
        <v>22</v>
      </c>
      <c r="H199" t="str">
        <f t="shared" si="6"/>
        <v>buergerlich</v>
      </c>
      <c r="I199" t="str" cm="1">
        <f t="array" ref="I199">_xlfn.SWITCH(A199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199" s="4">
        <f>IF(AND(B199=Werte!B199,LEFT(A199,5)=LEFT(Werte!A199,5)),Werte!C199,"not found")</f>
        <v>1.6</v>
      </c>
      <c r="K199" s="4">
        <f>IF(AND(B199=Werte!B199,LEFT(A199,5)=LEFT(Werte!A199,5)),Werte!D199,"not found")</f>
        <v>0.5</v>
      </c>
      <c r="L199" s="4">
        <f>IF(AND(B199=Werte!B199,LEFT(A199,5)=LEFT(Werte!A199,5)),Werte!E199,"not found")</f>
        <v>0.5</v>
      </c>
      <c r="M199" s="4">
        <f>IF(AND(B199=Werte!B199,LEFT(A199,5)=LEFT(Werte!A199,5)),Werte!F199,"not found")</f>
        <v>1</v>
      </c>
      <c r="N199" s="4" t="str">
        <f t="shared" si="7"/>
        <v>betrueger</v>
      </c>
      <c r="O199" s="4" cm="1">
        <f t="array" ref="O199">_xlfn.SWITCH(A199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199" s="4">
        <f>IF(Nodes[[#This Row],[Bezeichnung2]] = "betrueger",1,"")</f>
        <v>1</v>
      </c>
      <c r="Q199" s="4" t="str">
        <f>IF(Nodes[[#This Row],[Bezeichnung2]] = "betrogener",2,"")</f>
        <v/>
      </c>
      <c r="R199" s="4" t="str">
        <f>IF(Nodes[[#This Row],[Bezeichnung2]] = "liebender",3,"")</f>
        <v/>
      </c>
      <c r="S199" s="4" t="str">
        <f>IF(Nodes[[#This Row],[Bezeichnung2]] = "liebende",4,"")</f>
        <v/>
      </c>
      <c r="T199" s="4" t="str">
        <f>IF(Nodes[[#This Row],[Bezeichnung2]] = "gegenspieler",5,"")</f>
        <v/>
      </c>
    </row>
    <row r="200" spans="1:20" x14ac:dyDescent="0.3">
      <c r="A200" t="s">
        <v>238</v>
      </c>
      <c r="B200" t="s">
        <v>241</v>
      </c>
      <c r="C200" t="s">
        <v>24</v>
      </c>
      <c r="D200" t="s">
        <v>47</v>
      </c>
      <c r="E200" t="s">
        <v>47</v>
      </c>
      <c r="F200" t="s">
        <v>47</v>
      </c>
      <c r="G200" t="s">
        <v>26</v>
      </c>
      <c r="H200" t="str">
        <f t="shared" si="6"/>
        <v>unbekannt</v>
      </c>
      <c r="I200" t="str" cm="1">
        <f t="array" ref="I200">_xlfn.SWITCH(A200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00" s="4">
        <f>IF(AND(B200=Werte!B200,LEFT(A200,5)=LEFT(Werte!A200,5)),Werte!C200,"not found")</f>
        <v>0</v>
      </c>
      <c r="K200" s="4">
        <f>IF(AND(B200=Werte!B200,LEFT(A200,5)=LEFT(Werte!A200,5)),Werte!D200,"not found")</f>
        <v>0</v>
      </c>
      <c r="L200" s="4">
        <f>IF(AND(B200=Werte!B200,LEFT(A200,5)=LEFT(Werte!A200,5)),Werte!E200,"not found")</f>
        <v>0.16666666666666699</v>
      </c>
      <c r="M200" s="4">
        <f>IF(AND(B200=Werte!B200,LEFT(A200,5)=LEFT(Werte!A200,5)),Werte!F200,"not found")</f>
        <v>0</v>
      </c>
      <c r="N200" s="4" t="str">
        <f t="shared" si="7"/>
        <v>unbekannt</v>
      </c>
      <c r="O200" s="4" cm="1">
        <f t="array" ref="O200">_xlfn.SWITCH(A200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00" s="4" t="str">
        <f>IF(Nodes[[#This Row],[Bezeichnung2]] = "betrueger",1,"")</f>
        <v/>
      </c>
      <c r="Q200" s="4" t="str">
        <f>IF(Nodes[[#This Row],[Bezeichnung2]] = "betrogener",2,"")</f>
        <v/>
      </c>
      <c r="R200" s="4" t="str">
        <f>IF(Nodes[[#This Row],[Bezeichnung2]] = "liebender",3,"")</f>
        <v/>
      </c>
      <c r="S200" s="4" t="str">
        <f>IF(Nodes[[#This Row],[Bezeichnung2]] = "liebende",4,"")</f>
        <v/>
      </c>
      <c r="T200" s="4" t="str">
        <f>IF(Nodes[[#This Row],[Bezeichnung2]] = "gegenspieler",5,"")</f>
        <v/>
      </c>
    </row>
    <row r="201" spans="1:20" x14ac:dyDescent="0.3">
      <c r="A201" t="s">
        <v>238</v>
      </c>
      <c r="B201" t="s">
        <v>242</v>
      </c>
      <c r="C201" t="s">
        <v>24</v>
      </c>
      <c r="D201" t="s">
        <v>47</v>
      </c>
      <c r="E201" t="s">
        <v>47</v>
      </c>
      <c r="F201" t="s">
        <v>47</v>
      </c>
      <c r="G201" t="s">
        <v>26</v>
      </c>
      <c r="H201" t="str">
        <f t="shared" si="6"/>
        <v>unbekannt</v>
      </c>
      <c r="I201" t="str" cm="1">
        <f t="array" ref="I201">_xlfn.SWITCH(A201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01" s="4">
        <f>IF(AND(B201=Werte!B201,LEFT(A201,5)=LEFT(Werte!A201,5)),Werte!C201,"not found")</f>
        <v>0.4</v>
      </c>
      <c r="K201" s="4">
        <f>IF(AND(B201=Werte!B201,LEFT(A201,5)=LEFT(Werte!A201,5)),Werte!D201,"not found")</f>
        <v>0</v>
      </c>
      <c r="L201" s="4">
        <f>IF(AND(B201=Werte!B201,LEFT(A201,5)=LEFT(Werte!A201,5)),Werte!E201,"not found")</f>
        <v>0.38461538461538503</v>
      </c>
      <c r="M201" s="4">
        <f>IF(AND(B201=Werte!B201,LEFT(A201,5)=LEFT(Werte!A201,5)),Werte!F201,"not found")</f>
        <v>0.42681725548354599</v>
      </c>
      <c r="N201" s="4" t="str">
        <f t="shared" si="7"/>
        <v>unbekannt</v>
      </c>
      <c r="O201" s="4" cm="1">
        <f t="array" ref="O201">_xlfn.SWITCH(A201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01" s="4" t="str">
        <f>IF(Nodes[[#This Row],[Bezeichnung2]] = "betrueger",1,"")</f>
        <v/>
      </c>
      <c r="Q201" s="4" t="str">
        <f>IF(Nodes[[#This Row],[Bezeichnung2]] = "betrogener",2,"")</f>
        <v/>
      </c>
      <c r="R201" s="4" t="str">
        <f>IF(Nodes[[#This Row],[Bezeichnung2]] = "liebender",3,"")</f>
        <v/>
      </c>
      <c r="S201" s="4" t="str">
        <f>IF(Nodes[[#This Row],[Bezeichnung2]] = "liebende",4,"")</f>
        <v/>
      </c>
      <c r="T201" s="4" t="str">
        <f>IF(Nodes[[#This Row],[Bezeichnung2]] = "gegenspieler",5,"")</f>
        <v/>
      </c>
    </row>
    <row r="202" spans="1:20" x14ac:dyDescent="0.3">
      <c r="A202" t="s">
        <v>238</v>
      </c>
      <c r="B202" t="s">
        <v>243</v>
      </c>
      <c r="C202" t="s">
        <v>24</v>
      </c>
      <c r="D202" t="s">
        <v>47</v>
      </c>
      <c r="E202" t="s">
        <v>47</v>
      </c>
      <c r="F202" t="s">
        <v>47</v>
      </c>
      <c r="G202" t="s">
        <v>26</v>
      </c>
      <c r="H202" t="str">
        <f t="shared" si="6"/>
        <v>unbekannt</v>
      </c>
      <c r="I202" t="str" cm="1">
        <f t="array" ref="I202">_xlfn.SWITCH(A202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02" s="4">
        <f>IF(AND(B202=Werte!B202,LEFT(A202,5)=LEFT(Werte!A202,5)),Werte!C202,"not found")</f>
        <v>0.8</v>
      </c>
      <c r="K202" s="4">
        <f>IF(AND(B202=Werte!B202,LEFT(A202,5)=LEFT(Werte!A202,5)),Werte!D202,"not found")</f>
        <v>0</v>
      </c>
      <c r="L202" s="4">
        <f>IF(AND(B202=Werte!B202,LEFT(A202,5)=LEFT(Werte!A202,5)),Werte!E202,"not found")</f>
        <v>0.41666666666666702</v>
      </c>
      <c r="M202" s="4">
        <f>IF(AND(B202=Werte!B202,LEFT(A202,5)=LEFT(Werte!A202,5)),Werte!F202,"not found")</f>
        <v>0.74464428590503995</v>
      </c>
      <c r="N202" s="4" t="str">
        <f t="shared" si="7"/>
        <v>unbekannt</v>
      </c>
      <c r="O202" s="4" cm="1">
        <f t="array" ref="O202">_xlfn.SWITCH(A202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02" s="4" t="str">
        <f>IF(Nodes[[#This Row],[Bezeichnung2]] = "betrueger",1,"")</f>
        <v/>
      </c>
      <c r="Q202" s="4" t="str">
        <f>IF(Nodes[[#This Row],[Bezeichnung2]] = "betrogener",2,"")</f>
        <v/>
      </c>
      <c r="R202" s="4" t="str">
        <f>IF(Nodes[[#This Row],[Bezeichnung2]] = "liebender",3,"")</f>
        <v/>
      </c>
      <c r="S202" s="4" t="str">
        <f>IF(Nodes[[#This Row],[Bezeichnung2]] = "liebende",4,"")</f>
        <v/>
      </c>
      <c r="T202" s="4" t="str">
        <f>IF(Nodes[[#This Row],[Bezeichnung2]] = "gegenspieler",5,"")</f>
        <v/>
      </c>
    </row>
    <row r="203" spans="1:20" x14ac:dyDescent="0.3">
      <c r="A203" t="s">
        <v>238</v>
      </c>
      <c r="B203" t="s">
        <v>52</v>
      </c>
      <c r="C203" t="s">
        <v>47</v>
      </c>
      <c r="D203" t="s">
        <v>47</v>
      </c>
      <c r="E203" t="s">
        <v>28</v>
      </c>
      <c r="F203" t="s">
        <v>136</v>
      </c>
      <c r="G203" t="s">
        <v>26</v>
      </c>
      <c r="H203" t="str">
        <f t="shared" si="6"/>
        <v>unbekannt</v>
      </c>
      <c r="I203" t="str" cm="1">
        <f t="array" ref="I203">_xlfn.SWITCH(A203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03" s="4">
        <f>IF(AND(B203=Werte!B203,LEFT(A203,5)=LEFT(Werte!A203,5)),Werte!C203,"not found")</f>
        <v>0.8</v>
      </c>
      <c r="K203" s="4">
        <f>IF(AND(B203=Werte!B203,LEFT(A203,5)=LEFT(Werte!A203,5)),Werte!D203,"not found")</f>
        <v>0</v>
      </c>
      <c r="L203" s="4">
        <f>IF(AND(B203=Werte!B203,LEFT(A203,5)=LEFT(Werte!A203,5)),Werte!E203,"not found")</f>
        <v>0.41666666666666702</v>
      </c>
      <c r="M203" s="4">
        <f>IF(AND(B203=Werte!B203,LEFT(A203,5)=LEFT(Werte!A203,5)),Werte!F203,"not found")</f>
        <v>0.74464428590503995</v>
      </c>
      <c r="N203" s="4" t="str">
        <f t="shared" si="7"/>
        <v>kind</v>
      </c>
      <c r="O203" s="4" cm="1">
        <f t="array" ref="O203">_xlfn.SWITCH(A203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03" s="4" t="str">
        <f>IF(Nodes[[#This Row],[Bezeichnung2]] = "betrueger",1,"")</f>
        <v/>
      </c>
      <c r="Q203" s="4" t="str">
        <f>IF(Nodes[[#This Row],[Bezeichnung2]] = "betrogener",2,"")</f>
        <v/>
      </c>
      <c r="R203" s="4" t="str">
        <f>IF(Nodes[[#This Row],[Bezeichnung2]] = "liebender",3,"")</f>
        <v/>
      </c>
      <c r="S203" s="4" t="str">
        <f>IF(Nodes[[#This Row],[Bezeichnung2]] = "liebende",4,"")</f>
        <v/>
      </c>
      <c r="T203" s="4" t="str">
        <f>IF(Nodes[[#This Row],[Bezeichnung2]] = "gegenspieler",5,"")</f>
        <v/>
      </c>
    </row>
    <row r="204" spans="1:20" x14ac:dyDescent="0.3">
      <c r="A204" t="s">
        <v>238</v>
      </c>
      <c r="B204" t="s">
        <v>244</v>
      </c>
      <c r="C204" t="s">
        <v>24</v>
      </c>
      <c r="D204" t="s">
        <v>47</v>
      </c>
      <c r="E204" t="s">
        <v>32</v>
      </c>
      <c r="F204" t="s">
        <v>53</v>
      </c>
      <c r="G204" t="s">
        <v>26</v>
      </c>
      <c r="H204" t="str">
        <f t="shared" si="6"/>
        <v>unbekannt</v>
      </c>
      <c r="I204" t="str" cm="1">
        <f t="array" ref="I204">_xlfn.SWITCH(A204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04" s="4">
        <f>IF(AND(B204=Werte!B204,LEFT(A204,5)=LEFT(Werte!A204,5)),Werte!C204,"not found")</f>
        <v>0.4</v>
      </c>
      <c r="K204" s="4">
        <f>IF(AND(B204=Werte!B204,LEFT(A204,5)=LEFT(Werte!A204,5)),Werte!D204,"not found")</f>
        <v>0</v>
      </c>
      <c r="L204" s="4">
        <f>IF(AND(B204=Werte!B204,LEFT(A204,5)=LEFT(Werte!A204,5)),Werte!E204,"not found")</f>
        <v>0.38461538461538503</v>
      </c>
      <c r="M204" s="4">
        <f>IF(AND(B204=Werte!B204,LEFT(A204,5)=LEFT(Werte!A204,5)),Werte!F204,"not found")</f>
        <v>0.42681725548354599</v>
      </c>
      <c r="N204" s="4" t="str">
        <f t="shared" si="7"/>
        <v>helfer</v>
      </c>
      <c r="O204" s="4" cm="1">
        <f t="array" ref="O204">_xlfn.SWITCH(A204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04" s="4" t="str">
        <f>IF(Nodes[[#This Row],[Bezeichnung2]] = "betrueger",1,"")</f>
        <v/>
      </c>
      <c r="Q204" s="4" t="str">
        <f>IF(Nodes[[#This Row],[Bezeichnung2]] = "betrogener",2,"")</f>
        <v/>
      </c>
      <c r="R204" s="4" t="str">
        <f>IF(Nodes[[#This Row],[Bezeichnung2]] = "liebender",3,"")</f>
        <v/>
      </c>
      <c r="S204" s="4" t="str">
        <f>IF(Nodes[[#This Row],[Bezeichnung2]] = "liebende",4,"")</f>
        <v/>
      </c>
      <c r="T204" s="4" t="str">
        <f>IF(Nodes[[#This Row],[Bezeichnung2]] = "gegenspieler",5,"")</f>
        <v/>
      </c>
    </row>
    <row r="205" spans="1:20" x14ac:dyDescent="0.3">
      <c r="A205" t="s">
        <v>245</v>
      </c>
      <c r="B205" t="s">
        <v>56</v>
      </c>
      <c r="C205" t="s">
        <v>18</v>
      </c>
      <c r="D205" t="s">
        <v>57</v>
      </c>
      <c r="E205" t="s">
        <v>47</v>
      </c>
      <c r="F205" t="s">
        <v>50</v>
      </c>
      <c r="G205" t="s">
        <v>22</v>
      </c>
      <c r="H205" t="str">
        <f t="shared" si="6"/>
        <v>adel</v>
      </c>
      <c r="I205" t="str" cm="1">
        <f t="array" ref="I205">_xlfn.SWITCH(A205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05" s="4">
        <f>IF(AND(B205=Werte!B205,LEFT(A205,5)=LEFT(Werte!A205,5)),Werte!C205,"not found")</f>
        <v>2</v>
      </c>
      <c r="K205" s="4">
        <f>IF(AND(B205=Werte!B205,LEFT(A205,5)=LEFT(Werte!A205,5)),Werte!D205,"not found")</f>
        <v>0.66666666666666696</v>
      </c>
      <c r="L205" s="4">
        <f>IF(AND(B205=Werte!B205,LEFT(A205,5)=LEFT(Werte!A205,5)),Werte!E205,"not found")</f>
        <v>0.14285714285714299</v>
      </c>
      <c r="M205" s="4">
        <f>IF(AND(B205=Werte!B205,LEFT(A205,5)=LEFT(Werte!A205,5)),Werte!F205,"not found")</f>
        <v>1</v>
      </c>
      <c r="N205" s="4" t="str">
        <f t="shared" si="7"/>
        <v>betrogener</v>
      </c>
      <c r="O205" s="4" cm="1">
        <f t="array" ref="O205">_xlfn.SWITCH(A205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05" s="4" t="str">
        <f>IF(Nodes[[#This Row],[Bezeichnung2]] = "betrueger",1,"")</f>
        <v/>
      </c>
      <c r="Q205" s="4">
        <f>IF(Nodes[[#This Row],[Bezeichnung2]] = "betrogener",2,"")</f>
        <v>2</v>
      </c>
      <c r="R205" s="4" t="str">
        <f>IF(Nodes[[#This Row],[Bezeichnung2]] = "liebender",3,"")</f>
        <v/>
      </c>
      <c r="S205" s="4" t="str">
        <f>IF(Nodes[[#This Row],[Bezeichnung2]] = "liebende",4,"")</f>
        <v/>
      </c>
      <c r="T205" s="4" t="str">
        <f>IF(Nodes[[#This Row],[Bezeichnung2]] = "gegenspieler",5,"")</f>
        <v/>
      </c>
    </row>
    <row r="206" spans="1:20" x14ac:dyDescent="0.3">
      <c r="A206" t="s">
        <v>245</v>
      </c>
      <c r="B206" t="s">
        <v>117</v>
      </c>
      <c r="C206" t="s">
        <v>24</v>
      </c>
      <c r="D206" t="s">
        <v>86</v>
      </c>
      <c r="E206" t="s">
        <v>47</v>
      </c>
      <c r="F206" t="s">
        <v>55</v>
      </c>
      <c r="G206" t="s">
        <v>22</v>
      </c>
      <c r="H206" t="str">
        <f t="shared" si="6"/>
        <v>adel</v>
      </c>
      <c r="I206" t="str" cm="1">
        <f t="array" ref="I206">_xlfn.SWITCH(A206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06" s="4">
        <f>IF(AND(B206=Werte!B206,LEFT(A206,5)=LEFT(Werte!A206,5)),Werte!C206,"not found")</f>
        <v>1.3333333333333299</v>
      </c>
      <c r="K206" s="4">
        <f>IF(AND(B206=Werte!B206,LEFT(A206,5)=LEFT(Werte!A206,5)),Werte!D206,"not found")</f>
        <v>0</v>
      </c>
      <c r="L206" s="4">
        <f>IF(AND(B206=Werte!B206,LEFT(A206,5)=LEFT(Werte!A206,5)),Werte!E206,"not found")</f>
        <v>9.375E-2</v>
      </c>
      <c r="M206" s="4">
        <f>IF(AND(B206=Werte!B206,LEFT(A206,5)=LEFT(Werte!A206,5)),Werte!F206,"not found")</f>
        <v>0.99244587365848402</v>
      </c>
      <c r="N206" s="4" t="str">
        <f t="shared" si="7"/>
        <v>betrueger</v>
      </c>
      <c r="O206" s="4" cm="1">
        <f t="array" ref="O206">_xlfn.SWITCH(A206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06" s="4">
        <f>IF(Nodes[[#This Row],[Bezeichnung2]] = "betrueger",1,"")</f>
        <v>1</v>
      </c>
      <c r="Q206" s="4" t="str">
        <f>IF(Nodes[[#This Row],[Bezeichnung2]] = "betrogener",2,"")</f>
        <v/>
      </c>
      <c r="R206" s="4" t="str">
        <f>IF(Nodes[[#This Row],[Bezeichnung2]] = "liebender",3,"")</f>
        <v/>
      </c>
      <c r="S206" s="4" t="str">
        <f>IF(Nodes[[#This Row],[Bezeichnung2]] = "liebende",4,"")</f>
        <v/>
      </c>
      <c r="T206" s="4" t="str">
        <f>IF(Nodes[[#This Row],[Bezeichnung2]] = "gegenspieler",5,"")</f>
        <v/>
      </c>
    </row>
    <row r="207" spans="1:20" x14ac:dyDescent="0.3">
      <c r="A207" t="s">
        <v>245</v>
      </c>
      <c r="B207" t="s">
        <v>246</v>
      </c>
      <c r="C207" t="s">
        <v>18</v>
      </c>
      <c r="D207" t="s">
        <v>57</v>
      </c>
      <c r="E207" t="s">
        <v>47</v>
      </c>
      <c r="F207" t="s">
        <v>96</v>
      </c>
      <c r="G207" t="s">
        <v>22</v>
      </c>
      <c r="H207" t="str">
        <f t="shared" si="6"/>
        <v>adel</v>
      </c>
      <c r="I207" t="str" cm="1">
        <f t="array" ref="I207">_xlfn.SWITCH(A207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07" s="4">
        <f>IF(AND(B207=Werte!B207,LEFT(A207,5)=LEFT(Werte!A207,5)),Werte!C207,"not found")</f>
        <v>1.3333333333333299</v>
      </c>
      <c r="K207" s="4">
        <f>IF(AND(B207=Werte!B207,LEFT(A207,5)=LEFT(Werte!A207,5)),Werte!D207,"not found")</f>
        <v>0</v>
      </c>
      <c r="L207" s="4">
        <f>IF(AND(B207=Werte!B207,LEFT(A207,5)=LEFT(Werte!A207,5)),Werte!E207,"not found")</f>
        <v>0.115384615384615</v>
      </c>
      <c r="M207" s="4">
        <f>IF(AND(B207=Werte!B207,LEFT(A207,5)=LEFT(Werte!A207,5)),Werte!F207,"not found")</f>
        <v>0.87776385500983101</v>
      </c>
      <c r="N207" s="4" t="str">
        <f t="shared" si="7"/>
        <v>betrueger</v>
      </c>
      <c r="O207" s="4" cm="1">
        <f t="array" ref="O207">_xlfn.SWITCH(A207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07" s="4">
        <f>IF(Nodes[[#This Row],[Bezeichnung2]] = "betrueger",1,"")</f>
        <v>1</v>
      </c>
      <c r="Q207" s="4" t="str">
        <f>IF(Nodes[[#This Row],[Bezeichnung2]] = "betrogener",2,"")</f>
        <v/>
      </c>
      <c r="R207" s="4" t="str">
        <f>IF(Nodes[[#This Row],[Bezeichnung2]] = "liebender",3,"")</f>
        <v/>
      </c>
      <c r="S207" s="4" t="str">
        <f>IF(Nodes[[#This Row],[Bezeichnung2]] = "liebende",4,"")</f>
        <v/>
      </c>
      <c r="T207" s="4" t="str">
        <f>IF(Nodes[[#This Row],[Bezeichnung2]] = "gegenspieler",5,"")</f>
        <v/>
      </c>
    </row>
    <row r="208" spans="1:20" x14ac:dyDescent="0.3">
      <c r="A208" t="s">
        <v>245</v>
      </c>
      <c r="B208" t="s">
        <v>149</v>
      </c>
      <c r="C208" t="s">
        <v>46</v>
      </c>
      <c r="D208" t="s">
        <v>47</v>
      </c>
      <c r="E208" t="s">
        <v>28</v>
      </c>
      <c r="F208" t="s">
        <v>53</v>
      </c>
      <c r="G208" t="s">
        <v>26</v>
      </c>
      <c r="H208" t="str">
        <f t="shared" si="6"/>
        <v>unbekannt</v>
      </c>
      <c r="I208" t="str" cm="1">
        <f t="array" ref="I208">_xlfn.SWITCH(A208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08" s="4">
        <f>IF(AND(B208=Werte!B208,LEFT(A208,5)=LEFT(Werte!A208,5)),Werte!C208,"not found")</f>
        <v>0.66666666666666696</v>
      </c>
      <c r="K208" s="4">
        <f>IF(AND(B208=Werte!B208,LEFT(A208,5)=LEFT(Werte!A208,5)),Werte!D208,"not found")</f>
        <v>0</v>
      </c>
      <c r="L208" s="4">
        <f>IF(AND(B208=Werte!B208,LEFT(A208,5)=LEFT(Werte!A208,5)),Werte!E208,"not found")</f>
        <v>0.12</v>
      </c>
      <c r="M208" s="4">
        <f>IF(AND(B208=Werte!B208,LEFT(A208,5)=LEFT(Werte!A208,5)),Werte!F208,"not found")</f>
        <v>0.11013647429705301</v>
      </c>
      <c r="N208" s="4" t="str">
        <f t="shared" si="7"/>
        <v>helfer</v>
      </c>
      <c r="O208" s="4" cm="1">
        <f t="array" ref="O208">_xlfn.SWITCH(A208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08" s="4" t="str">
        <f>IF(Nodes[[#This Row],[Bezeichnung2]] = "betrueger",1,"")</f>
        <v/>
      </c>
      <c r="Q208" s="4" t="str">
        <f>IF(Nodes[[#This Row],[Bezeichnung2]] = "betrogener",2,"")</f>
        <v/>
      </c>
      <c r="R208" s="4" t="str">
        <f>IF(Nodes[[#This Row],[Bezeichnung2]] = "liebender",3,"")</f>
        <v/>
      </c>
      <c r="S208" s="4" t="str">
        <f>IF(Nodes[[#This Row],[Bezeichnung2]] = "liebende",4,"")</f>
        <v/>
      </c>
      <c r="T208" s="4" t="str">
        <f>IF(Nodes[[#This Row],[Bezeichnung2]] = "gegenspieler",5,"")</f>
        <v/>
      </c>
    </row>
    <row r="209" spans="1:20" x14ac:dyDescent="0.3">
      <c r="A209" t="s">
        <v>247</v>
      </c>
      <c r="B209" t="s">
        <v>246</v>
      </c>
      <c r="C209" t="s">
        <v>18</v>
      </c>
      <c r="D209" t="s">
        <v>57</v>
      </c>
      <c r="E209" t="s">
        <v>47</v>
      </c>
      <c r="F209" t="s">
        <v>96</v>
      </c>
      <c r="G209" t="s">
        <v>22</v>
      </c>
      <c r="H209" t="str">
        <f t="shared" si="6"/>
        <v>adel</v>
      </c>
      <c r="I209" t="str" cm="1">
        <f t="array" ref="I209">_xlfn.SWITCH(A209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09" s="4">
        <f>IF(AND(B209=Werte!B209,LEFT(A209,5)=LEFT(Werte!A209,5)),Werte!C209,"not found")</f>
        <v>2</v>
      </c>
      <c r="K209" s="4">
        <f>IF(AND(B209=Werte!B209,LEFT(A209,5)=LEFT(Werte!A209,5)),Werte!D209,"not found")</f>
        <v>0.36666666666666697</v>
      </c>
      <c r="L209" s="4">
        <f>IF(AND(B209=Werte!B209,LEFT(A209,5)=LEFT(Werte!A209,5)),Werte!E209,"not found")</f>
        <v>0.46153846153846201</v>
      </c>
      <c r="M209" s="4">
        <f>IF(AND(B209=Werte!B209,LEFT(A209,5)=LEFT(Werte!A209,5)),Werte!F209,"not found")</f>
        <v>0.78120374160726602</v>
      </c>
      <c r="N209" s="4" t="str">
        <f t="shared" si="7"/>
        <v>betrueger</v>
      </c>
      <c r="O209" s="4" cm="1">
        <f t="array" ref="O209">_xlfn.SWITCH(A209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09" s="4">
        <f>IF(Nodes[[#This Row],[Bezeichnung2]] = "betrueger",1,"")</f>
        <v>1</v>
      </c>
      <c r="Q209" s="4" t="str">
        <f>IF(Nodes[[#This Row],[Bezeichnung2]] = "betrogener",2,"")</f>
        <v/>
      </c>
      <c r="R209" s="4" t="str">
        <f>IF(Nodes[[#This Row],[Bezeichnung2]] = "liebender",3,"")</f>
        <v/>
      </c>
      <c r="S209" s="4" t="str">
        <f>IF(Nodes[[#This Row],[Bezeichnung2]] = "liebende",4,"")</f>
        <v/>
      </c>
      <c r="T209" s="4" t="str">
        <f>IF(Nodes[[#This Row],[Bezeichnung2]] = "gegenspieler",5,"")</f>
        <v/>
      </c>
    </row>
    <row r="210" spans="1:20" x14ac:dyDescent="0.3">
      <c r="A210" t="s">
        <v>247</v>
      </c>
      <c r="B210" t="s">
        <v>117</v>
      </c>
      <c r="C210" t="s">
        <v>24</v>
      </c>
      <c r="D210" t="s">
        <v>86</v>
      </c>
      <c r="E210" t="s">
        <v>47</v>
      </c>
      <c r="F210" t="s">
        <v>55</v>
      </c>
      <c r="G210" t="s">
        <v>22</v>
      </c>
      <c r="H210" t="str">
        <f t="shared" si="6"/>
        <v>adel</v>
      </c>
      <c r="I210" t="str" cm="1">
        <f t="array" ref="I210">_xlfn.SWITCH(A210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10" s="4">
        <f>IF(AND(B210=Werte!B210,LEFT(A210,5)=LEFT(Werte!A210,5)),Werte!C210,"not found")</f>
        <v>2</v>
      </c>
      <c r="K210" s="4">
        <f>IF(AND(B210=Werte!B210,LEFT(A210,5)=LEFT(Werte!A210,5)),Werte!D210,"not found")</f>
        <v>0</v>
      </c>
      <c r="L210" s="4">
        <f>IF(AND(B210=Werte!B210,LEFT(A210,5)=LEFT(Werte!A210,5)),Werte!E210,"not found")</f>
        <v>0.375</v>
      </c>
      <c r="M210" s="4">
        <f>IF(AND(B210=Werte!B210,LEFT(A210,5)=LEFT(Werte!A210,5)),Werte!F210,"not found")</f>
        <v>0.96975939188064597</v>
      </c>
      <c r="N210" s="4" t="str">
        <f t="shared" si="7"/>
        <v>betrueger</v>
      </c>
      <c r="O210" s="4" cm="1">
        <f t="array" ref="O210">_xlfn.SWITCH(A210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10" s="4">
        <f>IF(Nodes[[#This Row],[Bezeichnung2]] = "betrueger",1,"")</f>
        <v>1</v>
      </c>
      <c r="Q210" s="4" t="str">
        <f>IF(Nodes[[#This Row],[Bezeichnung2]] = "betrogener",2,"")</f>
        <v/>
      </c>
      <c r="R210" s="4" t="str">
        <f>IF(Nodes[[#This Row],[Bezeichnung2]] = "liebender",3,"")</f>
        <v/>
      </c>
      <c r="S210" s="4" t="str">
        <f>IF(Nodes[[#This Row],[Bezeichnung2]] = "liebende",4,"")</f>
        <v/>
      </c>
      <c r="T210" s="4" t="str">
        <f>IF(Nodes[[#This Row],[Bezeichnung2]] = "gegenspieler",5,"")</f>
        <v/>
      </c>
    </row>
    <row r="211" spans="1:20" x14ac:dyDescent="0.3">
      <c r="A211" t="s">
        <v>247</v>
      </c>
      <c r="B211" t="s">
        <v>56</v>
      </c>
      <c r="C211" t="s">
        <v>18</v>
      </c>
      <c r="D211" t="s">
        <v>57</v>
      </c>
      <c r="E211" t="s">
        <v>47</v>
      </c>
      <c r="F211" t="s">
        <v>50</v>
      </c>
      <c r="G211" t="s">
        <v>22</v>
      </c>
      <c r="H211" t="str">
        <f t="shared" si="6"/>
        <v>adel</v>
      </c>
      <c r="I211" t="str" cm="1">
        <f t="array" ref="I211">_xlfn.SWITCH(A211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11" s="4">
        <f>IF(AND(B211=Werte!B211,LEFT(A211,5)=LEFT(Werte!A211,5)),Werte!C211,"not found")</f>
        <v>1.3333333333333299</v>
      </c>
      <c r="K211" s="4">
        <f>IF(AND(B211=Werte!B211,LEFT(A211,5)=LEFT(Werte!A211,5)),Werte!D211,"not found")</f>
        <v>0</v>
      </c>
      <c r="L211" s="4">
        <f>IF(AND(B211=Werte!B211,LEFT(A211,5)=LEFT(Werte!A211,5)),Werte!E211,"not found")</f>
        <v>0.35294117647058798</v>
      </c>
      <c r="M211" s="4">
        <f>IF(AND(B211=Werte!B211,LEFT(A211,5)=LEFT(Werte!A211,5)),Werte!F211,"not found")</f>
        <v>1</v>
      </c>
      <c r="N211" s="4" t="str">
        <f t="shared" si="7"/>
        <v>betrogener</v>
      </c>
      <c r="O211" s="4" cm="1">
        <f t="array" ref="O211">_xlfn.SWITCH(A211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11" s="4" t="str">
        <f>IF(Nodes[[#This Row],[Bezeichnung2]] = "betrueger",1,"")</f>
        <v/>
      </c>
      <c r="Q211" s="4">
        <f>IF(Nodes[[#This Row],[Bezeichnung2]] = "betrogener",2,"")</f>
        <v>2</v>
      </c>
      <c r="R211" s="4" t="str">
        <f>IF(Nodes[[#This Row],[Bezeichnung2]] = "liebender",3,"")</f>
        <v/>
      </c>
      <c r="S211" s="4" t="str">
        <f>IF(Nodes[[#This Row],[Bezeichnung2]] = "liebende",4,"")</f>
        <v/>
      </c>
      <c r="T211" s="4" t="str">
        <f>IF(Nodes[[#This Row],[Bezeichnung2]] = "gegenspieler",5,"")</f>
        <v/>
      </c>
    </row>
    <row r="212" spans="1:20" x14ac:dyDescent="0.3">
      <c r="A212" t="s">
        <v>247</v>
      </c>
      <c r="B212" t="s">
        <v>248</v>
      </c>
      <c r="C212" t="s">
        <v>46</v>
      </c>
      <c r="D212" t="s">
        <v>176</v>
      </c>
      <c r="E212" t="s">
        <v>47</v>
      </c>
      <c r="F212" t="s">
        <v>53</v>
      </c>
      <c r="G212" t="s">
        <v>26</v>
      </c>
      <c r="H212" t="str">
        <f t="shared" si="6"/>
        <v>adel</v>
      </c>
      <c r="I212" t="str" cm="1">
        <f t="array" ref="I212">_xlfn.SWITCH(A212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12" s="4">
        <f>IF(AND(B212=Werte!B212,LEFT(A212,5)=LEFT(Werte!A212,5)),Werte!C212,"not found")</f>
        <v>1.3333333333333299</v>
      </c>
      <c r="K212" s="4">
        <f>IF(AND(B212=Werte!B212,LEFT(A212,5)=LEFT(Werte!A212,5)),Werte!D212,"not found")</f>
        <v>0</v>
      </c>
      <c r="L212" s="4">
        <f>IF(AND(B212=Werte!B212,LEFT(A212,5)=LEFT(Werte!A212,5)),Werte!E212,"not found")</f>
        <v>0.35294117647058798</v>
      </c>
      <c r="M212" s="4">
        <f>IF(AND(B212=Werte!B212,LEFT(A212,5)=LEFT(Werte!A212,5)),Werte!F212,"not found")</f>
        <v>0.74385367297630001</v>
      </c>
      <c r="N212" s="4" t="str">
        <f t="shared" si="7"/>
        <v>helfer</v>
      </c>
      <c r="O212" s="4" cm="1">
        <f t="array" ref="O212">_xlfn.SWITCH(A212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12" s="4" t="str">
        <f>IF(Nodes[[#This Row],[Bezeichnung2]] = "betrueger",1,"")</f>
        <v/>
      </c>
      <c r="Q212" s="4" t="str">
        <f>IF(Nodes[[#This Row],[Bezeichnung2]] = "betrogener",2,"")</f>
        <v/>
      </c>
      <c r="R212" s="4" t="str">
        <f>IF(Nodes[[#This Row],[Bezeichnung2]] = "liebender",3,"")</f>
        <v/>
      </c>
      <c r="S212" s="4" t="str">
        <f>IF(Nodes[[#This Row],[Bezeichnung2]] = "liebende",4,"")</f>
        <v/>
      </c>
      <c r="T212" s="4" t="str">
        <f>IF(Nodes[[#This Row],[Bezeichnung2]] = "gegenspieler",5,"")</f>
        <v/>
      </c>
    </row>
    <row r="213" spans="1:20" x14ac:dyDescent="0.3">
      <c r="A213" t="s">
        <v>247</v>
      </c>
      <c r="B213" t="s">
        <v>249</v>
      </c>
      <c r="C213" t="s">
        <v>18</v>
      </c>
      <c r="D213" t="s">
        <v>176</v>
      </c>
      <c r="E213" t="s">
        <v>47</v>
      </c>
      <c r="F213" t="s">
        <v>47</v>
      </c>
      <c r="G213" t="s">
        <v>26</v>
      </c>
      <c r="H213" t="str">
        <f t="shared" si="6"/>
        <v>adel</v>
      </c>
      <c r="I213" t="str" cm="1">
        <f t="array" ref="I213">_xlfn.SWITCH(A213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13" s="4">
        <f>IF(AND(B213=Werte!B213,LEFT(A213,5)=LEFT(Werte!A213,5)),Werte!C213,"not found")</f>
        <v>0.66666666666666696</v>
      </c>
      <c r="K213" s="4">
        <f>IF(AND(B213=Werte!B213,LEFT(A213,5)=LEFT(Werte!A213,5)),Werte!D213,"not found")</f>
        <v>6.6666666666666693E-2</v>
      </c>
      <c r="L213" s="4">
        <f>IF(AND(B213=Werte!B213,LEFT(A213,5)=LEFT(Werte!A213,5)),Werte!E213,"not found")</f>
        <v>0.375</v>
      </c>
      <c r="M213" s="4">
        <f>IF(AND(B213=Werte!B213,LEFT(A213,5)=LEFT(Werte!A213,5)),Werte!F213,"not found")</f>
        <v>9.3260720348378998E-2</v>
      </c>
      <c r="N213" s="4" t="str">
        <f t="shared" si="7"/>
        <v>unbekannt</v>
      </c>
      <c r="O213" s="4" cm="1">
        <f t="array" ref="O213">_xlfn.SWITCH(A213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13" s="4" t="str">
        <f>IF(Nodes[[#This Row],[Bezeichnung2]] = "betrueger",1,"")</f>
        <v/>
      </c>
      <c r="Q213" s="4" t="str">
        <f>IF(Nodes[[#This Row],[Bezeichnung2]] = "betrogener",2,"")</f>
        <v/>
      </c>
      <c r="R213" s="4" t="str">
        <f>IF(Nodes[[#This Row],[Bezeichnung2]] = "liebender",3,"")</f>
        <v/>
      </c>
      <c r="S213" s="4" t="str">
        <f>IF(Nodes[[#This Row],[Bezeichnung2]] = "liebende",4,"")</f>
        <v/>
      </c>
      <c r="T213" s="4" t="str">
        <f>IF(Nodes[[#This Row],[Bezeichnung2]] = "gegenspieler",5,"")</f>
        <v/>
      </c>
    </row>
    <row r="214" spans="1:20" x14ac:dyDescent="0.3">
      <c r="A214" t="s">
        <v>247</v>
      </c>
      <c r="B214" t="s">
        <v>250</v>
      </c>
      <c r="C214" t="s">
        <v>24</v>
      </c>
      <c r="D214" t="s">
        <v>251</v>
      </c>
      <c r="E214" t="s">
        <v>47</v>
      </c>
      <c r="F214" t="s">
        <v>53</v>
      </c>
      <c r="G214" t="s">
        <v>26</v>
      </c>
      <c r="H214" t="str">
        <f t="shared" si="6"/>
        <v>buergerlich</v>
      </c>
      <c r="I214" t="str" cm="1">
        <f t="array" ref="I214">_xlfn.SWITCH(A214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14" s="4">
        <f>IF(AND(B214=Werte!B214,LEFT(A214,5)=LEFT(Werte!A214,5)),Werte!C214,"not found")</f>
        <v>1.6666666666666701</v>
      </c>
      <c r="K214" s="4">
        <f>IF(AND(B214=Werte!B214,LEFT(A214,5)=LEFT(Werte!A214,5)),Werte!D214,"not found")</f>
        <v>0.6</v>
      </c>
      <c r="L214" s="4">
        <f>IF(AND(B214=Werte!B214,LEFT(A214,5)=LEFT(Werte!A214,5)),Werte!E214,"not found")</f>
        <v>0.5</v>
      </c>
      <c r="M214" s="4">
        <f>IF(AND(B214=Werte!B214,LEFT(A214,5)=LEFT(Werte!A214,5)),Werte!F214,"not found")</f>
        <v>0.19488398705766499</v>
      </c>
      <c r="N214" s="4" t="str">
        <f t="shared" si="7"/>
        <v>helfer</v>
      </c>
      <c r="O214" s="4" cm="1">
        <f t="array" ref="O214">_xlfn.SWITCH(A214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14" s="4" t="str">
        <f>IF(Nodes[[#This Row],[Bezeichnung2]] = "betrueger",1,"")</f>
        <v/>
      </c>
      <c r="Q214" s="4" t="str">
        <f>IF(Nodes[[#This Row],[Bezeichnung2]] = "betrogener",2,"")</f>
        <v/>
      </c>
      <c r="R214" s="4" t="str">
        <f>IF(Nodes[[#This Row],[Bezeichnung2]] = "liebender",3,"")</f>
        <v/>
      </c>
      <c r="S214" s="4" t="str">
        <f>IF(Nodes[[#This Row],[Bezeichnung2]] = "liebende",4,"")</f>
        <v/>
      </c>
      <c r="T214" s="4" t="str">
        <f>IF(Nodes[[#This Row],[Bezeichnung2]] = "gegenspieler",5,"")</f>
        <v/>
      </c>
    </row>
    <row r="215" spans="1:20" x14ac:dyDescent="0.3">
      <c r="A215" t="s">
        <v>247</v>
      </c>
      <c r="B215" t="s">
        <v>252</v>
      </c>
      <c r="C215" t="s">
        <v>24</v>
      </c>
      <c r="D215" t="s">
        <v>129</v>
      </c>
      <c r="E215" t="s">
        <v>47</v>
      </c>
      <c r="F215" t="s">
        <v>104</v>
      </c>
      <c r="G215" t="s">
        <v>26</v>
      </c>
      <c r="H215" t="str">
        <f t="shared" si="6"/>
        <v>buergerlich</v>
      </c>
      <c r="I215" t="str" cm="1">
        <f t="array" ref="I215">_xlfn.SWITCH(A215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15" s="4">
        <f>IF(AND(B215=Werte!B215,LEFT(A215,5)=LEFT(Werte!A215,5)),Werte!C215,"not found")</f>
        <v>1</v>
      </c>
      <c r="K215" s="4">
        <f>IF(AND(B215=Werte!B215,LEFT(A215,5)=LEFT(Werte!A215,5)),Werte!D215,"not found")</f>
        <v>0</v>
      </c>
      <c r="L215" s="4">
        <f>IF(AND(B215=Werte!B215,LEFT(A215,5)=LEFT(Werte!A215,5)),Werte!E215,"not found")</f>
        <v>0.35294117647058798</v>
      </c>
      <c r="M215" s="4">
        <f>IF(AND(B215=Werte!B215,LEFT(A215,5)=LEFT(Werte!A215,5)),Werte!F215,"not found")</f>
        <v>0.14654271480087999</v>
      </c>
      <c r="N215" s="4" t="str">
        <f t="shared" si="7"/>
        <v>bote</v>
      </c>
      <c r="O215" s="4" cm="1">
        <f t="array" ref="O215">_xlfn.SWITCH(A215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15" s="4" t="str">
        <f>IF(Nodes[[#This Row],[Bezeichnung2]] = "betrueger",1,"")</f>
        <v/>
      </c>
      <c r="Q215" s="4" t="str">
        <f>IF(Nodes[[#This Row],[Bezeichnung2]] = "betrogener",2,"")</f>
        <v/>
      </c>
      <c r="R215" s="4" t="str">
        <f>IF(Nodes[[#This Row],[Bezeichnung2]] = "liebender",3,"")</f>
        <v/>
      </c>
      <c r="S215" s="4" t="str">
        <f>IF(Nodes[[#This Row],[Bezeichnung2]] = "liebende",4,"")</f>
        <v/>
      </c>
      <c r="T215" s="4" t="str">
        <f>IF(Nodes[[#This Row],[Bezeichnung2]] = "gegenspieler",5,"")</f>
        <v/>
      </c>
    </row>
    <row r="216" spans="1:20" x14ac:dyDescent="0.3">
      <c r="A216" t="s">
        <v>573</v>
      </c>
      <c r="B216" t="s">
        <v>132</v>
      </c>
      <c r="C216" t="s">
        <v>18</v>
      </c>
      <c r="D216" t="s">
        <v>133</v>
      </c>
      <c r="E216" t="s">
        <v>32</v>
      </c>
      <c r="F216" t="s">
        <v>93</v>
      </c>
      <c r="G216" t="s">
        <v>22</v>
      </c>
      <c r="H216" t="str">
        <f t="shared" si="6"/>
        <v>buergerlich</v>
      </c>
      <c r="I216" t="str" cm="1">
        <f t="array" ref="I216">_xlfn.SWITCH(A216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16" s="4">
        <f>IF(AND(B216=Werte!B216,LEFT(A216,5)=LEFT(Werte!A216,5)),Werte!C216,"not found")</f>
        <v>1.5714285714285701</v>
      </c>
      <c r="K216" s="4">
        <f>IF(AND(B216=Werte!B216,LEFT(A216,5)=LEFT(Werte!A216,5)),Werte!D216,"not found")</f>
        <v>0.21978021978022</v>
      </c>
      <c r="L216" s="4">
        <f>IF(AND(B216=Werte!B216,LEFT(A216,5)=LEFT(Werte!A216,5)),Werte!E216,"not found")</f>
        <v>0.4</v>
      </c>
      <c r="M216" s="4">
        <f>IF(AND(B216=Werte!B216,LEFT(A216,5)=LEFT(Werte!A216,5)),Werte!F216,"not found")</f>
        <v>1</v>
      </c>
      <c r="N216" s="4" t="str">
        <f t="shared" si="7"/>
        <v>betrogener</v>
      </c>
      <c r="O216" s="4" cm="1">
        <f t="array" ref="O216">_xlfn.SWITCH(A216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16" s="4" t="str">
        <f>IF(Nodes[[#This Row],[Bezeichnung2]] = "betrueger",1,"")</f>
        <v/>
      </c>
      <c r="Q216" s="4">
        <f>IF(Nodes[[#This Row],[Bezeichnung2]] = "betrogener",2,"")</f>
        <v>2</v>
      </c>
      <c r="R216" s="4" t="str">
        <f>IF(Nodes[[#This Row],[Bezeichnung2]] = "liebender",3,"")</f>
        <v/>
      </c>
      <c r="S216" s="4" t="str">
        <f>IF(Nodes[[#This Row],[Bezeichnung2]] = "liebende",4,"")</f>
        <v/>
      </c>
      <c r="T216" s="4" t="str">
        <f>IF(Nodes[[#This Row],[Bezeichnung2]] = "gegenspieler",5,"")</f>
        <v/>
      </c>
    </row>
    <row r="217" spans="1:20" x14ac:dyDescent="0.3">
      <c r="A217" t="s">
        <v>573</v>
      </c>
      <c r="B217" t="s">
        <v>574</v>
      </c>
      <c r="C217" t="s">
        <v>24</v>
      </c>
      <c r="D217" t="s">
        <v>124</v>
      </c>
      <c r="E217" t="s">
        <v>20</v>
      </c>
      <c r="F217" t="s">
        <v>96</v>
      </c>
      <c r="G217" t="s">
        <v>22</v>
      </c>
      <c r="H217" t="str">
        <f t="shared" si="6"/>
        <v>buergerlich</v>
      </c>
      <c r="I217" t="str" cm="1">
        <f t="array" ref="I217">_xlfn.SWITCH(A217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17" s="4">
        <f>IF(AND(B217=Werte!B217,LEFT(A217,5)=LEFT(Werte!A217,5)),Werte!C217,"not found")</f>
        <v>1</v>
      </c>
      <c r="K217" s="4">
        <f>IF(AND(B217=Werte!B217,LEFT(A217,5)=LEFT(Werte!A217,5)),Werte!D217,"not found")</f>
        <v>0</v>
      </c>
      <c r="L217" s="4">
        <f>IF(AND(B217=Werte!B217,LEFT(A217,5)=LEFT(Werte!A217,5)),Werte!E217,"not found")</f>
        <v>0.34146341463414598</v>
      </c>
      <c r="M217" s="4">
        <f>IF(AND(B217=Werte!B217,LEFT(A217,5)=LEFT(Werte!A217,5)),Werte!F217,"not found")</f>
        <v>0.68258032424639303</v>
      </c>
      <c r="N217" s="4" t="str">
        <f t="shared" si="7"/>
        <v>betrueger</v>
      </c>
      <c r="O217" s="4" cm="1">
        <f t="array" ref="O217">_xlfn.SWITCH(A217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17" s="4">
        <f>IF(Nodes[[#This Row],[Bezeichnung2]] = "betrueger",1,"")</f>
        <v>1</v>
      </c>
      <c r="Q217" s="4" t="str">
        <f>IF(Nodes[[#This Row],[Bezeichnung2]] = "betrogener",2,"")</f>
        <v/>
      </c>
      <c r="R217" s="4" t="str">
        <f>IF(Nodes[[#This Row],[Bezeichnung2]] = "liebender",3,"")</f>
        <v/>
      </c>
      <c r="S217" s="4" t="str">
        <f>IF(Nodes[[#This Row],[Bezeichnung2]] = "liebende",4,"")</f>
        <v/>
      </c>
      <c r="T217" s="4" t="str">
        <f>IF(Nodes[[#This Row],[Bezeichnung2]] = "gegenspieler",5,"")</f>
        <v/>
      </c>
    </row>
    <row r="218" spans="1:20" x14ac:dyDescent="0.3">
      <c r="A218" t="s">
        <v>573</v>
      </c>
      <c r="B218" t="s">
        <v>575</v>
      </c>
      <c r="C218" t="s">
        <v>24</v>
      </c>
      <c r="D218" t="s">
        <v>124</v>
      </c>
      <c r="E218" t="s">
        <v>20</v>
      </c>
      <c r="F218" t="s">
        <v>96</v>
      </c>
      <c r="G218" t="s">
        <v>22</v>
      </c>
      <c r="H218" t="str">
        <f t="shared" si="6"/>
        <v>buergerlich</v>
      </c>
      <c r="I218" t="str" cm="1">
        <f t="array" ref="I218">_xlfn.SWITCH(A218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18" s="4">
        <f>IF(AND(B218=Werte!B218,LEFT(A218,5)=LEFT(Werte!A218,5)),Werte!C218,"not found")</f>
        <v>1</v>
      </c>
      <c r="K218" s="4">
        <f>IF(AND(B218=Werte!B218,LEFT(A218,5)=LEFT(Werte!A218,5)),Werte!D218,"not found")</f>
        <v>0</v>
      </c>
      <c r="L218" s="4">
        <f>IF(AND(B218=Werte!B218,LEFT(A218,5)=LEFT(Werte!A218,5)),Werte!E218,"not found")</f>
        <v>0.34146341463414598</v>
      </c>
      <c r="M218" s="4">
        <f>IF(AND(B218=Werte!B218,LEFT(A218,5)=LEFT(Werte!A218,5)),Werte!F218,"not found")</f>
        <v>0.67361884454360299</v>
      </c>
      <c r="N218" s="4" t="str">
        <f t="shared" si="7"/>
        <v>betrueger</v>
      </c>
      <c r="O218" s="4" cm="1">
        <f t="array" ref="O218">_xlfn.SWITCH(A218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18" s="4">
        <f>IF(Nodes[[#This Row],[Bezeichnung2]] = "betrueger",1,"")</f>
        <v>1</v>
      </c>
      <c r="Q218" s="4" t="str">
        <f>IF(Nodes[[#This Row],[Bezeichnung2]] = "betrogener",2,"")</f>
        <v/>
      </c>
      <c r="R218" s="4" t="str">
        <f>IF(Nodes[[#This Row],[Bezeichnung2]] = "liebender",3,"")</f>
        <v/>
      </c>
      <c r="S218" s="4" t="str">
        <f>IF(Nodes[[#This Row],[Bezeichnung2]] = "liebende",4,"")</f>
        <v/>
      </c>
      <c r="T218" s="4" t="str">
        <f>IF(Nodes[[#This Row],[Bezeichnung2]] = "gegenspieler",5,"")</f>
        <v/>
      </c>
    </row>
    <row r="219" spans="1:20" x14ac:dyDescent="0.3">
      <c r="A219" t="s">
        <v>573</v>
      </c>
      <c r="B219" t="s">
        <v>576</v>
      </c>
      <c r="C219" t="s">
        <v>18</v>
      </c>
      <c r="D219" t="s">
        <v>133</v>
      </c>
      <c r="E219" t="s">
        <v>20</v>
      </c>
      <c r="F219" t="s">
        <v>96</v>
      </c>
      <c r="G219" t="s">
        <v>22</v>
      </c>
      <c r="H219" t="str">
        <f t="shared" si="6"/>
        <v>buergerlich</v>
      </c>
      <c r="I219" t="str" cm="1">
        <f t="array" ref="I219">_xlfn.SWITCH(A219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19" s="4">
        <f>IF(AND(B219=Werte!B219,LEFT(A219,5)=LEFT(Werte!A219,5)),Werte!C219,"not found")</f>
        <v>1.4285714285714299</v>
      </c>
      <c r="K219" s="4">
        <f>IF(AND(B219=Werte!B219,LEFT(A219,5)=LEFT(Werte!A219,5)),Werte!D219,"not found")</f>
        <v>0.31868131868131899</v>
      </c>
      <c r="L219" s="4">
        <f>IF(AND(B219=Werte!B219,LEFT(A219,5)=LEFT(Werte!A219,5)),Werte!E219,"not found")</f>
        <v>0.4</v>
      </c>
      <c r="M219" s="4">
        <f>IF(AND(B219=Werte!B219,LEFT(A219,5)=LEFT(Werte!A219,5)),Werte!F219,"not found")</f>
        <v>0.762272203631845</v>
      </c>
      <c r="N219" s="4" t="str">
        <f t="shared" si="7"/>
        <v>betrueger</v>
      </c>
      <c r="O219" s="4" cm="1">
        <f t="array" ref="O219">_xlfn.SWITCH(A219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19" s="4">
        <f>IF(Nodes[[#This Row],[Bezeichnung2]] = "betrueger",1,"")</f>
        <v>1</v>
      </c>
      <c r="Q219" s="4" t="str">
        <f>IF(Nodes[[#This Row],[Bezeichnung2]] = "betrogener",2,"")</f>
        <v/>
      </c>
      <c r="R219" s="4" t="str">
        <f>IF(Nodes[[#This Row],[Bezeichnung2]] = "liebender",3,"")</f>
        <v/>
      </c>
      <c r="S219" s="4" t="str">
        <f>IF(Nodes[[#This Row],[Bezeichnung2]] = "liebende",4,"")</f>
        <v/>
      </c>
      <c r="T219" s="4" t="str">
        <f>IF(Nodes[[#This Row],[Bezeichnung2]] = "gegenspieler",5,"")</f>
        <v/>
      </c>
    </row>
    <row r="220" spans="1:20" x14ac:dyDescent="0.3">
      <c r="A220" t="s">
        <v>573</v>
      </c>
      <c r="B220" t="s">
        <v>577</v>
      </c>
      <c r="C220" t="s">
        <v>18</v>
      </c>
      <c r="D220" t="s">
        <v>133</v>
      </c>
      <c r="E220" t="s">
        <v>20</v>
      </c>
      <c r="F220" t="s">
        <v>96</v>
      </c>
      <c r="G220" t="s">
        <v>22</v>
      </c>
      <c r="H220" t="str">
        <f t="shared" si="6"/>
        <v>buergerlich</v>
      </c>
      <c r="I220" t="str" cm="1">
        <f t="array" ref="I220">_xlfn.SWITCH(A220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20" s="4">
        <f>IF(AND(B220=Werte!B220,LEFT(A220,5)=LEFT(Werte!A220,5)),Werte!C220,"not found")</f>
        <v>1.28571428571429</v>
      </c>
      <c r="K220" s="4">
        <f>IF(AND(B220=Werte!B220,LEFT(A220,5)=LEFT(Werte!A220,5)),Werte!D220,"not found")</f>
        <v>0.12637362637362601</v>
      </c>
      <c r="L220" s="4">
        <f>IF(AND(B220=Werte!B220,LEFT(A220,5)=LEFT(Werte!A220,5)),Werte!E220,"not found")</f>
        <v>0.37837837837837801</v>
      </c>
      <c r="M220" s="4">
        <f>IF(AND(B220=Werte!B220,LEFT(A220,5)=LEFT(Werte!A220,5)),Werte!F220,"not found")</f>
        <v>0.74841887681967501</v>
      </c>
      <c r="N220" s="4" t="str">
        <f t="shared" si="7"/>
        <v>betrueger</v>
      </c>
      <c r="O220" s="4" cm="1">
        <f t="array" ref="O220">_xlfn.SWITCH(A220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20" s="4">
        <f>IF(Nodes[[#This Row],[Bezeichnung2]] = "betrueger",1,"")</f>
        <v>1</v>
      </c>
      <c r="Q220" s="4" t="str">
        <f>IF(Nodes[[#This Row],[Bezeichnung2]] = "betrogener",2,"")</f>
        <v/>
      </c>
      <c r="R220" s="4" t="str">
        <f>IF(Nodes[[#This Row],[Bezeichnung2]] = "liebender",3,"")</f>
        <v/>
      </c>
      <c r="S220" s="4" t="str">
        <f>IF(Nodes[[#This Row],[Bezeichnung2]] = "liebende",4,"")</f>
        <v/>
      </c>
      <c r="T220" s="4" t="str">
        <f>IF(Nodes[[#This Row],[Bezeichnung2]] = "gegenspieler",5,"")</f>
        <v/>
      </c>
    </row>
    <row r="221" spans="1:20" x14ac:dyDescent="0.3">
      <c r="A221" t="s">
        <v>573</v>
      </c>
      <c r="B221" t="s">
        <v>578</v>
      </c>
      <c r="C221" t="s">
        <v>18</v>
      </c>
      <c r="D221" t="s">
        <v>133</v>
      </c>
      <c r="E221" t="s">
        <v>20</v>
      </c>
      <c r="F221" t="s">
        <v>96</v>
      </c>
      <c r="G221" t="s">
        <v>22</v>
      </c>
      <c r="H221" t="str">
        <f t="shared" si="6"/>
        <v>buergerlich</v>
      </c>
      <c r="I221" t="str" cm="1">
        <f t="array" ref="I221">_xlfn.SWITCH(A221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21" s="4">
        <f>IF(AND(B221=Werte!B221,LEFT(A221,5)=LEFT(Werte!A221,5)),Werte!C221,"not found")</f>
        <v>1.28571428571429</v>
      </c>
      <c r="K221" s="4">
        <f>IF(AND(B221=Werte!B221,LEFT(A221,5)=LEFT(Werte!A221,5)),Werte!D221,"not found")</f>
        <v>0.20329670329670299</v>
      </c>
      <c r="L221" s="4">
        <f>IF(AND(B221=Werte!B221,LEFT(A221,5)=LEFT(Werte!A221,5)),Werte!E221,"not found")</f>
        <v>0.38888888888888901</v>
      </c>
      <c r="M221" s="4">
        <f>IF(AND(B221=Werte!B221,LEFT(A221,5)=LEFT(Werte!A221,5)),Werte!F221,"not found")</f>
        <v>0.77167261148359301</v>
      </c>
      <c r="N221" s="4" t="str">
        <f t="shared" si="7"/>
        <v>betrueger</v>
      </c>
      <c r="O221" s="4" cm="1">
        <f t="array" ref="O221">_xlfn.SWITCH(A221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21" s="4">
        <f>IF(Nodes[[#This Row],[Bezeichnung2]] = "betrueger",1,"")</f>
        <v>1</v>
      </c>
      <c r="Q221" s="4" t="str">
        <f>IF(Nodes[[#This Row],[Bezeichnung2]] = "betrogener",2,"")</f>
        <v/>
      </c>
      <c r="R221" s="4" t="str">
        <f>IF(Nodes[[#This Row],[Bezeichnung2]] = "liebender",3,"")</f>
        <v/>
      </c>
      <c r="S221" s="4" t="str">
        <f>IF(Nodes[[#This Row],[Bezeichnung2]] = "liebende",4,"")</f>
        <v/>
      </c>
      <c r="T221" s="4" t="str">
        <f>IF(Nodes[[#This Row],[Bezeichnung2]] = "gegenspieler",5,"")</f>
        <v/>
      </c>
    </row>
    <row r="222" spans="1:20" x14ac:dyDescent="0.3">
      <c r="A222" t="s">
        <v>573</v>
      </c>
      <c r="B222" t="s">
        <v>579</v>
      </c>
      <c r="C222" t="s">
        <v>24</v>
      </c>
      <c r="D222" t="s">
        <v>124</v>
      </c>
      <c r="E222" t="s">
        <v>311</v>
      </c>
      <c r="F222" t="s">
        <v>25</v>
      </c>
      <c r="G222" t="s">
        <v>26</v>
      </c>
      <c r="H222" t="str">
        <f t="shared" si="6"/>
        <v>buergerlich</v>
      </c>
      <c r="I222" t="str" cm="1">
        <f t="array" ref="I222">_xlfn.SWITCH(A222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22" s="4">
        <f>IF(AND(B222=Werte!B222,LEFT(A222,5)=LEFT(Werte!A222,5)),Werte!C222,"not found")</f>
        <v>0.85714285714285698</v>
      </c>
      <c r="K222" s="4">
        <f>IF(AND(B222=Werte!B222,LEFT(A222,5)=LEFT(Werte!A222,5)),Werte!D222,"not found")</f>
        <v>0.63736263736263699</v>
      </c>
      <c r="L222" s="4">
        <f>IF(AND(B222=Werte!B222,LEFT(A222,5)=LEFT(Werte!A222,5)),Werte!E222,"not found")</f>
        <v>0.48275862068965503</v>
      </c>
      <c r="M222" s="4">
        <f>IF(AND(B222=Werte!B222,LEFT(A222,5)=LEFT(Werte!A222,5)),Werte!F222,"not found")</f>
        <v>5.00985771977304E-2</v>
      </c>
      <c r="N222" s="4" t="str">
        <f t="shared" si="7"/>
        <v>ehefrau</v>
      </c>
      <c r="O222" s="4" cm="1">
        <f t="array" ref="O222">_xlfn.SWITCH(A222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22" s="4" t="str">
        <f>IF(Nodes[[#This Row],[Bezeichnung2]] = "betrueger",1,"")</f>
        <v/>
      </c>
      <c r="Q222" s="4" t="str">
        <f>IF(Nodes[[#This Row],[Bezeichnung2]] = "betrogener",2,"")</f>
        <v/>
      </c>
      <c r="R222" s="4" t="str">
        <f>IF(Nodes[[#This Row],[Bezeichnung2]] = "liebender",3,"")</f>
        <v/>
      </c>
      <c r="S222" s="4" t="str">
        <f>IF(Nodes[[#This Row],[Bezeichnung2]] = "liebende",4,"")</f>
        <v/>
      </c>
      <c r="T222" s="4" t="str">
        <f>IF(Nodes[[#This Row],[Bezeichnung2]] = "gegenspieler",5,"")</f>
        <v/>
      </c>
    </row>
    <row r="223" spans="1:20" x14ac:dyDescent="0.3">
      <c r="A223" t="s">
        <v>573</v>
      </c>
      <c r="B223" t="s">
        <v>580</v>
      </c>
      <c r="C223" t="s">
        <v>24</v>
      </c>
      <c r="D223" t="s">
        <v>124</v>
      </c>
      <c r="E223" t="s">
        <v>47</v>
      </c>
      <c r="F223" t="s">
        <v>25</v>
      </c>
      <c r="G223" t="s">
        <v>26</v>
      </c>
      <c r="H223" t="str">
        <f t="shared" si="6"/>
        <v>buergerlich</v>
      </c>
      <c r="I223" t="str" cm="1">
        <f t="array" ref="I223">_xlfn.SWITCH(A223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23" s="4">
        <f>IF(AND(B223=Werte!B223,LEFT(A223,5)=LEFT(Werte!A223,5)),Werte!C223,"not found")</f>
        <v>0.28571428571428598</v>
      </c>
      <c r="K223" s="4">
        <f>IF(AND(B223=Werte!B223,LEFT(A223,5)=LEFT(Werte!A223,5)),Werte!D223,"not found")</f>
        <v>0</v>
      </c>
      <c r="L223" s="4">
        <f>IF(AND(B223=Werte!B223,LEFT(A223,5)=LEFT(Werte!A223,5)),Werte!E223,"not found")</f>
        <v>0.29787234042553201</v>
      </c>
      <c r="M223" s="4">
        <f>IF(AND(B223=Werte!B223,LEFT(A223,5)=LEFT(Werte!A223,5)),Werte!F223,"not found")</f>
        <v>2.96841671453658E-2</v>
      </c>
      <c r="N223" s="4" t="str">
        <f t="shared" si="7"/>
        <v>ehefrau</v>
      </c>
      <c r="O223" s="4" cm="1">
        <f t="array" ref="O223">_xlfn.SWITCH(A223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23" s="4" t="str">
        <f>IF(Nodes[[#This Row],[Bezeichnung2]] = "betrueger",1,"")</f>
        <v/>
      </c>
      <c r="Q223" s="4" t="str">
        <f>IF(Nodes[[#This Row],[Bezeichnung2]] = "betrogener",2,"")</f>
        <v/>
      </c>
      <c r="R223" s="4" t="str">
        <f>IF(Nodes[[#This Row],[Bezeichnung2]] = "liebender",3,"")</f>
        <v/>
      </c>
      <c r="S223" s="4" t="str">
        <f>IF(Nodes[[#This Row],[Bezeichnung2]] = "liebende",4,"")</f>
        <v/>
      </c>
      <c r="T223" s="4" t="str">
        <f>IF(Nodes[[#This Row],[Bezeichnung2]] = "gegenspieler",5,"")</f>
        <v/>
      </c>
    </row>
    <row r="224" spans="1:20" x14ac:dyDescent="0.3">
      <c r="A224" t="s">
        <v>573</v>
      </c>
      <c r="B224" t="s">
        <v>581</v>
      </c>
      <c r="C224" t="s">
        <v>24</v>
      </c>
      <c r="D224" t="s">
        <v>124</v>
      </c>
      <c r="E224" t="s">
        <v>47</v>
      </c>
      <c r="F224" t="s">
        <v>25</v>
      </c>
      <c r="G224" t="s">
        <v>26</v>
      </c>
      <c r="H224" t="str">
        <f t="shared" si="6"/>
        <v>buergerlich</v>
      </c>
      <c r="I224" t="str" cm="1">
        <f t="array" ref="I224">_xlfn.SWITCH(A224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24" s="4">
        <f>IF(AND(B224=Werte!B224,LEFT(A224,5)=LEFT(Werte!A224,5)),Werte!C224,"not found")</f>
        <v>0.28571428571428598</v>
      </c>
      <c r="K224" s="4">
        <f>IF(AND(B224=Werte!B224,LEFT(A224,5)=LEFT(Werte!A224,5)),Werte!D224,"not found")</f>
        <v>0</v>
      </c>
      <c r="L224" s="4">
        <f>IF(AND(B224=Werte!B224,LEFT(A224,5)=LEFT(Werte!A224,5)),Werte!E224,"not found")</f>
        <v>0.20895522388059701</v>
      </c>
      <c r="M224" s="4">
        <f>IF(AND(B224=Werte!B224,LEFT(A224,5)=LEFT(Werte!A224,5)),Werte!F224,"not found")</f>
        <v>5.71000109438616E-2</v>
      </c>
      <c r="N224" s="4" t="str">
        <f t="shared" si="7"/>
        <v>ehefrau</v>
      </c>
      <c r="O224" s="4" cm="1">
        <f t="array" ref="O224">_xlfn.SWITCH(A224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24" s="4" t="str">
        <f>IF(Nodes[[#This Row],[Bezeichnung2]] = "betrueger",1,"")</f>
        <v/>
      </c>
      <c r="Q224" s="4" t="str">
        <f>IF(Nodes[[#This Row],[Bezeichnung2]] = "betrogener",2,"")</f>
        <v/>
      </c>
      <c r="R224" s="4" t="str">
        <f>IF(Nodes[[#This Row],[Bezeichnung2]] = "liebender",3,"")</f>
        <v/>
      </c>
      <c r="S224" s="4" t="str">
        <f>IF(Nodes[[#This Row],[Bezeichnung2]] = "liebende",4,"")</f>
        <v/>
      </c>
      <c r="T224" s="4" t="str">
        <f>IF(Nodes[[#This Row],[Bezeichnung2]] = "gegenspieler",5,"")</f>
        <v/>
      </c>
    </row>
    <row r="225" spans="1:20" x14ac:dyDescent="0.3">
      <c r="A225" t="s">
        <v>573</v>
      </c>
      <c r="B225" t="s">
        <v>582</v>
      </c>
      <c r="C225" t="s">
        <v>24</v>
      </c>
      <c r="D225" t="s">
        <v>124</v>
      </c>
      <c r="E225" t="s">
        <v>47</v>
      </c>
      <c r="F225" t="s">
        <v>25</v>
      </c>
      <c r="G225" t="s">
        <v>26</v>
      </c>
      <c r="H225" t="str">
        <f t="shared" si="6"/>
        <v>buergerlich</v>
      </c>
      <c r="I225" t="str" cm="1">
        <f t="array" ref="I225">_xlfn.SWITCH(A225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25" s="4">
        <f>IF(AND(B225=Werte!B225,LEFT(A225,5)=LEFT(Werte!A225,5)),Werte!C225,"not found")</f>
        <v>0.28571428571428598</v>
      </c>
      <c r="K225" s="4">
        <f>IF(AND(B225=Werte!B225,LEFT(A225,5)=LEFT(Werte!A225,5)),Werte!D225,"not found")</f>
        <v>0</v>
      </c>
      <c r="L225" s="4">
        <f>IF(AND(B225=Werte!B225,LEFT(A225,5)=LEFT(Werte!A225,5)),Werte!E225,"not found")</f>
        <v>0.20588235294117599</v>
      </c>
      <c r="M225" s="4">
        <f>IF(AND(B225=Werte!B225,LEFT(A225,5)=LEFT(Werte!A225,5)),Werte!F225,"not found")</f>
        <v>5.7404596915373501E-2</v>
      </c>
      <c r="N225" s="4" t="str">
        <f t="shared" si="7"/>
        <v>ehefrau</v>
      </c>
      <c r="O225" s="4" cm="1">
        <f t="array" ref="O225">_xlfn.SWITCH(A225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25" s="4" t="str">
        <f>IF(Nodes[[#This Row],[Bezeichnung2]] = "betrueger",1,"")</f>
        <v/>
      </c>
      <c r="Q225" s="4" t="str">
        <f>IF(Nodes[[#This Row],[Bezeichnung2]] = "betrogener",2,"")</f>
        <v/>
      </c>
      <c r="R225" s="4" t="str">
        <f>IF(Nodes[[#This Row],[Bezeichnung2]] = "liebender",3,"")</f>
        <v/>
      </c>
      <c r="S225" s="4" t="str">
        <f>IF(Nodes[[#This Row],[Bezeichnung2]] = "liebende",4,"")</f>
        <v/>
      </c>
      <c r="T225" s="4" t="str">
        <f>IF(Nodes[[#This Row],[Bezeichnung2]] = "gegenspieler",5,"")</f>
        <v/>
      </c>
    </row>
    <row r="226" spans="1:20" x14ac:dyDescent="0.3">
      <c r="A226" t="s">
        <v>573</v>
      </c>
      <c r="B226" t="s">
        <v>349</v>
      </c>
      <c r="C226" t="s">
        <v>18</v>
      </c>
      <c r="D226" t="s">
        <v>133</v>
      </c>
      <c r="E226" t="s">
        <v>47</v>
      </c>
      <c r="F226" t="s">
        <v>53</v>
      </c>
      <c r="G226" t="s">
        <v>26</v>
      </c>
      <c r="H226" t="str">
        <f t="shared" si="6"/>
        <v>buergerlich</v>
      </c>
      <c r="I226" t="str" cm="1">
        <f t="array" ref="I226">_xlfn.SWITCH(A226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26" s="4">
        <f>IF(AND(B226=Werte!B226,LEFT(A226,5)=LEFT(Werte!A226,5)),Werte!C226,"not found")</f>
        <v>0.85714285714285698</v>
      </c>
      <c r="K226" s="4">
        <f>IF(AND(B226=Werte!B226,LEFT(A226,5)=LEFT(Werte!A226,5)),Werte!D226,"not found")</f>
        <v>0</v>
      </c>
      <c r="L226" s="4">
        <f>IF(AND(B226=Werte!B226,LEFT(A226,5)=LEFT(Werte!A226,5)),Werte!E226,"not found")</f>
        <v>0.18181818181818199</v>
      </c>
      <c r="M226" s="4">
        <f>IF(AND(B226=Werte!B226,LEFT(A226,5)=LEFT(Werte!A226,5)),Werte!F226,"not found")</f>
        <v>0.33127928152897801</v>
      </c>
      <c r="N226" s="4" t="str">
        <f t="shared" si="7"/>
        <v>helfer</v>
      </c>
      <c r="O226" s="4" cm="1">
        <f t="array" ref="O226">_xlfn.SWITCH(A226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26" s="4" t="str">
        <f>IF(Nodes[[#This Row],[Bezeichnung2]] = "betrueger",1,"")</f>
        <v/>
      </c>
      <c r="Q226" s="4" t="str">
        <f>IF(Nodes[[#This Row],[Bezeichnung2]] = "betrogener",2,"")</f>
        <v/>
      </c>
      <c r="R226" s="4" t="str">
        <f>IF(Nodes[[#This Row],[Bezeichnung2]] = "liebender",3,"")</f>
        <v/>
      </c>
      <c r="S226" s="4" t="str">
        <f>IF(Nodes[[#This Row],[Bezeichnung2]] = "liebende",4,"")</f>
        <v/>
      </c>
      <c r="T226" s="4" t="str">
        <f>IF(Nodes[[#This Row],[Bezeichnung2]] = "gegenspieler",5,"")</f>
        <v/>
      </c>
    </row>
    <row r="227" spans="1:20" x14ac:dyDescent="0.3">
      <c r="A227" t="s">
        <v>573</v>
      </c>
      <c r="B227" t="s">
        <v>583</v>
      </c>
      <c r="C227" t="s">
        <v>18</v>
      </c>
      <c r="D227" t="s">
        <v>584</v>
      </c>
      <c r="E227" t="s">
        <v>47</v>
      </c>
      <c r="F227" t="s">
        <v>47</v>
      </c>
      <c r="G227" t="s">
        <v>26</v>
      </c>
      <c r="H227" t="str">
        <f t="shared" si="6"/>
        <v>buergerlich</v>
      </c>
      <c r="I227" t="str" cm="1">
        <f t="array" ref="I227">_xlfn.SWITCH(A227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27" s="4">
        <f>IF(AND(B227=Werte!B227,LEFT(A227,5)=LEFT(Werte!A227,5)),Werte!C227,"not found")</f>
        <v>0.14285714285714299</v>
      </c>
      <c r="K227" s="4">
        <f>IF(AND(B227=Werte!B227,LEFT(A227,5)=LEFT(Werte!A227,5)),Werte!D227,"not found")</f>
        <v>0</v>
      </c>
      <c r="L227" s="4">
        <f>IF(AND(B227=Werte!B227,LEFT(A227,5)=LEFT(Werte!A227,5)),Werte!E227,"not found")</f>
        <v>0.29166666666666702</v>
      </c>
      <c r="M227" s="4">
        <f>IF(AND(B227=Werte!B227,LEFT(A227,5)=LEFT(Werte!A227,5)),Werte!F227,"not found")</f>
        <v>8.2328846209414903E-3</v>
      </c>
      <c r="N227" s="4" t="str">
        <f t="shared" si="7"/>
        <v>unbekannt</v>
      </c>
      <c r="O227" s="4" cm="1">
        <f t="array" ref="O227">_xlfn.SWITCH(A227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27" s="4" t="str">
        <f>IF(Nodes[[#This Row],[Bezeichnung2]] = "betrueger",1,"")</f>
        <v/>
      </c>
      <c r="Q227" s="4" t="str">
        <f>IF(Nodes[[#This Row],[Bezeichnung2]] = "betrogener",2,"")</f>
        <v/>
      </c>
      <c r="R227" s="4" t="str">
        <f>IF(Nodes[[#This Row],[Bezeichnung2]] = "liebender",3,"")</f>
        <v/>
      </c>
      <c r="S227" s="4" t="str">
        <f>IF(Nodes[[#This Row],[Bezeichnung2]] = "liebende",4,"")</f>
        <v/>
      </c>
      <c r="T227" s="4" t="str">
        <f>IF(Nodes[[#This Row],[Bezeichnung2]] = "gegenspieler",5,"")</f>
        <v/>
      </c>
    </row>
    <row r="228" spans="1:20" x14ac:dyDescent="0.3">
      <c r="A228" t="s">
        <v>573</v>
      </c>
      <c r="B228" t="s">
        <v>585</v>
      </c>
      <c r="C228" t="s">
        <v>18</v>
      </c>
      <c r="D228" t="s">
        <v>138</v>
      </c>
      <c r="E228" t="s">
        <v>47</v>
      </c>
      <c r="F228" t="s">
        <v>47</v>
      </c>
      <c r="G228" t="s">
        <v>26</v>
      </c>
      <c r="H228" t="str">
        <f t="shared" si="6"/>
        <v>buergerlich</v>
      </c>
      <c r="I228" t="str" cm="1">
        <f t="array" ref="I228">_xlfn.SWITCH(A228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28" s="4">
        <f>IF(AND(B228=Werte!B228,LEFT(A228,5)=LEFT(Werte!A228,5)),Werte!C228,"not found")</f>
        <v>0.14285714285714299</v>
      </c>
      <c r="K228" s="4">
        <f>IF(AND(B228=Werte!B228,LEFT(A228,5)=LEFT(Werte!A228,5)),Werte!D228,"not found")</f>
        <v>0</v>
      </c>
      <c r="L228" s="4">
        <f>IF(AND(B228=Werte!B228,LEFT(A228,5)=LEFT(Werte!A228,5)),Werte!E228,"not found")</f>
        <v>0.29166666666666702</v>
      </c>
      <c r="M228" s="4">
        <f>IF(AND(B228=Werte!B228,LEFT(A228,5)=LEFT(Werte!A228,5)),Werte!F228,"not found")</f>
        <v>8.2328846209414903E-3</v>
      </c>
      <c r="N228" s="4" t="str">
        <f t="shared" si="7"/>
        <v>unbekannt</v>
      </c>
      <c r="O228" s="4" cm="1">
        <f t="array" ref="O228">_xlfn.SWITCH(A228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28" s="4" t="str">
        <f>IF(Nodes[[#This Row],[Bezeichnung2]] = "betrueger",1,"")</f>
        <v/>
      </c>
      <c r="Q228" s="4" t="str">
        <f>IF(Nodes[[#This Row],[Bezeichnung2]] = "betrogener",2,"")</f>
        <v/>
      </c>
      <c r="R228" s="4" t="str">
        <f>IF(Nodes[[#This Row],[Bezeichnung2]] = "liebender",3,"")</f>
        <v/>
      </c>
      <c r="S228" s="4" t="str">
        <f>IF(Nodes[[#This Row],[Bezeichnung2]] = "liebende",4,"")</f>
        <v/>
      </c>
      <c r="T228" s="4" t="str">
        <f>IF(Nodes[[#This Row],[Bezeichnung2]] = "gegenspieler",5,"")</f>
        <v/>
      </c>
    </row>
    <row r="229" spans="1:20" x14ac:dyDescent="0.3">
      <c r="A229" t="s">
        <v>573</v>
      </c>
      <c r="B229" t="s">
        <v>586</v>
      </c>
      <c r="C229" t="s">
        <v>18</v>
      </c>
      <c r="D229" t="s">
        <v>138</v>
      </c>
      <c r="E229" t="s">
        <v>47</v>
      </c>
      <c r="F229" t="s">
        <v>47</v>
      </c>
      <c r="G229" t="s">
        <v>26</v>
      </c>
      <c r="H229" t="str">
        <f t="shared" si="6"/>
        <v>buergerlich</v>
      </c>
      <c r="I229" t="str" cm="1">
        <f t="array" ref="I229">_xlfn.SWITCH(A229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29" s="4">
        <f>IF(AND(B229=Werte!B229,LEFT(A229,5)=LEFT(Werte!A229,5)),Werte!C229,"not found")</f>
        <v>0.28571428571428598</v>
      </c>
      <c r="K229" s="4">
        <f>IF(AND(B229=Werte!B229,LEFT(A229,5)=LEFT(Werte!A229,5)),Werte!D229,"not found")</f>
        <v>0</v>
      </c>
      <c r="L229" s="4">
        <f>IF(AND(B229=Werte!B229,LEFT(A229,5)=LEFT(Werte!A229,5)),Werte!E229,"not found")</f>
        <v>0.30434782608695699</v>
      </c>
      <c r="M229" s="4">
        <f>IF(AND(B229=Werte!B229,LEFT(A229,5)=LEFT(Werte!A229,5)),Werte!F229,"not found")</f>
        <v>2.69669772096944E-2</v>
      </c>
      <c r="N229" s="4" t="str">
        <f t="shared" si="7"/>
        <v>unbekannt</v>
      </c>
      <c r="O229" s="4" cm="1">
        <f t="array" ref="O229">_xlfn.SWITCH(A229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29" s="4" t="str">
        <f>IF(Nodes[[#This Row],[Bezeichnung2]] = "betrueger",1,"")</f>
        <v/>
      </c>
      <c r="Q229" s="4" t="str">
        <f>IF(Nodes[[#This Row],[Bezeichnung2]] = "betrogener",2,"")</f>
        <v/>
      </c>
      <c r="R229" s="4" t="str">
        <f>IF(Nodes[[#This Row],[Bezeichnung2]] = "liebender",3,"")</f>
        <v/>
      </c>
      <c r="S229" s="4" t="str">
        <f>IF(Nodes[[#This Row],[Bezeichnung2]] = "liebende",4,"")</f>
        <v/>
      </c>
      <c r="T229" s="4" t="str">
        <f>IF(Nodes[[#This Row],[Bezeichnung2]] = "gegenspieler",5,"")</f>
        <v/>
      </c>
    </row>
    <row r="230" spans="1:20" x14ac:dyDescent="0.3">
      <c r="A230" t="s">
        <v>573</v>
      </c>
      <c r="B230" t="s">
        <v>587</v>
      </c>
      <c r="C230" t="s">
        <v>24</v>
      </c>
      <c r="D230" t="s">
        <v>129</v>
      </c>
      <c r="E230" t="s">
        <v>47</v>
      </c>
      <c r="F230" t="s">
        <v>47</v>
      </c>
      <c r="G230" t="s">
        <v>26</v>
      </c>
      <c r="H230" t="str">
        <f t="shared" si="6"/>
        <v>buergerlich</v>
      </c>
      <c r="I230" t="str" cm="1">
        <f t="array" ref="I230">_xlfn.SWITCH(A230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30" s="4">
        <f>IF(AND(B230=Werte!B230,LEFT(A230,5)=LEFT(Werte!A230,5)),Werte!C230,"not found")</f>
        <v>0.14285714285714299</v>
      </c>
      <c r="K230" s="4">
        <f>IF(AND(B230=Werte!B230,LEFT(A230,5)=LEFT(Werte!A230,5)),Werte!D230,"not found")</f>
        <v>0</v>
      </c>
      <c r="L230" s="4">
        <f>IF(AND(B230=Werte!B230,LEFT(A230,5)=LEFT(Werte!A230,5)),Werte!E230,"not found")</f>
        <v>0.28571428571428598</v>
      </c>
      <c r="M230" s="4">
        <f>IF(AND(B230=Werte!B230,LEFT(A230,5)=LEFT(Werte!A230,5)),Werte!F230,"not found")</f>
        <v>8.3344132781121207E-3</v>
      </c>
      <c r="N230" s="4" t="str">
        <f t="shared" si="7"/>
        <v>unbekannt</v>
      </c>
      <c r="O230" s="4" cm="1">
        <f t="array" ref="O230">_xlfn.SWITCH(A230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30" s="4" t="str">
        <f>IF(Nodes[[#This Row],[Bezeichnung2]] = "betrueger",1,"")</f>
        <v/>
      </c>
      <c r="Q230" s="4" t="str">
        <f>IF(Nodes[[#This Row],[Bezeichnung2]] = "betrogener",2,"")</f>
        <v/>
      </c>
      <c r="R230" s="4" t="str">
        <f>IF(Nodes[[#This Row],[Bezeichnung2]] = "liebender",3,"")</f>
        <v/>
      </c>
      <c r="S230" s="4" t="str">
        <f>IF(Nodes[[#This Row],[Bezeichnung2]] = "liebende",4,"")</f>
        <v/>
      </c>
      <c r="T230" s="4" t="str">
        <f>IF(Nodes[[#This Row],[Bezeichnung2]] = "gegenspieler",5,"")</f>
        <v/>
      </c>
    </row>
    <row r="231" spans="1:20" x14ac:dyDescent="0.3">
      <c r="A231" t="s">
        <v>253</v>
      </c>
      <c r="B231" t="s">
        <v>123</v>
      </c>
      <c r="C231" t="s">
        <v>18</v>
      </c>
      <c r="D231" t="s">
        <v>254</v>
      </c>
      <c r="E231" t="s">
        <v>32</v>
      </c>
      <c r="F231" t="s">
        <v>47</v>
      </c>
      <c r="G231" t="s">
        <v>26</v>
      </c>
      <c r="H231" t="str">
        <f t="shared" si="6"/>
        <v>buergerlich</v>
      </c>
      <c r="I231" t="str" cm="1">
        <f t="array" ref="I231">_xlfn.SWITCH(A231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231" s="4">
        <f>IF(AND(B231=Werte!B231,LEFT(A231,5)=LEFT(Werte!A231,5)),Werte!C231,"not found")</f>
        <v>0.22222222222222199</v>
      </c>
      <c r="K231" s="4">
        <f>IF(AND(B231=Werte!B231,LEFT(A231,5)=LEFT(Werte!A231,5)),Werte!D231,"not found")</f>
        <v>0</v>
      </c>
      <c r="L231" s="4">
        <f>IF(AND(B231=Werte!B231,LEFT(A231,5)=LEFT(Werte!A231,5)),Werte!E231,"not found")</f>
        <v>0.26470588235294101</v>
      </c>
      <c r="M231" s="4">
        <f>IF(AND(B231=Werte!B231,LEFT(A231,5)=LEFT(Werte!A231,5)),Werte!F231,"not found")</f>
        <v>1.8317626889649701E-2</v>
      </c>
      <c r="N231" s="4" t="str">
        <f t="shared" si="7"/>
        <v>unbekannt</v>
      </c>
      <c r="O231" s="4" cm="1">
        <f t="array" ref="O231">_xlfn.SWITCH(A231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231" s="4" t="str">
        <f>IF(Nodes[[#This Row],[Bezeichnung2]] = "betrueger",1,"")</f>
        <v/>
      </c>
      <c r="Q231" s="4" t="str">
        <f>IF(Nodes[[#This Row],[Bezeichnung2]] = "betrogener",2,"")</f>
        <v/>
      </c>
      <c r="R231" s="4" t="str">
        <f>IF(Nodes[[#This Row],[Bezeichnung2]] = "liebender",3,"")</f>
        <v/>
      </c>
      <c r="S231" s="4" t="str">
        <f>IF(Nodes[[#This Row],[Bezeichnung2]] = "liebende",4,"")</f>
        <v/>
      </c>
      <c r="T231" s="4" t="str">
        <f>IF(Nodes[[#This Row],[Bezeichnung2]] = "gegenspieler",5,"")</f>
        <v/>
      </c>
    </row>
    <row r="232" spans="1:20" x14ac:dyDescent="0.3">
      <c r="A232" t="s">
        <v>253</v>
      </c>
      <c r="B232" t="s">
        <v>255</v>
      </c>
      <c r="C232" t="s">
        <v>24</v>
      </c>
      <c r="D232" t="s">
        <v>108</v>
      </c>
      <c r="E232" t="s">
        <v>20</v>
      </c>
      <c r="F232" t="s">
        <v>44</v>
      </c>
      <c r="G232" t="s">
        <v>22</v>
      </c>
      <c r="H232" t="str">
        <f t="shared" si="6"/>
        <v>buergerlich</v>
      </c>
      <c r="I232" t="str" cm="1">
        <f t="array" ref="I232">_xlfn.SWITCH(A232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232" s="4">
        <f>IF(AND(B232=Werte!B232,LEFT(A232,5)=LEFT(Werte!A232,5)),Werte!C232,"not found")</f>
        <v>1.7777777777777799</v>
      </c>
      <c r="K232" s="4">
        <f>IF(AND(B232=Werte!B232,LEFT(A232,5)=LEFT(Werte!A232,5)),Werte!D232,"not found")</f>
        <v>0.22222222222222199</v>
      </c>
      <c r="L232" s="4">
        <f>IF(AND(B232=Werte!B232,LEFT(A232,5)=LEFT(Werte!A232,5)),Werte!E232,"not found")</f>
        <v>0.34615384615384598</v>
      </c>
      <c r="M232" s="4">
        <f>IF(AND(B232=Werte!B232,LEFT(A232,5)=LEFT(Werte!A232,5)),Werte!F232,"not found")</f>
        <v>1</v>
      </c>
      <c r="N232" s="4" t="str">
        <f t="shared" si="7"/>
        <v>liebende</v>
      </c>
      <c r="O232" s="4" cm="1">
        <f t="array" ref="O232">_xlfn.SWITCH(A232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232" s="4" t="str">
        <f>IF(Nodes[[#This Row],[Bezeichnung2]] = "betrueger",1,"")</f>
        <v/>
      </c>
      <c r="Q232" s="4" t="str">
        <f>IF(Nodes[[#This Row],[Bezeichnung2]] = "betrogener",2,"")</f>
        <v/>
      </c>
      <c r="R232" s="4" t="str">
        <f>IF(Nodes[[#This Row],[Bezeichnung2]] = "liebender",3,"")</f>
        <v/>
      </c>
      <c r="S232" s="4">
        <f>IF(Nodes[[#This Row],[Bezeichnung2]] = "liebende",4,"")</f>
        <v>4</v>
      </c>
      <c r="T232" s="4" t="str">
        <f>IF(Nodes[[#This Row],[Bezeichnung2]] = "gegenspieler",5,"")</f>
        <v/>
      </c>
    </row>
    <row r="233" spans="1:20" x14ac:dyDescent="0.3">
      <c r="A233" t="s">
        <v>253</v>
      </c>
      <c r="B233" t="s">
        <v>256</v>
      </c>
      <c r="C233" t="s">
        <v>18</v>
      </c>
      <c r="D233" t="s">
        <v>257</v>
      </c>
      <c r="E233" t="s">
        <v>20</v>
      </c>
      <c r="F233" t="s">
        <v>39</v>
      </c>
      <c r="G233" t="s">
        <v>22</v>
      </c>
      <c r="H233" t="str">
        <f t="shared" si="6"/>
        <v>buergerlich</v>
      </c>
      <c r="I233" t="str" cm="1">
        <f t="array" ref="I233">_xlfn.SWITCH(A233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233" s="4">
        <f>IF(AND(B233=Werte!B233,LEFT(A233,5)=LEFT(Werte!A233,5)),Werte!C233,"not found")</f>
        <v>1.55555555555556</v>
      </c>
      <c r="K233" s="4">
        <f>IF(AND(B233=Werte!B233,LEFT(A233,5)=LEFT(Werte!A233,5)),Werte!D233,"not found")</f>
        <v>0.194444444444444</v>
      </c>
      <c r="L233" s="4">
        <f>IF(AND(B233=Werte!B233,LEFT(A233,5)=LEFT(Werte!A233,5)),Werte!E233,"not found")</f>
        <v>0.375</v>
      </c>
      <c r="M233" s="4">
        <f>IF(AND(B233=Werte!B233,LEFT(A233,5)=LEFT(Werte!A233,5)),Werte!F233,"not found")</f>
        <v>0.97695490369002602</v>
      </c>
      <c r="N233" s="4" t="str">
        <f t="shared" si="7"/>
        <v>liebender</v>
      </c>
      <c r="O233" s="4" cm="1">
        <f t="array" ref="O233">_xlfn.SWITCH(A233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233" s="4" t="str">
        <f>IF(Nodes[[#This Row],[Bezeichnung2]] = "betrueger",1,"")</f>
        <v/>
      </c>
      <c r="Q233" s="4" t="str">
        <f>IF(Nodes[[#This Row],[Bezeichnung2]] = "betrogener",2,"")</f>
        <v/>
      </c>
      <c r="R233" s="4">
        <f>IF(Nodes[[#This Row],[Bezeichnung2]] = "liebender",3,"")</f>
        <v>3</v>
      </c>
      <c r="S233" s="4" t="str">
        <f>IF(Nodes[[#This Row],[Bezeichnung2]] = "liebende",4,"")</f>
        <v/>
      </c>
      <c r="T233" s="4" t="str">
        <f>IF(Nodes[[#This Row],[Bezeichnung2]] = "gegenspieler",5,"")</f>
        <v/>
      </c>
    </row>
    <row r="234" spans="1:20" x14ac:dyDescent="0.3">
      <c r="A234" t="s">
        <v>253</v>
      </c>
      <c r="B234" t="s">
        <v>258</v>
      </c>
      <c r="C234" t="s">
        <v>18</v>
      </c>
      <c r="D234" t="s">
        <v>108</v>
      </c>
      <c r="E234" t="s">
        <v>32</v>
      </c>
      <c r="F234" t="s">
        <v>87</v>
      </c>
      <c r="G234" t="s">
        <v>26</v>
      </c>
      <c r="H234" t="str">
        <f t="shared" si="6"/>
        <v>buergerlich</v>
      </c>
      <c r="I234" t="str" cm="1">
        <f t="array" ref="I234">_xlfn.SWITCH(A234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234" s="4">
        <f>IF(AND(B234=Werte!B234,LEFT(A234,5)=LEFT(Werte!A234,5)),Werte!C234,"not found")</f>
        <v>1.3333333333333299</v>
      </c>
      <c r="K234" s="4">
        <f>IF(AND(B234=Werte!B234,LEFT(A234,5)=LEFT(Werte!A234,5)),Werte!D234,"not found")</f>
        <v>0.43518518518518501</v>
      </c>
      <c r="L234" s="4">
        <f>IF(AND(B234=Werte!B234,LEFT(A234,5)=LEFT(Werte!A234,5)),Werte!E234,"not found")</f>
        <v>0.45</v>
      </c>
      <c r="M234" s="4">
        <f>IF(AND(B234=Werte!B234,LEFT(A234,5)=LEFT(Werte!A234,5)),Werte!F234,"not found")</f>
        <v>0.352728361443373</v>
      </c>
      <c r="N234" s="4" t="str">
        <f t="shared" si="7"/>
        <v>gegenspieler</v>
      </c>
      <c r="O234" s="4" cm="1">
        <f t="array" ref="O234">_xlfn.SWITCH(A234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234" s="4" t="str">
        <f>IF(Nodes[[#This Row],[Bezeichnung2]] = "betrueger",1,"")</f>
        <v/>
      </c>
      <c r="Q234" s="4" t="str">
        <f>IF(Nodes[[#This Row],[Bezeichnung2]] = "betrogener",2,"")</f>
        <v/>
      </c>
      <c r="R234" s="4" t="str">
        <f>IF(Nodes[[#This Row],[Bezeichnung2]] = "liebender",3,"")</f>
        <v/>
      </c>
      <c r="S234" s="4" t="str">
        <f>IF(Nodes[[#This Row],[Bezeichnung2]] = "liebende",4,"")</f>
        <v/>
      </c>
      <c r="T234" s="4">
        <f>IF(Nodes[[#This Row],[Bezeichnung2]] = "gegenspieler",5,"")</f>
        <v>5</v>
      </c>
    </row>
    <row r="235" spans="1:20" x14ac:dyDescent="0.3">
      <c r="A235" t="s">
        <v>253</v>
      </c>
      <c r="B235" t="s">
        <v>259</v>
      </c>
      <c r="C235" t="s">
        <v>46</v>
      </c>
      <c r="D235" t="s">
        <v>129</v>
      </c>
      <c r="E235" t="s">
        <v>47</v>
      </c>
      <c r="F235" t="s">
        <v>47</v>
      </c>
      <c r="G235" t="s">
        <v>26</v>
      </c>
      <c r="H235" t="str">
        <f t="shared" si="6"/>
        <v>buergerlich</v>
      </c>
      <c r="I235" t="str" cm="1">
        <f t="array" ref="I235">_xlfn.SWITCH(A235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235" s="4">
        <f>IF(AND(B235=Werte!B235,LEFT(A235,5)=LEFT(Werte!A235,5)),Werte!C235,"not found")</f>
        <v>0.88888888888888895</v>
      </c>
      <c r="K235" s="4">
        <f>IF(AND(B235=Werte!B235,LEFT(A235,5)=LEFT(Werte!A235,5)),Werte!D235,"not found")</f>
        <v>0.17592592592592601</v>
      </c>
      <c r="L235" s="4">
        <f>IF(AND(B235=Werte!B235,LEFT(A235,5)=LEFT(Werte!A235,5)),Werte!E235,"not found")</f>
        <v>0.45</v>
      </c>
      <c r="M235" s="4">
        <f>IF(AND(B235=Werte!B235,LEFT(A235,5)=LEFT(Werte!A235,5)),Werte!F235,"not found")</f>
        <v>0.117864473744484</v>
      </c>
      <c r="N235" s="4" t="str">
        <f t="shared" si="7"/>
        <v>unbekannt</v>
      </c>
      <c r="O235" s="4" cm="1">
        <f t="array" ref="O235">_xlfn.SWITCH(A235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235" s="4" t="str">
        <f>IF(Nodes[[#This Row],[Bezeichnung2]] = "betrueger",1,"")</f>
        <v/>
      </c>
      <c r="Q235" s="4" t="str">
        <f>IF(Nodes[[#This Row],[Bezeichnung2]] = "betrogener",2,"")</f>
        <v/>
      </c>
      <c r="R235" s="4" t="str">
        <f>IF(Nodes[[#This Row],[Bezeichnung2]] = "liebender",3,"")</f>
        <v/>
      </c>
      <c r="S235" s="4" t="str">
        <f>IF(Nodes[[#This Row],[Bezeichnung2]] = "liebende",4,"")</f>
        <v/>
      </c>
      <c r="T235" s="4" t="str">
        <f>IF(Nodes[[#This Row],[Bezeichnung2]] = "gegenspieler",5,"")</f>
        <v/>
      </c>
    </row>
    <row r="236" spans="1:20" x14ac:dyDescent="0.3">
      <c r="A236" t="s">
        <v>253</v>
      </c>
      <c r="B236" t="s">
        <v>260</v>
      </c>
      <c r="C236" t="s">
        <v>24</v>
      </c>
      <c r="D236" t="s">
        <v>129</v>
      </c>
      <c r="E236" t="s">
        <v>47</v>
      </c>
      <c r="F236" t="s">
        <v>53</v>
      </c>
      <c r="G236" t="s">
        <v>26</v>
      </c>
      <c r="H236" t="str">
        <f t="shared" si="6"/>
        <v>buergerlich</v>
      </c>
      <c r="I236" t="str" cm="1">
        <f t="array" ref="I236">_xlfn.SWITCH(A236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236" s="4">
        <f>IF(AND(B236=Werte!B236,LEFT(A236,5)=LEFT(Werte!A236,5)),Werte!C236,"not found")</f>
        <v>1.1111111111111101</v>
      </c>
      <c r="K236" s="4">
        <f>IF(AND(B236=Werte!B236,LEFT(A236,5)=LEFT(Werte!A236,5)),Werte!D236,"not found")</f>
        <v>0.22222222222222199</v>
      </c>
      <c r="L236" s="4">
        <f>IF(AND(B236=Werte!B236,LEFT(A236,5)=LEFT(Werte!A236,5)),Werte!E236,"not found")</f>
        <v>0.375</v>
      </c>
      <c r="M236" s="4">
        <f>IF(AND(B236=Werte!B236,LEFT(A236,5)=LEFT(Werte!A236,5)),Werte!F236,"not found")</f>
        <v>0.127845645839436</v>
      </c>
      <c r="N236" s="4" t="str">
        <f t="shared" si="7"/>
        <v>helfer</v>
      </c>
      <c r="O236" s="4" cm="1">
        <f t="array" ref="O236">_xlfn.SWITCH(A236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236" s="4" t="str">
        <f>IF(Nodes[[#This Row],[Bezeichnung2]] = "betrueger",1,"")</f>
        <v/>
      </c>
      <c r="Q236" s="4" t="str">
        <f>IF(Nodes[[#This Row],[Bezeichnung2]] = "betrogener",2,"")</f>
        <v/>
      </c>
      <c r="R236" s="4" t="str">
        <f>IF(Nodes[[#This Row],[Bezeichnung2]] = "liebender",3,"")</f>
        <v/>
      </c>
      <c r="S236" s="4" t="str">
        <f>IF(Nodes[[#This Row],[Bezeichnung2]] = "liebende",4,"")</f>
        <v/>
      </c>
      <c r="T236" s="4" t="str">
        <f>IF(Nodes[[#This Row],[Bezeichnung2]] = "gegenspieler",5,"")</f>
        <v/>
      </c>
    </row>
    <row r="237" spans="1:20" x14ac:dyDescent="0.3">
      <c r="A237" t="s">
        <v>253</v>
      </c>
      <c r="B237" t="s">
        <v>261</v>
      </c>
      <c r="C237" t="s">
        <v>18</v>
      </c>
      <c r="D237" t="s">
        <v>262</v>
      </c>
      <c r="E237" t="s">
        <v>47</v>
      </c>
      <c r="F237" t="s">
        <v>53</v>
      </c>
      <c r="G237" t="s">
        <v>26</v>
      </c>
      <c r="H237" t="str">
        <f t="shared" si="6"/>
        <v>klerus</v>
      </c>
      <c r="I237" t="str" cm="1">
        <f t="array" ref="I237">_xlfn.SWITCH(A237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237" s="4">
        <f>IF(AND(B237=Werte!B237,LEFT(A237,5)=LEFT(Werte!A237,5)),Werte!C237,"not found")</f>
        <v>0.66666666666666696</v>
      </c>
      <c r="K237" s="4">
        <f>IF(AND(B237=Werte!B237,LEFT(A237,5)=LEFT(Werte!A237,5)),Werte!D237,"not found")</f>
        <v>0</v>
      </c>
      <c r="L237" s="4">
        <f>IF(AND(B237=Werte!B237,LEFT(A237,5)=LEFT(Werte!A237,5)),Werte!E237,"not found")</f>
        <v>0.28125</v>
      </c>
      <c r="M237" s="4">
        <f>IF(AND(B237=Werte!B237,LEFT(A237,5)=LEFT(Werte!A237,5)),Werte!F237,"not found")</f>
        <v>0.20214719872273099</v>
      </c>
      <c r="N237" s="4" t="str">
        <f t="shared" si="7"/>
        <v>helfer</v>
      </c>
      <c r="O237" s="4" cm="1">
        <f t="array" ref="O237">_xlfn.SWITCH(A237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237" s="4" t="str">
        <f>IF(Nodes[[#This Row],[Bezeichnung2]] = "betrueger",1,"")</f>
        <v/>
      </c>
      <c r="Q237" s="4" t="str">
        <f>IF(Nodes[[#This Row],[Bezeichnung2]] = "betrogener",2,"")</f>
        <v/>
      </c>
      <c r="R237" s="4" t="str">
        <f>IF(Nodes[[#This Row],[Bezeichnung2]] = "liebender",3,"")</f>
        <v/>
      </c>
      <c r="S237" s="4" t="str">
        <f>IF(Nodes[[#This Row],[Bezeichnung2]] = "liebende",4,"")</f>
        <v/>
      </c>
      <c r="T237" s="4" t="str">
        <f>IF(Nodes[[#This Row],[Bezeichnung2]] = "gegenspieler",5,"")</f>
        <v/>
      </c>
    </row>
    <row r="238" spans="1:20" x14ac:dyDescent="0.3">
      <c r="A238" t="s">
        <v>253</v>
      </c>
      <c r="B238" t="s">
        <v>263</v>
      </c>
      <c r="C238" t="s">
        <v>18</v>
      </c>
      <c r="D238" t="s">
        <v>138</v>
      </c>
      <c r="E238" t="s">
        <v>20</v>
      </c>
      <c r="F238" t="s">
        <v>47</v>
      </c>
      <c r="G238" t="s">
        <v>26</v>
      </c>
      <c r="H238" t="str">
        <f t="shared" si="6"/>
        <v>buergerlich</v>
      </c>
      <c r="I238" t="str" cm="1">
        <f t="array" ref="I238">_xlfn.SWITCH(A238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238" s="4">
        <f>IF(AND(B238=Werte!B238,LEFT(A238,5)=LEFT(Werte!A238,5)),Werte!C238,"not found")</f>
        <v>0.44444444444444398</v>
      </c>
      <c r="K238" s="4">
        <f>IF(AND(B238=Werte!B238,LEFT(A238,5)=LEFT(Werte!A238,5)),Werte!D238,"not found")</f>
        <v>0</v>
      </c>
      <c r="L238" s="4">
        <f>IF(AND(B238=Werte!B238,LEFT(A238,5)=LEFT(Werte!A238,5)),Werte!E238,"not found")</f>
        <v>0.28125</v>
      </c>
      <c r="M238" s="4">
        <f>IF(AND(B238=Werte!B238,LEFT(A238,5)=LEFT(Werte!A238,5)),Werte!F238,"not found")</f>
        <v>9.1166002972406304E-2</v>
      </c>
      <c r="N238" s="4" t="str">
        <f t="shared" si="7"/>
        <v>unbekannt</v>
      </c>
      <c r="O238" s="4" cm="1">
        <f t="array" ref="O238">_xlfn.SWITCH(A238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238" s="4" t="str">
        <f>IF(Nodes[[#This Row],[Bezeichnung2]] = "betrueger",1,"")</f>
        <v/>
      </c>
      <c r="Q238" s="4" t="str">
        <f>IF(Nodes[[#This Row],[Bezeichnung2]] = "betrogener",2,"")</f>
        <v/>
      </c>
      <c r="R238" s="4" t="str">
        <f>IF(Nodes[[#This Row],[Bezeichnung2]] = "liebender",3,"")</f>
        <v/>
      </c>
      <c r="S238" s="4" t="str">
        <f>IF(Nodes[[#This Row],[Bezeichnung2]] = "liebende",4,"")</f>
        <v/>
      </c>
      <c r="T238" s="4" t="str">
        <f>IF(Nodes[[#This Row],[Bezeichnung2]] = "gegenspieler",5,"")</f>
        <v/>
      </c>
    </row>
    <row r="239" spans="1:20" x14ac:dyDescent="0.3">
      <c r="A239" t="s">
        <v>253</v>
      </c>
      <c r="B239" t="s">
        <v>264</v>
      </c>
      <c r="C239" t="s">
        <v>18</v>
      </c>
      <c r="D239" t="s">
        <v>101</v>
      </c>
      <c r="E239" t="s">
        <v>47</v>
      </c>
      <c r="F239" t="s">
        <v>47</v>
      </c>
      <c r="G239" t="s">
        <v>26</v>
      </c>
      <c r="H239" t="str">
        <f t="shared" si="6"/>
        <v>buergerlich</v>
      </c>
      <c r="I239" t="str" cm="1">
        <f t="array" ref="I239">_xlfn.SWITCH(A239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239" s="4">
        <f>IF(AND(B239=Werte!B239,LEFT(A239,5)=LEFT(Werte!A239,5)),Werte!C239,"not found")</f>
        <v>0.66666666666666696</v>
      </c>
      <c r="K239" s="4">
        <f>IF(AND(B239=Werte!B239,LEFT(A239,5)=LEFT(Werte!A239,5)),Werte!D239,"not found")</f>
        <v>0.37962962962962998</v>
      </c>
      <c r="L239" s="4">
        <f>IF(AND(B239=Werte!B239,LEFT(A239,5)=LEFT(Werte!A239,5)),Werte!E239,"not found")</f>
        <v>0.45</v>
      </c>
      <c r="M239" s="4">
        <f>IF(AND(B239=Werte!B239,LEFT(A239,5)=LEFT(Werte!A239,5)),Werte!F239,"not found")</f>
        <v>6.0569764235582003E-2</v>
      </c>
      <c r="N239" s="4" t="str">
        <f t="shared" si="7"/>
        <v>unbekannt</v>
      </c>
      <c r="O239" s="4" cm="1">
        <f t="array" ref="O239">_xlfn.SWITCH(A239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239" s="4" t="str">
        <f>IF(Nodes[[#This Row],[Bezeichnung2]] = "betrueger",1,"")</f>
        <v/>
      </c>
      <c r="Q239" s="4" t="str">
        <f>IF(Nodes[[#This Row],[Bezeichnung2]] = "betrogener",2,"")</f>
        <v/>
      </c>
      <c r="R239" s="4" t="str">
        <f>IF(Nodes[[#This Row],[Bezeichnung2]] = "liebender",3,"")</f>
        <v/>
      </c>
      <c r="S239" s="4" t="str">
        <f>IF(Nodes[[#This Row],[Bezeichnung2]] = "liebende",4,"")</f>
        <v/>
      </c>
      <c r="T239" s="4" t="str">
        <f>IF(Nodes[[#This Row],[Bezeichnung2]] = "gegenspieler",5,"")</f>
        <v/>
      </c>
    </row>
    <row r="240" spans="1:20" x14ac:dyDescent="0.3">
      <c r="A240" t="s">
        <v>253</v>
      </c>
      <c r="B240" t="s">
        <v>265</v>
      </c>
      <c r="C240" t="s">
        <v>46</v>
      </c>
      <c r="D240" t="s">
        <v>47</v>
      </c>
      <c r="E240" t="s">
        <v>47</v>
      </c>
      <c r="F240" t="s">
        <v>47</v>
      </c>
      <c r="G240" t="s">
        <v>26</v>
      </c>
      <c r="H240" t="str">
        <f t="shared" si="6"/>
        <v>unbekannt</v>
      </c>
      <c r="I240" t="str" cm="1">
        <f t="array" ref="I240">_xlfn.SWITCH(A240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240" s="4">
        <f>IF(AND(B240=Werte!B240,LEFT(A240,5)=LEFT(Werte!A240,5)),Werte!C240,"not found")</f>
        <v>0.22222222222222199</v>
      </c>
      <c r="K240" s="4">
        <f>IF(AND(B240=Werte!B240,LEFT(A240,5)=LEFT(Werte!A240,5)),Werte!D240,"not found")</f>
        <v>0</v>
      </c>
      <c r="L240" s="4">
        <f>IF(AND(B240=Werte!B240,LEFT(A240,5)=LEFT(Werte!A240,5)),Werte!E240,"not found")</f>
        <v>0.32142857142857101</v>
      </c>
      <c r="M240" s="4">
        <f>IF(AND(B240=Werte!B240,LEFT(A240,5)=LEFT(Werte!A240,5)),Werte!F240,"not found")</f>
        <v>6.4611465183172E-3</v>
      </c>
      <c r="N240" s="4" t="str">
        <f t="shared" si="7"/>
        <v>unbekannt</v>
      </c>
      <c r="O240" s="4" cm="1">
        <f t="array" ref="O240">_xlfn.SWITCH(A240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240" s="4" t="str">
        <f>IF(Nodes[[#This Row],[Bezeichnung2]] = "betrueger",1,"")</f>
        <v/>
      </c>
      <c r="Q240" s="4" t="str">
        <f>IF(Nodes[[#This Row],[Bezeichnung2]] = "betrogener",2,"")</f>
        <v/>
      </c>
      <c r="R240" s="4" t="str">
        <f>IF(Nodes[[#This Row],[Bezeichnung2]] = "liebender",3,"")</f>
        <v/>
      </c>
      <c r="S240" s="4" t="str">
        <f>IF(Nodes[[#This Row],[Bezeichnung2]] = "liebende",4,"")</f>
        <v/>
      </c>
      <c r="T240" s="4" t="str">
        <f>IF(Nodes[[#This Row],[Bezeichnung2]] = "gegenspieler",5,"")</f>
        <v/>
      </c>
    </row>
    <row r="241" spans="1:20" x14ac:dyDescent="0.3">
      <c r="A241" t="s">
        <v>266</v>
      </c>
      <c r="B241" t="s">
        <v>232</v>
      </c>
      <c r="C241" t="s">
        <v>18</v>
      </c>
      <c r="D241" t="s">
        <v>92</v>
      </c>
      <c r="E241" t="s">
        <v>20</v>
      </c>
      <c r="F241" t="s">
        <v>93</v>
      </c>
      <c r="G241" t="s">
        <v>22</v>
      </c>
      <c r="H241" t="str">
        <f t="shared" si="6"/>
        <v>klerus</v>
      </c>
      <c r="I241" t="str" cm="1">
        <f t="array" ref="I241">_xlfn.SWITCH(A241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41" s="4">
        <f>IF(AND(B241=Werte!B241,LEFT(A241,5)=LEFT(Werte!A241,5)),Werte!C241,"not found")</f>
        <v>2</v>
      </c>
      <c r="K241" s="4">
        <f>IF(AND(B241=Werte!B241,LEFT(A241,5)=LEFT(Werte!A241,5)),Werte!D241,"not found")</f>
        <v>0.125</v>
      </c>
      <c r="L241" s="4">
        <f>IF(AND(B241=Werte!B241,LEFT(A241,5)=LEFT(Werte!A241,5)),Werte!E241,"not found")</f>
        <v>0.38095238095238099</v>
      </c>
      <c r="M241" s="4">
        <f>IF(AND(B241=Werte!B241,LEFT(A241,5)=LEFT(Werte!A241,5)),Werte!F241,"not found")</f>
        <v>1</v>
      </c>
      <c r="N241" s="4" t="str">
        <f t="shared" si="7"/>
        <v>betrogener</v>
      </c>
      <c r="O241" s="4" cm="1">
        <f t="array" ref="O241">_xlfn.SWITCH(A241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41" s="4" t="str">
        <f>IF(Nodes[[#This Row],[Bezeichnung2]] = "betrueger",1,"")</f>
        <v/>
      </c>
      <c r="Q241" s="4">
        <f>IF(Nodes[[#This Row],[Bezeichnung2]] = "betrogener",2,"")</f>
        <v>2</v>
      </c>
      <c r="R241" s="4" t="str">
        <f>IF(Nodes[[#This Row],[Bezeichnung2]] = "liebender",3,"")</f>
        <v/>
      </c>
      <c r="S241" s="4" t="str">
        <f>IF(Nodes[[#This Row],[Bezeichnung2]] = "liebende",4,"")</f>
        <v/>
      </c>
      <c r="T241" s="4" t="str">
        <f>IF(Nodes[[#This Row],[Bezeichnung2]] = "gegenspieler",5,"")</f>
        <v/>
      </c>
    </row>
    <row r="242" spans="1:20" x14ac:dyDescent="0.3">
      <c r="A242" t="s">
        <v>266</v>
      </c>
      <c r="B242" t="s">
        <v>267</v>
      </c>
      <c r="C242" t="s">
        <v>18</v>
      </c>
      <c r="D242" t="s">
        <v>99</v>
      </c>
      <c r="E242" t="s">
        <v>47</v>
      </c>
      <c r="F242" t="s">
        <v>47</v>
      </c>
      <c r="G242" t="s">
        <v>26</v>
      </c>
      <c r="H242" t="str">
        <f t="shared" si="6"/>
        <v>klerus</v>
      </c>
      <c r="I242" t="str" cm="1">
        <f t="array" ref="I242">_xlfn.SWITCH(A242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42" s="4">
        <f>IF(AND(B242=Werte!B242,LEFT(A242,5)=LEFT(Werte!A242,5)),Werte!C242,"not found")</f>
        <v>1.75</v>
      </c>
      <c r="K242" s="4">
        <f>IF(AND(B242=Werte!B242,LEFT(A242,5)=LEFT(Werte!A242,5)),Werte!D242,"not found")</f>
        <v>0.33928571428571402</v>
      </c>
      <c r="L242" s="4">
        <f>IF(AND(B242=Werte!B242,LEFT(A242,5)=LEFT(Werte!A242,5)),Werte!E242,"not found")</f>
        <v>0.44444444444444398</v>
      </c>
      <c r="M242" s="4">
        <f>IF(AND(B242=Werte!B242,LEFT(A242,5)=LEFT(Werte!A242,5)),Werte!F242,"not found")</f>
        <v>0.51638670399931397</v>
      </c>
      <c r="N242" s="4" t="str">
        <f t="shared" si="7"/>
        <v>unbekannt</v>
      </c>
      <c r="O242" s="4" cm="1">
        <f t="array" ref="O242">_xlfn.SWITCH(A242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42" s="4" t="str">
        <f>IF(Nodes[[#This Row],[Bezeichnung2]] = "betrueger",1,"")</f>
        <v/>
      </c>
      <c r="Q242" s="4" t="str">
        <f>IF(Nodes[[#This Row],[Bezeichnung2]] = "betrogener",2,"")</f>
        <v/>
      </c>
      <c r="R242" s="4" t="str">
        <f>IF(Nodes[[#This Row],[Bezeichnung2]] = "liebender",3,"")</f>
        <v/>
      </c>
      <c r="S242" s="4" t="str">
        <f>IF(Nodes[[#This Row],[Bezeichnung2]] = "liebende",4,"")</f>
        <v/>
      </c>
      <c r="T242" s="4" t="str">
        <f>IF(Nodes[[#This Row],[Bezeichnung2]] = "gegenspieler",5,"")</f>
        <v/>
      </c>
    </row>
    <row r="243" spans="1:20" x14ac:dyDescent="0.3">
      <c r="A243" t="s">
        <v>266</v>
      </c>
      <c r="B243" t="s">
        <v>268</v>
      </c>
      <c r="C243" t="s">
        <v>18</v>
      </c>
      <c r="D243" t="s">
        <v>269</v>
      </c>
      <c r="E243" t="s">
        <v>47</v>
      </c>
      <c r="F243" t="s">
        <v>53</v>
      </c>
      <c r="G243" t="s">
        <v>26</v>
      </c>
      <c r="H243" t="str">
        <f t="shared" si="6"/>
        <v>unbekannt</v>
      </c>
      <c r="I243" t="str" cm="1">
        <f t="array" ref="I243">_xlfn.SWITCH(A243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43" s="4">
        <f>IF(AND(B243=Werte!B243,LEFT(A243,5)=LEFT(Werte!A243,5)),Werte!C243,"not found")</f>
        <v>1</v>
      </c>
      <c r="K243" s="4">
        <f>IF(AND(B243=Werte!B243,LEFT(A243,5)=LEFT(Werte!A243,5)),Werte!D243,"not found")</f>
        <v>0</v>
      </c>
      <c r="L243" s="4">
        <f>IF(AND(B243=Werte!B243,LEFT(A243,5)=LEFT(Werte!A243,5)),Werte!E243,"not found")</f>
        <v>0.34782608695652201</v>
      </c>
      <c r="M243" s="4">
        <f>IF(AND(B243=Werte!B243,LEFT(A243,5)=LEFT(Werte!A243,5)),Werte!F243,"not found")</f>
        <v>0.61883230205109196</v>
      </c>
      <c r="N243" s="4" t="str">
        <f t="shared" si="7"/>
        <v>helfer</v>
      </c>
      <c r="O243" s="4" cm="1">
        <f t="array" ref="O243">_xlfn.SWITCH(A243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43" s="4" t="str">
        <f>IF(Nodes[[#This Row],[Bezeichnung2]] = "betrueger",1,"")</f>
        <v/>
      </c>
      <c r="Q243" s="4" t="str">
        <f>IF(Nodes[[#This Row],[Bezeichnung2]] = "betrogener",2,"")</f>
        <v/>
      </c>
      <c r="R243" s="4" t="str">
        <f>IF(Nodes[[#This Row],[Bezeichnung2]] = "liebender",3,"")</f>
        <v/>
      </c>
      <c r="S243" s="4" t="str">
        <f>IF(Nodes[[#This Row],[Bezeichnung2]] = "liebende",4,"")</f>
        <v/>
      </c>
      <c r="T243" s="4" t="str">
        <f>IF(Nodes[[#This Row],[Bezeichnung2]] = "gegenspieler",5,"")</f>
        <v/>
      </c>
    </row>
    <row r="244" spans="1:20" x14ac:dyDescent="0.3">
      <c r="A244" t="s">
        <v>266</v>
      </c>
      <c r="B244" t="s">
        <v>117</v>
      </c>
      <c r="C244" t="s">
        <v>24</v>
      </c>
      <c r="D244" t="s">
        <v>47</v>
      </c>
      <c r="E244" t="s">
        <v>47</v>
      </c>
      <c r="F244" t="s">
        <v>96</v>
      </c>
      <c r="G244" t="s">
        <v>26</v>
      </c>
      <c r="H244" t="str">
        <f t="shared" si="6"/>
        <v>unbekannt</v>
      </c>
      <c r="I244" t="str" cm="1">
        <f t="array" ref="I244">_xlfn.SWITCH(A244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44" s="4">
        <f>IF(AND(B244=Werte!B244,LEFT(A244,5)=LEFT(Werte!A244,5)),Werte!C244,"not found")</f>
        <v>1.25</v>
      </c>
      <c r="K244" s="4">
        <f>IF(AND(B244=Werte!B244,LEFT(A244,5)=LEFT(Werte!A244,5)),Werte!D244,"not found")</f>
        <v>0.26785714285714302</v>
      </c>
      <c r="L244" s="4">
        <f>IF(AND(B244=Werte!B244,LEFT(A244,5)=LEFT(Werte!A244,5)),Werte!E244,"not found")</f>
        <v>0.47058823529411797</v>
      </c>
      <c r="M244" s="4">
        <f>IF(AND(B244=Werte!B244,LEFT(A244,5)=LEFT(Werte!A244,5)),Werte!F244,"not found")</f>
        <v>0.68992518323229102</v>
      </c>
      <c r="N244" s="4" t="str">
        <f t="shared" si="7"/>
        <v>betrueger</v>
      </c>
      <c r="O244" s="4" cm="1">
        <f t="array" ref="O244">_xlfn.SWITCH(A244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44" s="4">
        <f>IF(Nodes[[#This Row],[Bezeichnung2]] = "betrueger",1,"")</f>
        <v>1</v>
      </c>
      <c r="Q244" s="4" t="str">
        <f>IF(Nodes[[#This Row],[Bezeichnung2]] = "betrogener",2,"")</f>
        <v/>
      </c>
      <c r="R244" s="4" t="str">
        <f>IF(Nodes[[#This Row],[Bezeichnung2]] = "liebender",3,"")</f>
        <v/>
      </c>
      <c r="S244" s="4" t="str">
        <f>IF(Nodes[[#This Row],[Bezeichnung2]] = "liebende",4,"")</f>
        <v/>
      </c>
      <c r="T244" s="4" t="str">
        <f>IF(Nodes[[#This Row],[Bezeichnung2]] = "gegenspieler",5,"")</f>
        <v/>
      </c>
    </row>
    <row r="245" spans="1:20" x14ac:dyDescent="0.3">
      <c r="A245" t="s">
        <v>266</v>
      </c>
      <c r="B245" t="s">
        <v>270</v>
      </c>
      <c r="C245" t="s">
        <v>18</v>
      </c>
      <c r="D245" t="s">
        <v>47</v>
      </c>
      <c r="E245" t="s">
        <v>47</v>
      </c>
      <c r="F245" t="s">
        <v>21</v>
      </c>
      <c r="G245" t="s">
        <v>26</v>
      </c>
      <c r="H245" t="str">
        <f t="shared" si="6"/>
        <v>unbekannt</v>
      </c>
      <c r="I245" t="str" cm="1">
        <f t="array" ref="I245">_xlfn.SWITCH(A245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45" s="4">
        <f>IF(AND(B245=Werte!B245,LEFT(A245,5)=LEFT(Werte!A245,5)),Werte!C245,"not found")</f>
        <v>0.75</v>
      </c>
      <c r="K245" s="4">
        <f>IF(AND(B245=Werte!B245,LEFT(A245,5)=LEFT(Werte!A245,5)),Werte!D245,"not found")</f>
        <v>0.30357142857142899</v>
      </c>
      <c r="L245" s="4">
        <f>IF(AND(B245=Werte!B245,LEFT(A245,5)=LEFT(Werte!A245,5)),Werte!E245,"not found")</f>
        <v>0.44444444444444398</v>
      </c>
      <c r="M245" s="4">
        <f>IF(AND(B245=Werte!B245,LEFT(A245,5)=LEFT(Werte!A245,5)),Werte!F245,"not found")</f>
        <v>6.88296229739426E-2</v>
      </c>
      <c r="N245" s="4" t="str">
        <f t="shared" si="7"/>
        <v>ehemann</v>
      </c>
      <c r="O245" s="4" cm="1">
        <f t="array" ref="O245">_xlfn.SWITCH(A245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45" s="4" t="str">
        <f>IF(Nodes[[#This Row],[Bezeichnung2]] = "betrueger",1,"")</f>
        <v/>
      </c>
      <c r="Q245" s="4" t="str">
        <f>IF(Nodes[[#This Row],[Bezeichnung2]] = "betrogener",2,"")</f>
        <v/>
      </c>
      <c r="R245" s="4" t="str">
        <f>IF(Nodes[[#This Row],[Bezeichnung2]] = "liebender",3,"")</f>
        <v/>
      </c>
      <c r="S245" s="4" t="str">
        <f>IF(Nodes[[#This Row],[Bezeichnung2]] = "liebende",4,"")</f>
        <v/>
      </c>
      <c r="T245" s="4" t="str">
        <f>IF(Nodes[[#This Row],[Bezeichnung2]] = "gegenspieler",5,"")</f>
        <v/>
      </c>
    </row>
    <row r="246" spans="1:20" x14ac:dyDescent="0.3">
      <c r="A246" t="s">
        <v>266</v>
      </c>
      <c r="B246" t="s">
        <v>271</v>
      </c>
      <c r="C246" t="s">
        <v>46</v>
      </c>
      <c r="D246" t="s">
        <v>92</v>
      </c>
      <c r="E246" t="s">
        <v>47</v>
      </c>
      <c r="F246" t="s">
        <v>47</v>
      </c>
      <c r="G246" t="s">
        <v>26</v>
      </c>
      <c r="H246" t="str">
        <f t="shared" si="6"/>
        <v>klerus</v>
      </c>
      <c r="I246" t="str" cm="1">
        <f t="array" ref="I246">_xlfn.SWITCH(A246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46" s="4">
        <f>IF(AND(B246=Werte!B246,LEFT(A246,5)=LEFT(Werte!A246,5)),Werte!C246,"not found")</f>
        <v>1</v>
      </c>
      <c r="K246" s="4">
        <f>IF(AND(B246=Werte!B246,LEFT(A246,5)=LEFT(Werte!A246,5)),Werte!D246,"not found")</f>
        <v>0.107142857142857</v>
      </c>
      <c r="L246" s="4">
        <f>IF(AND(B246=Werte!B246,LEFT(A246,5)=LEFT(Werte!A246,5)),Werte!E246,"not found")</f>
        <v>0.4</v>
      </c>
      <c r="M246" s="4">
        <f>IF(AND(B246=Werte!B246,LEFT(A246,5)=LEFT(Werte!A246,5)),Werte!F246,"not found")</f>
        <v>0.327618125355643</v>
      </c>
      <c r="N246" s="4" t="str">
        <f t="shared" si="7"/>
        <v>unbekannt</v>
      </c>
      <c r="O246" s="4" cm="1">
        <f t="array" ref="O246">_xlfn.SWITCH(A246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46" s="4" t="str">
        <f>IF(Nodes[[#This Row],[Bezeichnung2]] = "betrueger",1,"")</f>
        <v/>
      </c>
      <c r="Q246" s="4" t="str">
        <f>IF(Nodes[[#This Row],[Bezeichnung2]] = "betrogener",2,"")</f>
        <v/>
      </c>
      <c r="R246" s="4" t="str">
        <f>IF(Nodes[[#This Row],[Bezeichnung2]] = "liebender",3,"")</f>
        <v/>
      </c>
      <c r="S246" s="4" t="str">
        <f>IF(Nodes[[#This Row],[Bezeichnung2]] = "liebende",4,"")</f>
        <v/>
      </c>
      <c r="T246" s="4" t="str">
        <f>IF(Nodes[[#This Row],[Bezeichnung2]] = "gegenspieler",5,"")</f>
        <v/>
      </c>
    </row>
    <row r="247" spans="1:20" x14ac:dyDescent="0.3">
      <c r="A247" t="s">
        <v>266</v>
      </c>
      <c r="B247" t="s">
        <v>272</v>
      </c>
      <c r="C247" t="s">
        <v>18</v>
      </c>
      <c r="D247" t="s">
        <v>148</v>
      </c>
      <c r="E247" t="s">
        <v>47</v>
      </c>
      <c r="F247" t="s">
        <v>47</v>
      </c>
      <c r="G247" t="s">
        <v>26</v>
      </c>
      <c r="H247" t="str">
        <f t="shared" si="6"/>
        <v>bauer</v>
      </c>
      <c r="I247" t="str" cm="1">
        <f t="array" ref="I247">_xlfn.SWITCH(A247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47" s="4">
        <f>IF(AND(B247=Werte!B247,LEFT(A247,5)=LEFT(Werte!A247,5)),Werte!C247,"not found")</f>
        <v>0.5</v>
      </c>
      <c r="K247" s="4">
        <f>IF(AND(B247=Werte!B247,LEFT(A247,5)=LEFT(Werte!A247,5)),Werte!D247,"not found")</f>
        <v>8.9285714285714302E-2</v>
      </c>
      <c r="L247" s="4">
        <f>IF(AND(B247=Werte!B247,LEFT(A247,5)=LEFT(Werte!A247,5)),Werte!E247,"not found")</f>
        <v>0.36363636363636398</v>
      </c>
      <c r="M247" s="4">
        <f>IF(AND(B247=Werte!B247,LEFT(A247,5)=LEFT(Werte!A247,5)),Werte!F247,"not found")</f>
        <v>6.0601872719788299E-2</v>
      </c>
      <c r="N247" s="4" t="str">
        <f t="shared" si="7"/>
        <v>unbekannt</v>
      </c>
      <c r="O247" s="4" cm="1">
        <f t="array" ref="O247">_xlfn.SWITCH(A247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47" s="4" t="str">
        <f>IF(Nodes[[#This Row],[Bezeichnung2]] = "betrueger",1,"")</f>
        <v/>
      </c>
      <c r="Q247" s="4" t="str">
        <f>IF(Nodes[[#This Row],[Bezeichnung2]] = "betrogener",2,"")</f>
        <v/>
      </c>
      <c r="R247" s="4" t="str">
        <f>IF(Nodes[[#This Row],[Bezeichnung2]] = "liebender",3,"")</f>
        <v/>
      </c>
      <c r="S247" s="4" t="str">
        <f>IF(Nodes[[#This Row],[Bezeichnung2]] = "liebende",4,"")</f>
        <v/>
      </c>
      <c r="T247" s="4" t="str">
        <f>IF(Nodes[[#This Row],[Bezeichnung2]] = "gegenspieler",5,"")</f>
        <v/>
      </c>
    </row>
    <row r="248" spans="1:20" x14ac:dyDescent="0.3">
      <c r="A248" t="s">
        <v>266</v>
      </c>
      <c r="B248" t="s">
        <v>273</v>
      </c>
      <c r="C248" t="s">
        <v>18</v>
      </c>
      <c r="D248" t="s">
        <v>47</v>
      </c>
      <c r="E248" t="s">
        <v>47</v>
      </c>
      <c r="F248" t="s">
        <v>47</v>
      </c>
      <c r="G248" t="s">
        <v>26</v>
      </c>
      <c r="H248" t="str">
        <f t="shared" si="6"/>
        <v>unbekannt</v>
      </c>
      <c r="I248" t="str" cm="1">
        <f t="array" ref="I248">_xlfn.SWITCH(A248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48" s="4">
        <f>IF(AND(B248=Werte!B248,LEFT(A248,5)=LEFT(Werte!A248,5)),Werte!C248,"not found")</f>
        <v>0.5</v>
      </c>
      <c r="K248" s="4">
        <f>IF(AND(B248=Werte!B248,LEFT(A248,5)=LEFT(Werte!A248,5)),Werte!D248,"not found")</f>
        <v>0</v>
      </c>
      <c r="L248" s="4">
        <f>IF(AND(B248=Werte!B248,LEFT(A248,5)=LEFT(Werte!A248,5)),Werte!E248,"not found")</f>
        <v>0.25</v>
      </c>
      <c r="M248" s="4">
        <f>IF(AND(B248=Werte!B248,LEFT(A248,5)=LEFT(Werte!A248,5)),Werte!F248,"not found")</f>
        <v>0.20966391889111699</v>
      </c>
      <c r="N248" s="4" t="str">
        <f t="shared" si="7"/>
        <v>unbekannt</v>
      </c>
      <c r="O248" s="4" cm="1">
        <f t="array" ref="O248">_xlfn.SWITCH(A248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48" s="4" t="str">
        <f>IF(Nodes[[#This Row],[Bezeichnung2]] = "betrueger",1,"")</f>
        <v/>
      </c>
      <c r="Q248" s="4" t="str">
        <f>IF(Nodes[[#This Row],[Bezeichnung2]] = "betrogener",2,"")</f>
        <v/>
      </c>
      <c r="R248" s="4" t="str">
        <f>IF(Nodes[[#This Row],[Bezeichnung2]] = "liebender",3,"")</f>
        <v/>
      </c>
      <c r="S248" s="4" t="str">
        <f>IF(Nodes[[#This Row],[Bezeichnung2]] = "liebende",4,"")</f>
        <v/>
      </c>
      <c r="T248" s="4" t="str">
        <f>IF(Nodes[[#This Row],[Bezeichnung2]] = "gegenspieler",5,"")</f>
        <v/>
      </c>
    </row>
    <row r="249" spans="1:20" x14ac:dyDescent="0.3">
      <c r="A249" t="s">
        <v>266</v>
      </c>
      <c r="B249" t="s">
        <v>274</v>
      </c>
      <c r="C249" t="s">
        <v>18</v>
      </c>
      <c r="D249" t="s">
        <v>92</v>
      </c>
      <c r="E249" t="s">
        <v>32</v>
      </c>
      <c r="F249" t="s">
        <v>104</v>
      </c>
      <c r="G249" t="s">
        <v>26</v>
      </c>
      <c r="H249" t="str">
        <f t="shared" si="6"/>
        <v>klerus</v>
      </c>
      <c r="I249" t="str" cm="1">
        <f t="array" ref="I249">_xlfn.SWITCH(A249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49" s="4">
        <f>IF(AND(B249=Werte!B249,LEFT(A249,5)=LEFT(Werte!A249,5)),Werte!C249,"not found")</f>
        <v>0.75</v>
      </c>
      <c r="K249" s="4">
        <f>IF(AND(B249=Werte!B249,LEFT(A249,5)=LEFT(Werte!A249,5)),Werte!D249,"not found")</f>
        <v>8.9285714285714302E-2</v>
      </c>
      <c r="L249" s="4">
        <f>IF(AND(B249=Werte!B249,LEFT(A249,5)=LEFT(Werte!A249,5)),Werte!E249,"not found")</f>
        <v>0.38095238095238099</v>
      </c>
      <c r="M249" s="4">
        <f>IF(AND(B249=Werte!B249,LEFT(A249,5)=LEFT(Werte!A249,5)),Werte!F249,"not found")</f>
        <v>0.23384868200828701</v>
      </c>
      <c r="N249" s="4" t="str">
        <f t="shared" si="7"/>
        <v>bote</v>
      </c>
      <c r="O249" s="4" cm="1">
        <f t="array" ref="O249">_xlfn.SWITCH(A249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49" s="4" t="str">
        <f>IF(Nodes[[#This Row],[Bezeichnung2]] = "betrueger",1,"")</f>
        <v/>
      </c>
      <c r="Q249" s="4" t="str">
        <f>IF(Nodes[[#This Row],[Bezeichnung2]] = "betrogener",2,"")</f>
        <v/>
      </c>
      <c r="R249" s="4" t="str">
        <f>IF(Nodes[[#This Row],[Bezeichnung2]] = "liebender",3,"")</f>
        <v/>
      </c>
      <c r="S249" s="4" t="str">
        <f>IF(Nodes[[#This Row],[Bezeichnung2]] = "liebende",4,"")</f>
        <v/>
      </c>
      <c r="T249" s="4" t="str">
        <f>IF(Nodes[[#This Row],[Bezeichnung2]] = "gegenspieler",5,"")</f>
        <v/>
      </c>
    </row>
    <row r="250" spans="1:20" x14ac:dyDescent="0.3">
      <c r="A250" t="s">
        <v>588</v>
      </c>
      <c r="B250" t="s">
        <v>589</v>
      </c>
      <c r="C250" t="s">
        <v>46</v>
      </c>
      <c r="D250" t="s">
        <v>61</v>
      </c>
      <c r="E250" t="s">
        <v>47</v>
      </c>
      <c r="F250" t="s">
        <v>47</v>
      </c>
      <c r="G250" t="s">
        <v>26</v>
      </c>
      <c r="H250" t="str">
        <f t="shared" si="6"/>
        <v>klerus</v>
      </c>
      <c r="I250" t="str" cm="1">
        <f t="array" ref="I250">_xlfn.SWITCH(A250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250" s="4">
        <f>IF(AND(B250=Werte!B250,LEFT(A250,5)=LEFT(Werte!A250,5)),Werte!C250,"not found")</f>
        <v>2</v>
      </c>
      <c r="K250" s="4">
        <f>IF(AND(B250=Werte!B250,LEFT(A250,5)=LEFT(Werte!A250,5)),Werte!D250,"not found")</f>
        <v>0.66666666666666696</v>
      </c>
      <c r="L250" s="4">
        <f>IF(AND(B250=Werte!B250,LEFT(A250,5)=LEFT(Werte!A250,5)),Werte!E250,"not found")</f>
        <v>0.75</v>
      </c>
      <c r="M250" s="4">
        <f>IF(AND(B250=Werte!B250,LEFT(A250,5)=LEFT(Werte!A250,5)),Werte!F250,"not found")</f>
        <v>0.20164722966590601</v>
      </c>
      <c r="N250" s="4" t="str">
        <f t="shared" si="7"/>
        <v>unbekannt</v>
      </c>
      <c r="O250" s="4" cm="1">
        <f t="array" ref="O250">_xlfn.SWITCH(A250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50" s="4" t="str">
        <f>IF(Nodes[[#This Row],[Bezeichnung2]] = "betrueger",1,"")</f>
        <v/>
      </c>
      <c r="Q250" s="4" t="str">
        <f>IF(Nodes[[#This Row],[Bezeichnung2]] = "betrogener",2,"")</f>
        <v/>
      </c>
      <c r="R250" s="4" t="str">
        <f>IF(Nodes[[#This Row],[Bezeichnung2]] = "liebender",3,"")</f>
        <v/>
      </c>
      <c r="S250" s="4" t="str">
        <f>IF(Nodes[[#This Row],[Bezeichnung2]] = "liebende",4,"")</f>
        <v/>
      </c>
      <c r="T250" s="4" t="str">
        <f>IF(Nodes[[#This Row],[Bezeichnung2]] = "gegenspieler",5,"")</f>
        <v/>
      </c>
    </row>
    <row r="251" spans="1:20" x14ac:dyDescent="0.3">
      <c r="A251" t="s">
        <v>588</v>
      </c>
      <c r="B251" t="s">
        <v>590</v>
      </c>
      <c r="C251" t="s">
        <v>24</v>
      </c>
      <c r="D251" t="s">
        <v>61</v>
      </c>
      <c r="E251" t="s">
        <v>47</v>
      </c>
      <c r="F251" t="s">
        <v>53</v>
      </c>
      <c r="G251" t="s">
        <v>26</v>
      </c>
      <c r="H251" t="str">
        <f t="shared" si="6"/>
        <v>klerus</v>
      </c>
      <c r="I251" t="str" cm="1">
        <f t="array" ref="I251">_xlfn.SWITCH(A251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251" s="4">
        <f>IF(AND(B251=Werte!B251,LEFT(A251,5)=LEFT(Werte!A251,5)),Werte!C251,"not found")</f>
        <v>2</v>
      </c>
      <c r="K251" s="4">
        <f>IF(AND(B251=Werte!B251,LEFT(A251,5)=LEFT(Werte!A251,5)),Werte!D251,"not found")</f>
        <v>0</v>
      </c>
      <c r="L251" s="4">
        <f>IF(AND(B251=Werte!B251,LEFT(A251,5)=LEFT(Werte!A251,5)),Werte!E251,"not found")</f>
        <v>0.6</v>
      </c>
      <c r="M251" s="4">
        <f>IF(AND(B251=Werte!B251,LEFT(A251,5)=LEFT(Werte!A251,5)),Werte!F251,"not found")</f>
        <v>0.37344680002823999</v>
      </c>
      <c r="N251" s="4" t="str">
        <f t="shared" si="7"/>
        <v>helfer</v>
      </c>
      <c r="O251" s="4" cm="1">
        <f t="array" ref="O251">_xlfn.SWITCH(A251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51" s="4" t="str">
        <f>IF(Nodes[[#This Row],[Bezeichnung2]] = "betrueger",1,"")</f>
        <v/>
      </c>
      <c r="Q251" s="4" t="str">
        <f>IF(Nodes[[#This Row],[Bezeichnung2]] = "betrogener",2,"")</f>
        <v/>
      </c>
      <c r="R251" s="4" t="str">
        <f>IF(Nodes[[#This Row],[Bezeichnung2]] = "liebender",3,"")</f>
        <v/>
      </c>
      <c r="S251" s="4" t="str">
        <f>IF(Nodes[[#This Row],[Bezeichnung2]] = "liebende",4,"")</f>
        <v/>
      </c>
      <c r="T251" s="4" t="str">
        <f>IF(Nodes[[#This Row],[Bezeichnung2]] = "gegenspieler",5,"")</f>
        <v/>
      </c>
    </row>
    <row r="252" spans="1:20" x14ac:dyDescent="0.3">
      <c r="A252" t="s">
        <v>588</v>
      </c>
      <c r="B252" t="s">
        <v>174</v>
      </c>
      <c r="C252" t="s">
        <v>24</v>
      </c>
      <c r="D252" t="s">
        <v>61</v>
      </c>
      <c r="E252" t="s">
        <v>20</v>
      </c>
      <c r="F252" t="s">
        <v>93</v>
      </c>
      <c r="G252" t="s">
        <v>22</v>
      </c>
      <c r="H252" t="str">
        <f t="shared" si="6"/>
        <v>klerus</v>
      </c>
      <c r="I252" t="str" cm="1">
        <f t="array" ref="I252">_xlfn.SWITCH(A252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252" s="4">
        <f>IF(AND(B252=Werte!B252,LEFT(A252,5)=LEFT(Werte!A252,5)),Werte!C252,"not found")</f>
        <v>2</v>
      </c>
      <c r="K252" s="4">
        <f>IF(AND(B252=Werte!B252,LEFT(A252,5)=LEFT(Werte!A252,5)),Werte!D252,"not found")</f>
        <v>0</v>
      </c>
      <c r="L252" s="4">
        <f>IF(AND(B252=Werte!B252,LEFT(A252,5)=LEFT(Werte!A252,5)),Werte!E252,"not found")</f>
        <v>0.375</v>
      </c>
      <c r="M252" s="4">
        <f>IF(AND(B252=Werte!B252,LEFT(A252,5)=LEFT(Werte!A252,5)),Werte!F252,"not found")</f>
        <v>1</v>
      </c>
      <c r="N252" s="4" t="str">
        <f t="shared" si="7"/>
        <v>betrogener</v>
      </c>
      <c r="O252" s="4" cm="1">
        <f t="array" ref="O252">_xlfn.SWITCH(A252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52" s="4" t="str">
        <f>IF(Nodes[[#This Row],[Bezeichnung2]] = "betrueger",1,"")</f>
        <v/>
      </c>
      <c r="Q252" s="4">
        <f>IF(Nodes[[#This Row],[Bezeichnung2]] = "betrogener",2,"")</f>
        <v>2</v>
      </c>
      <c r="R252" s="4" t="str">
        <f>IF(Nodes[[#This Row],[Bezeichnung2]] = "liebender",3,"")</f>
        <v/>
      </c>
      <c r="S252" s="4" t="str">
        <f>IF(Nodes[[#This Row],[Bezeichnung2]] = "liebende",4,"")</f>
        <v/>
      </c>
      <c r="T252" s="4" t="str">
        <f>IF(Nodes[[#This Row],[Bezeichnung2]] = "gegenspieler",5,"")</f>
        <v/>
      </c>
    </row>
    <row r="253" spans="1:20" x14ac:dyDescent="0.3">
      <c r="A253" t="s">
        <v>588</v>
      </c>
      <c r="B253" t="s">
        <v>56</v>
      </c>
      <c r="C253" t="s">
        <v>18</v>
      </c>
      <c r="D253" t="s">
        <v>57</v>
      </c>
      <c r="E253" t="s">
        <v>47</v>
      </c>
      <c r="F253" t="s">
        <v>96</v>
      </c>
      <c r="G253" t="s">
        <v>26</v>
      </c>
      <c r="H253" t="str">
        <f t="shared" si="6"/>
        <v>adel</v>
      </c>
      <c r="I253" t="str" cm="1">
        <f t="array" ref="I253">_xlfn.SWITCH(A253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253" s="4">
        <f>IF(AND(B253=Werte!B253,LEFT(A253,5)=LEFT(Werte!A253,5)),Werte!C253,"not found")</f>
        <v>2</v>
      </c>
      <c r="K253" s="4">
        <f>IF(AND(B253=Werte!B253,LEFT(A253,5)=LEFT(Werte!A253,5)),Werte!D253,"not found")</f>
        <v>0</v>
      </c>
      <c r="L253" s="4">
        <f>IF(AND(B253=Werte!B253,LEFT(A253,5)=LEFT(Werte!A253,5)),Werte!E253,"not found")</f>
        <v>0.6</v>
      </c>
      <c r="M253" s="4">
        <f>IF(AND(B253=Werte!B253,LEFT(A253,5)=LEFT(Werte!A253,5)),Werte!F253,"not found")</f>
        <v>0.946112034569356</v>
      </c>
      <c r="N253" s="4" t="str">
        <f t="shared" si="7"/>
        <v>betrueger</v>
      </c>
      <c r="O253" s="4" cm="1">
        <f t="array" ref="O253">_xlfn.SWITCH(A253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53" s="4">
        <f>IF(Nodes[[#This Row],[Bezeichnung2]] = "betrueger",1,"")</f>
        <v>1</v>
      </c>
      <c r="Q253" s="4" t="str">
        <f>IF(Nodes[[#This Row],[Bezeichnung2]] = "betrogener",2,"")</f>
        <v/>
      </c>
      <c r="R253" s="4" t="str">
        <f>IF(Nodes[[#This Row],[Bezeichnung2]] = "liebender",3,"")</f>
        <v/>
      </c>
      <c r="S253" s="4" t="str">
        <f>IF(Nodes[[#This Row],[Bezeichnung2]] = "liebende",4,"")</f>
        <v/>
      </c>
      <c r="T253" s="4" t="str">
        <f>IF(Nodes[[#This Row],[Bezeichnung2]] = "gegenspieler",5,"")</f>
        <v/>
      </c>
    </row>
    <row r="254" spans="1:20" x14ac:dyDescent="0.3">
      <c r="A254" t="s">
        <v>591</v>
      </c>
      <c r="B254" t="s">
        <v>592</v>
      </c>
      <c r="C254" t="s">
        <v>18</v>
      </c>
      <c r="D254" t="s">
        <v>47</v>
      </c>
      <c r="E254" t="s">
        <v>47</v>
      </c>
      <c r="F254" t="s">
        <v>47</v>
      </c>
      <c r="G254" t="s">
        <v>22</v>
      </c>
      <c r="H254" t="str">
        <f t="shared" si="6"/>
        <v>unbekannt</v>
      </c>
      <c r="I254" t="str" cm="1">
        <f t="array" ref="I254">_xlfn.SWITCH(A254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54" s="4">
        <f>IF(AND(B254=Werte!B254,LEFT(A254,5)=LEFT(Werte!A254,5)),Werte!C254,"not found")</f>
        <v>0</v>
      </c>
      <c r="K254" s="4">
        <f>IF(AND(B254=Werte!B254,LEFT(A254,5)=LEFT(Werte!A254,5)),Werte!D254,"not found")</f>
        <v>0</v>
      </c>
      <c r="L254" s="4">
        <f>IF(AND(B254=Werte!B254,LEFT(A254,5)=LEFT(Werte!A254,5)),Werte!E254,"not found")</f>
        <v>0</v>
      </c>
      <c r="M254" s="4">
        <f>IF(AND(B254=Werte!B254,LEFT(A254,5)=LEFT(Werte!A254,5)),Werte!F254,"not found")</f>
        <v>0</v>
      </c>
      <c r="N254" s="4" t="str">
        <f t="shared" si="7"/>
        <v>unbekannt</v>
      </c>
      <c r="O254" s="4" cm="1">
        <f t="array" ref="O254">_xlfn.SWITCH(A254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54" s="4" t="str">
        <f>IF(Nodes[[#This Row],[Bezeichnung2]] = "betrueger",1,"")</f>
        <v/>
      </c>
      <c r="Q254" s="4" t="str">
        <f>IF(Nodes[[#This Row],[Bezeichnung2]] = "betrogener",2,"")</f>
        <v/>
      </c>
      <c r="R254" s="4" t="str">
        <f>IF(Nodes[[#This Row],[Bezeichnung2]] = "liebender",3,"")</f>
        <v/>
      </c>
      <c r="S254" s="4" t="str">
        <f>IF(Nodes[[#This Row],[Bezeichnung2]] = "liebende",4,"")</f>
        <v/>
      </c>
      <c r="T254" s="4" t="str">
        <f>IF(Nodes[[#This Row],[Bezeichnung2]] = "gegenspieler",5,"")</f>
        <v/>
      </c>
    </row>
    <row r="255" spans="1:20" x14ac:dyDescent="0.3">
      <c r="A255" t="s">
        <v>591</v>
      </c>
      <c r="B255" t="s">
        <v>593</v>
      </c>
      <c r="C255" t="s">
        <v>18</v>
      </c>
      <c r="D255" t="s">
        <v>47</v>
      </c>
      <c r="E255" t="s">
        <v>47</v>
      </c>
      <c r="F255" t="s">
        <v>87</v>
      </c>
      <c r="G255" t="s">
        <v>22</v>
      </c>
      <c r="H255" t="str">
        <f t="shared" si="6"/>
        <v>unbekannt</v>
      </c>
      <c r="I255" t="str" cm="1">
        <f t="array" ref="I255">_xlfn.SWITCH(A255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55" s="4">
        <f>IF(AND(B255=Werte!B255,LEFT(A255,5)=LEFT(Werte!A255,5)),Werte!C255,"not found")</f>
        <v>0</v>
      </c>
      <c r="K255" s="4">
        <f>IF(AND(B255=Werte!B255,LEFT(A255,5)=LEFT(Werte!A255,5)),Werte!D255,"not found")</f>
        <v>0</v>
      </c>
      <c r="L255" s="4">
        <f>IF(AND(B255=Werte!B255,LEFT(A255,5)=LEFT(Werte!A255,5)),Werte!E255,"not found")</f>
        <v>0</v>
      </c>
      <c r="M255" s="4">
        <f>IF(AND(B255=Werte!B255,LEFT(A255,5)=LEFT(Werte!A255,5)),Werte!F255,"not found")</f>
        <v>0</v>
      </c>
      <c r="N255" s="4" t="str">
        <f t="shared" si="7"/>
        <v>gegenspieler</v>
      </c>
      <c r="O255" s="4" cm="1">
        <f t="array" ref="O255">_xlfn.SWITCH(A255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55" s="4" t="str">
        <f>IF(Nodes[[#This Row],[Bezeichnung2]] = "betrueger",1,"")</f>
        <v/>
      </c>
      <c r="Q255" s="4" t="str">
        <f>IF(Nodes[[#This Row],[Bezeichnung2]] = "betrogener",2,"")</f>
        <v/>
      </c>
      <c r="R255" s="4" t="str">
        <f>IF(Nodes[[#This Row],[Bezeichnung2]] = "liebender",3,"")</f>
        <v/>
      </c>
      <c r="S255" s="4" t="str">
        <f>IF(Nodes[[#This Row],[Bezeichnung2]] = "liebende",4,"")</f>
        <v/>
      </c>
      <c r="T255" s="4">
        <f>IF(Nodes[[#This Row],[Bezeichnung2]] = "gegenspieler",5,"")</f>
        <v>5</v>
      </c>
    </row>
    <row r="256" spans="1:20" x14ac:dyDescent="0.3">
      <c r="A256" t="s">
        <v>275</v>
      </c>
      <c r="B256" t="s">
        <v>56</v>
      </c>
      <c r="C256" t="s">
        <v>18</v>
      </c>
      <c r="D256" t="s">
        <v>57</v>
      </c>
      <c r="E256" t="s">
        <v>32</v>
      </c>
      <c r="F256" t="s">
        <v>50</v>
      </c>
      <c r="G256" t="s">
        <v>22</v>
      </c>
      <c r="H256" t="str">
        <f t="shared" si="6"/>
        <v>adel</v>
      </c>
      <c r="I256" t="str" cm="1">
        <f t="array" ref="I256">_xlfn.SWITCH(A256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56" s="4">
        <f>IF(AND(B256=Werte!B256,LEFT(A256,5)=LEFT(Werte!A256,5)),Werte!C256,"not found")</f>
        <v>1.5</v>
      </c>
      <c r="K256" s="4">
        <f>IF(AND(B256=Werte!B256,LEFT(A256,5)=LEFT(Werte!A256,5)),Werte!D256,"not found")</f>
        <v>0</v>
      </c>
      <c r="L256" s="4">
        <f>IF(AND(B256=Werte!B256,LEFT(A256,5)=LEFT(Werte!A256,5)),Werte!E256,"not found")</f>
        <v>0.16</v>
      </c>
      <c r="M256" s="4">
        <f>IF(AND(B256=Werte!B256,LEFT(A256,5)=LEFT(Werte!A256,5)),Werte!F256,"not found")</f>
        <v>1</v>
      </c>
      <c r="N256" s="4" t="str">
        <f t="shared" si="7"/>
        <v>betrogener</v>
      </c>
      <c r="O256" s="4" cm="1">
        <f t="array" ref="O256">_xlfn.SWITCH(A256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56" s="4" t="str">
        <f>IF(Nodes[[#This Row],[Bezeichnung2]] = "betrueger",1,"")</f>
        <v/>
      </c>
      <c r="Q256" s="4">
        <f>IF(Nodes[[#This Row],[Bezeichnung2]] = "betrogener",2,"")</f>
        <v>2</v>
      </c>
      <c r="R256" s="4" t="str">
        <f>IF(Nodes[[#This Row],[Bezeichnung2]] = "liebender",3,"")</f>
        <v/>
      </c>
      <c r="S256" s="4" t="str">
        <f>IF(Nodes[[#This Row],[Bezeichnung2]] = "liebende",4,"")</f>
        <v/>
      </c>
      <c r="T256" s="4" t="str">
        <f>IF(Nodes[[#This Row],[Bezeichnung2]] = "gegenspieler",5,"")</f>
        <v/>
      </c>
    </row>
    <row r="257" spans="1:20" x14ac:dyDescent="0.3">
      <c r="A257" t="s">
        <v>275</v>
      </c>
      <c r="B257" t="s">
        <v>85</v>
      </c>
      <c r="C257" t="s">
        <v>24</v>
      </c>
      <c r="D257" t="s">
        <v>86</v>
      </c>
      <c r="E257" t="s">
        <v>47</v>
      </c>
      <c r="F257" t="s">
        <v>55</v>
      </c>
      <c r="G257" t="s">
        <v>22</v>
      </c>
      <c r="H257" t="str">
        <f t="shared" si="6"/>
        <v>adel</v>
      </c>
      <c r="I257" t="str" cm="1">
        <f t="array" ref="I257">_xlfn.SWITCH(A257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57" s="4">
        <f>IF(AND(B257=Werte!B257,LEFT(A257,5)=LEFT(Werte!A257,5)),Werte!C257,"not found")</f>
        <v>2</v>
      </c>
      <c r="K257" s="4">
        <f>IF(AND(B257=Werte!B257,LEFT(A257,5)=LEFT(Werte!A257,5)),Werte!D257,"not found")</f>
        <v>0.33333333333333298</v>
      </c>
      <c r="L257" s="4">
        <f>IF(AND(B257=Werte!B257,LEFT(A257,5)=LEFT(Werte!A257,5)),Werte!E257,"not found")</f>
        <v>0.25</v>
      </c>
      <c r="M257" s="4">
        <f>IF(AND(B257=Werte!B257,LEFT(A257,5)=LEFT(Werte!A257,5)),Werte!F257,"not found")</f>
        <v>0.99954369641468699</v>
      </c>
      <c r="N257" s="4" t="str">
        <f t="shared" si="7"/>
        <v>betrueger</v>
      </c>
      <c r="O257" s="4" cm="1">
        <f t="array" ref="O257">_xlfn.SWITCH(A257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57" s="4">
        <f>IF(Nodes[[#This Row],[Bezeichnung2]] = "betrueger",1,"")</f>
        <v>1</v>
      </c>
      <c r="Q257" s="4" t="str">
        <f>IF(Nodes[[#This Row],[Bezeichnung2]] = "betrogener",2,"")</f>
        <v/>
      </c>
      <c r="R257" s="4" t="str">
        <f>IF(Nodes[[#This Row],[Bezeichnung2]] = "liebender",3,"")</f>
        <v/>
      </c>
      <c r="S257" s="4" t="str">
        <f>IF(Nodes[[#This Row],[Bezeichnung2]] = "liebende",4,"")</f>
        <v/>
      </c>
      <c r="T257" s="4" t="str">
        <f>IF(Nodes[[#This Row],[Bezeichnung2]] = "gegenspieler",5,"")</f>
        <v/>
      </c>
    </row>
    <row r="258" spans="1:20" x14ac:dyDescent="0.3">
      <c r="A258" t="s">
        <v>275</v>
      </c>
      <c r="B258" t="s">
        <v>246</v>
      </c>
      <c r="C258" t="s">
        <v>18</v>
      </c>
      <c r="D258" t="s">
        <v>57</v>
      </c>
      <c r="E258" t="s">
        <v>47</v>
      </c>
      <c r="F258" t="s">
        <v>96</v>
      </c>
      <c r="G258" t="s">
        <v>26</v>
      </c>
      <c r="H258" t="str">
        <f t="shared" ref="H258:H321" si="8">IF(LEFT(D258,4)="adel","adel",IF(LEFT(D258,11)="buergerlich","buergerlich",IF(LEFT(D258,6)="klerus","klerus",IF(D258="NA","NA",IF(LEFT(D258,9)="unbekannt","unbekannt",IF(LEFT(D258,5)="bauer","bauer","not found"))))))</f>
        <v>adel</v>
      </c>
      <c r="I258" t="str" cm="1">
        <f t="array" ref="I258">_xlfn.SWITCH(A258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58" s="4">
        <f>IF(AND(B258=Werte!B258,LEFT(A258,5)=LEFT(Werte!A258,5)),Werte!C258,"not found")</f>
        <v>1.5</v>
      </c>
      <c r="K258" s="4">
        <f>IF(AND(B258=Werte!B258,LEFT(A258,5)=LEFT(Werte!A258,5)),Werte!D258,"not found")</f>
        <v>0.33333333333333298</v>
      </c>
      <c r="L258" s="4">
        <f>IF(AND(B258=Werte!B258,LEFT(A258,5)=LEFT(Werte!A258,5)),Werte!E258,"not found")</f>
        <v>0.25</v>
      </c>
      <c r="M258" s="4">
        <f>IF(AND(B258=Werte!B258,LEFT(A258,5)=LEFT(Werte!A258,5)),Werte!F258,"not found")</f>
        <v>0.44449245889201999</v>
      </c>
      <c r="N258" s="4" t="str">
        <f t="shared" ref="N258:N321" si="9">IF(RIGHT(F258,10)="betrogener","betrogener",IF(RIGHT(F258,9)="betrueger","betrueger",F258))</f>
        <v>betrueger</v>
      </c>
      <c r="O258" s="4" cm="1">
        <f t="array" ref="O258">_xlfn.SWITCH(A258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58" s="4">
        <f>IF(Nodes[[#This Row],[Bezeichnung2]] = "betrueger",1,"")</f>
        <v>1</v>
      </c>
      <c r="Q258" s="4" t="str">
        <f>IF(Nodes[[#This Row],[Bezeichnung2]] = "betrogener",2,"")</f>
        <v/>
      </c>
      <c r="R258" s="4" t="str">
        <f>IF(Nodes[[#This Row],[Bezeichnung2]] = "liebender",3,"")</f>
        <v/>
      </c>
      <c r="S258" s="4" t="str">
        <f>IF(Nodes[[#This Row],[Bezeichnung2]] = "liebende",4,"")</f>
        <v/>
      </c>
      <c r="T258" s="4" t="str">
        <f>IF(Nodes[[#This Row],[Bezeichnung2]] = "gegenspieler",5,"")</f>
        <v/>
      </c>
    </row>
    <row r="259" spans="1:20" x14ac:dyDescent="0.3">
      <c r="A259" t="s">
        <v>275</v>
      </c>
      <c r="B259" t="s">
        <v>205</v>
      </c>
      <c r="C259" t="s">
        <v>18</v>
      </c>
      <c r="D259" t="s">
        <v>47</v>
      </c>
      <c r="E259" t="s">
        <v>47</v>
      </c>
      <c r="F259" t="s">
        <v>104</v>
      </c>
      <c r="G259" t="s">
        <v>26</v>
      </c>
      <c r="H259" t="str">
        <f t="shared" si="8"/>
        <v>unbekannt</v>
      </c>
      <c r="I259" t="str" cm="1">
        <f t="array" ref="I259">_xlfn.SWITCH(A259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59" s="4">
        <f>IF(AND(B259=Werte!B259,LEFT(A259,5)=LEFT(Werte!A259,5)),Werte!C259,"not found")</f>
        <v>1</v>
      </c>
      <c r="K259" s="4">
        <f>IF(AND(B259=Werte!B259,LEFT(A259,5)=LEFT(Werte!A259,5)),Werte!D259,"not found")</f>
        <v>0.5</v>
      </c>
      <c r="L259" s="4">
        <f>IF(AND(B259=Werte!B259,LEFT(A259,5)=LEFT(Werte!A259,5)),Werte!E259,"not found")</f>
        <v>0.266666666666667</v>
      </c>
      <c r="M259" s="4">
        <f>IF(AND(B259=Werte!B259,LEFT(A259,5)=LEFT(Werte!A259,5)),Werte!F259,"not found")</f>
        <v>5.8059205976879698E-2</v>
      </c>
      <c r="N259" s="4" t="str">
        <f t="shared" si="9"/>
        <v>bote</v>
      </c>
      <c r="O259" s="4" cm="1">
        <f t="array" ref="O259">_xlfn.SWITCH(A259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59" s="4" t="str">
        <f>IF(Nodes[[#This Row],[Bezeichnung2]] = "betrueger",1,"")</f>
        <v/>
      </c>
      <c r="Q259" s="4" t="str">
        <f>IF(Nodes[[#This Row],[Bezeichnung2]] = "betrogener",2,"")</f>
        <v/>
      </c>
      <c r="R259" s="4" t="str">
        <f>IF(Nodes[[#This Row],[Bezeichnung2]] = "liebender",3,"")</f>
        <v/>
      </c>
      <c r="S259" s="4" t="str">
        <f>IF(Nodes[[#This Row],[Bezeichnung2]] = "liebende",4,"")</f>
        <v/>
      </c>
      <c r="T259" s="4" t="str">
        <f>IF(Nodes[[#This Row],[Bezeichnung2]] = "gegenspieler",5,"")</f>
        <v/>
      </c>
    </row>
    <row r="260" spans="1:20" x14ac:dyDescent="0.3">
      <c r="A260" t="s">
        <v>275</v>
      </c>
      <c r="B260" t="s">
        <v>276</v>
      </c>
      <c r="C260" t="s">
        <v>24</v>
      </c>
      <c r="D260" t="s">
        <v>47</v>
      </c>
      <c r="E260" t="s">
        <v>47</v>
      </c>
      <c r="F260" t="s">
        <v>53</v>
      </c>
      <c r="G260" t="s">
        <v>26</v>
      </c>
      <c r="H260" t="str">
        <f t="shared" si="8"/>
        <v>unbekannt</v>
      </c>
      <c r="I260" t="str" cm="1">
        <f t="array" ref="I260">_xlfn.SWITCH(A260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60" s="4">
        <f>IF(AND(B260=Werte!B260,LEFT(A260,5)=LEFT(Werte!A260,5)),Werte!C260,"not found")</f>
        <v>1</v>
      </c>
      <c r="K260" s="4">
        <f>IF(AND(B260=Werte!B260,LEFT(A260,5)=LEFT(Werte!A260,5)),Werte!D260,"not found")</f>
        <v>0</v>
      </c>
      <c r="L260" s="4">
        <f>IF(AND(B260=Werte!B260,LEFT(A260,5)=LEFT(Werte!A260,5)),Werte!E260,"not found")</f>
        <v>0.14285714285714299</v>
      </c>
      <c r="M260" s="4">
        <f>IF(AND(B260=Werte!B260,LEFT(A260,5)=LEFT(Werte!A260,5)),Werte!F260,"not found")</f>
        <v>0.52257051818489497</v>
      </c>
      <c r="N260" s="4" t="str">
        <f t="shared" si="9"/>
        <v>helfer</v>
      </c>
      <c r="O260" s="4" cm="1">
        <f t="array" ref="O260">_xlfn.SWITCH(A260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60" s="4" t="str">
        <f>IF(Nodes[[#This Row],[Bezeichnung2]] = "betrueger",1,"")</f>
        <v/>
      </c>
      <c r="Q260" s="4" t="str">
        <f>IF(Nodes[[#This Row],[Bezeichnung2]] = "betrogener",2,"")</f>
        <v/>
      </c>
      <c r="R260" s="4" t="str">
        <f>IF(Nodes[[#This Row],[Bezeichnung2]] = "liebender",3,"")</f>
        <v/>
      </c>
      <c r="S260" s="4" t="str">
        <f>IF(Nodes[[#This Row],[Bezeichnung2]] = "liebende",4,"")</f>
        <v/>
      </c>
      <c r="T260" s="4" t="str">
        <f>IF(Nodes[[#This Row],[Bezeichnung2]] = "gegenspieler",5,"")</f>
        <v/>
      </c>
    </row>
    <row r="261" spans="1:20" x14ac:dyDescent="0.3">
      <c r="A261" t="s">
        <v>277</v>
      </c>
      <c r="B261" t="s">
        <v>115</v>
      </c>
      <c r="C261" t="s">
        <v>18</v>
      </c>
      <c r="D261" t="s">
        <v>47</v>
      </c>
      <c r="E261" t="s">
        <v>47</v>
      </c>
      <c r="F261" t="s">
        <v>21</v>
      </c>
      <c r="G261" t="s">
        <v>22</v>
      </c>
      <c r="H261" t="str">
        <f t="shared" si="8"/>
        <v>unbekannt</v>
      </c>
      <c r="I261" t="str" cm="1">
        <f t="array" ref="I261">_xlfn.SWITCH(A261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61" s="4">
        <f>IF(AND(B261=Werte!B261,LEFT(A261,5)=LEFT(Werte!A261,5)),Werte!C261,"not found")</f>
        <v>0</v>
      </c>
      <c r="K261" s="4">
        <f>IF(AND(B261=Werte!B261,LEFT(A261,5)=LEFT(Werte!A261,5)),Werte!D261,"not found")</f>
        <v>0</v>
      </c>
      <c r="L261" s="4">
        <f>IF(AND(B261=Werte!B261,LEFT(A261,5)=LEFT(Werte!A261,5)),Werte!E261,"not found")</f>
        <v>0</v>
      </c>
      <c r="M261" s="4">
        <f>IF(AND(B261=Werte!B261,LEFT(A261,5)=LEFT(Werte!A261,5)),Werte!F261,"not found")</f>
        <v>0</v>
      </c>
      <c r="N261" s="4" t="str">
        <f t="shared" si="9"/>
        <v>ehemann</v>
      </c>
      <c r="O261" s="4" cm="1">
        <f t="array" ref="O261">_xlfn.SWITCH(A261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61" s="4" t="str">
        <f>IF(Nodes[[#This Row],[Bezeichnung2]] = "betrueger",1,"")</f>
        <v/>
      </c>
      <c r="Q261" s="4" t="str">
        <f>IF(Nodes[[#This Row],[Bezeichnung2]] = "betrogener",2,"")</f>
        <v/>
      </c>
      <c r="R261" s="4" t="str">
        <f>IF(Nodes[[#This Row],[Bezeichnung2]] = "liebender",3,"")</f>
        <v/>
      </c>
      <c r="S261" s="4" t="str">
        <f>IF(Nodes[[#This Row],[Bezeichnung2]] = "liebende",4,"")</f>
        <v/>
      </c>
      <c r="T261" s="4" t="str">
        <f>IF(Nodes[[#This Row],[Bezeichnung2]] = "gegenspieler",5,"")</f>
        <v/>
      </c>
    </row>
    <row r="262" spans="1:20" x14ac:dyDescent="0.3">
      <c r="A262" t="s">
        <v>277</v>
      </c>
      <c r="B262" t="s">
        <v>85</v>
      </c>
      <c r="C262" t="s">
        <v>24</v>
      </c>
      <c r="D262" t="s">
        <v>47</v>
      </c>
      <c r="E262" t="s">
        <v>47</v>
      </c>
      <c r="F262" t="s">
        <v>25</v>
      </c>
      <c r="G262" t="s">
        <v>22</v>
      </c>
      <c r="H262" t="str">
        <f t="shared" si="8"/>
        <v>unbekannt</v>
      </c>
      <c r="I262" t="str" cm="1">
        <f t="array" ref="I262">_xlfn.SWITCH(A262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262" s="4">
        <f>IF(AND(B262=Werte!B262,LEFT(A262,5)=LEFT(Werte!A262,5)),Werte!C262,"not found")</f>
        <v>0</v>
      </c>
      <c r="K262" s="4">
        <f>IF(AND(B262=Werte!B262,LEFT(A262,5)=LEFT(Werte!A262,5)),Werte!D262,"not found")</f>
        <v>0</v>
      </c>
      <c r="L262" s="4">
        <f>IF(AND(B262=Werte!B262,LEFT(A262,5)=LEFT(Werte!A262,5)),Werte!E262,"not found")</f>
        <v>0</v>
      </c>
      <c r="M262" s="4">
        <f>IF(AND(B262=Werte!B262,LEFT(A262,5)=LEFT(Werte!A262,5)),Werte!F262,"not found")</f>
        <v>0</v>
      </c>
      <c r="N262" s="4" t="str">
        <f t="shared" si="9"/>
        <v>ehefrau</v>
      </c>
      <c r="O262" s="4" cm="1">
        <f t="array" ref="O262">_xlfn.SWITCH(A262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62" s="4" t="str">
        <f>IF(Nodes[[#This Row],[Bezeichnung2]] = "betrueger",1,"")</f>
        <v/>
      </c>
      <c r="Q262" s="4" t="str">
        <f>IF(Nodes[[#This Row],[Bezeichnung2]] = "betrogener",2,"")</f>
        <v/>
      </c>
      <c r="R262" s="4" t="str">
        <f>IF(Nodes[[#This Row],[Bezeichnung2]] = "liebender",3,"")</f>
        <v/>
      </c>
      <c r="S262" s="4" t="str">
        <f>IF(Nodes[[#This Row],[Bezeichnung2]] = "liebende",4,"")</f>
        <v/>
      </c>
      <c r="T262" s="4" t="str">
        <f>IF(Nodes[[#This Row],[Bezeichnung2]] = "gegenspieler",5,"")</f>
        <v/>
      </c>
    </row>
    <row r="263" spans="1:20" x14ac:dyDescent="0.3">
      <c r="A263" t="s">
        <v>278</v>
      </c>
      <c r="B263" t="s">
        <v>279</v>
      </c>
      <c r="C263" t="s">
        <v>24</v>
      </c>
      <c r="D263" t="s">
        <v>47</v>
      </c>
      <c r="E263" t="s">
        <v>47</v>
      </c>
      <c r="F263" t="s">
        <v>87</v>
      </c>
      <c r="G263" t="s">
        <v>22</v>
      </c>
      <c r="H263" t="str">
        <f t="shared" si="8"/>
        <v>unbekannt</v>
      </c>
      <c r="I263" t="str" cm="1">
        <f t="array" ref="I263">_xlfn.SWITCH(A263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63" s="4">
        <f>IF(AND(B263=Werte!B263,LEFT(A263,5)=LEFT(Werte!A263,5)),Werte!C263,"not found")</f>
        <v>0</v>
      </c>
      <c r="K263" s="4">
        <f>IF(AND(B263=Werte!B263,LEFT(A263,5)=LEFT(Werte!A263,5)),Werte!D263,"not found")</f>
        <v>0</v>
      </c>
      <c r="L263" s="4">
        <f>IF(AND(B263=Werte!B263,LEFT(A263,5)=LEFT(Werte!A263,5)),Werte!E263,"not found")</f>
        <v>0</v>
      </c>
      <c r="M263" s="4">
        <f>IF(AND(B263=Werte!B263,LEFT(A263,5)=LEFT(Werte!A263,5)),Werte!F263,"not found")</f>
        <v>0</v>
      </c>
      <c r="N263" s="4" t="str">
        <f t="shared" si="9"/>
        <v>gegenspieler</v>
      </c>
      <c r="O263" s="4" cm="1">
        <f t="array" ref="O263">_xlfn.SWITCH(A263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263" s="4" t="str">
        <f>IF(Nodes[[#This Row],[Bezeichnung2]] = "betrueger",1,"")</f>
        <v/>
      </c>
      <c r="Q263" s="4" t="str">
        <f>IF(Nodes[[#This Row],[Bezeichnung2]] = "betrogener",2,"")</f>
        <v/>
      </c>
      <c r="R263" s="4" t="str">
        <f>IF(Nodes[[#This Row],[Bezeichnung2]] = "liebender",3,"")</f>
        <v/>
      </c>
      <c r="S263" s="4" t="str">
        <f>IF(Nodes[[#This Row],[Bezeichnung2]] = "liebende",4,"")</f>
        <v/>
      </c>
      <c r="T263" s="4">
        <f>IF(Nodes[[#This Row],[Bezeichnung2]] = "gegenspieler",5,"")</f>
        <v>5</v>
      </c>
    </row>
    <row r="264" spans="1:20" x14ac:dyDescent="0.3">
      <c r="A264" t="s">
        <v>278</v>
      </c>
      <c r="B264" t="s">
        <v>280</v>
      </c>
      <c r="C264" t="s">
        <v>19</v>
      </c>
      <c r="D264" t="s">
        <v>19</v>
      </c>
      <c r="E264" t="s">
        <v>19</v>
      </c>
      <c r="F264" t="s">
        <v>87</v>
      </c>
      <c r="G264" t="s">
        <v>22</v>
      </c>
      <c r="H264" t="str">
        <f t="shared" si="8"/>
        <v>NA</v>
      </c>
      <c r="I264" t="str" cm="1">
        <f t="array" ref="I264">_xlfn.SWITCH(A264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64" s="4">
        <f>IF(AND(B264=Werte!B264,LEFT(A264,5)=LEFT(Werte!A264,5)),Werte!C264,"not found")</f>
        <v>0</v>
      </c>
      <c r="K264" s="4">
        <f>IF(AND(B264=Werte!B264,LEFT(A264,5)=LEFT(Werte!A264,5)),Werte!D264,"not found")</f>
        <v>0</v>
      </c>
      <c r="L264" s="4">
        <f>IF(AND(B264=Werte!B264,LEFT(A264,5)=LEFT(Werte!A264,5)),Werte!E264,"not found")</f>
        <v>0</v>
      </c>
      <c r="M264" s="4">
        <f>IF(AND(B264=Werte!B264,LEFT(A264,5)=LEFT(Werte!A264,5)),Werte!F264,"not found")</f>
        <v>0</v>
      </c>
      <c r="N264" s="4" t="str">
        <f t="shared" si="9"/>
        <v>gegenspieler</v>
      </c>
      <c r="O264" s="4" cm="1">
        <f t="array" ref="O264">_xlfn.SWITCH(A264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264" s="4" t="str">
        <f>IF(Nodes[[#This Row],[Bezeichnung2]] = "betrueger",1,"")</f>
        <v/>
      </c>
      <c r="Q264" s="4" t="str">
        <f>IF(Nodes[[#This Row],[Bezeichnung2]] = "betrogener",2,"")</f>
        <v/>
      </c>
      <c r="R264" s="4" t="str">
        <f>IF(Nodes[[#This Row],[Bezeichnung2]] = "liebender",3,"")</f>
        <v/>
      </c>
      <c r="S264" s="4" t="str">
        <f>IF(Nodes[[#This Row],[Bezeichnung2]] = "liebende",4,"")</f>
        <v/>
      </c>
      <c r="T264" s="4">
        <f>IF(Nodes[[#This Row],[Bezeichnung2]] = "gegenspieler",5,"")</f>
        <v>5</v>
      </c>
    </row>
    <row r="265" spans="1:20" x14ac:dyDescent="0.3">
      <c r="A265" t="s">
        <v>278</v>
      </c>
      <c r="B265" t="s">
        <v>256</v>
      </c>
      <c r="C265" t="s">
        <v>18</v>
      </c>
      <c r="D265" t="s">
        <v>257</v>
      </c>
      <c r="E265" t="s">
        <v>47</v>
      </c>
      <c r="F265" t="s">
        <v>47</v>
      </c>
      <c r="G265" t="s">
        <v>26</v>
      </c>
      <c r="H265" t="str">
        <f t="shared" si="8"/>
        <v>buergerlich</v>
      </c>
      <c r="I265" t="str" cm="1">
        <f t="array" ref="I265">_xlfn.SWITCH(A265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65" s="4">
        <f>IF(AND(B265=Werte!B265,LEFT(A265,5)=LEFT(Werte!A265,5)),Werte!C265,"not found")</f>
        <v>0</v>
      </c>
      <c r="K265" s="4">
        <f>IF(AND(B265=Werte!B265,LEFT(A265,5)=LEFT(Werte!A265,5)),Werte!D265,"not found")</f>
        <v>0</v>
      </c>
      <c r="L265" s="4">
        <f>IF(AND(B265=Werte!B265,LEFT(A265,5)=LEFT(Werte!A265,5)),Werte!E265,"not found")</f>
        <v>0</v>
      </c>
      <c r="M265" s="4">
        <f>IF(AND(B265=Werte!B265,LEFT(A265,5)=LEFT(Werte!A265,5)),Werte!F265,"not found")</f>
        <v>0</v>
      </c>
      <c r="N265" s="4" t="str">
        <f t="shared" si="9"/>
        <v>unbekannt</v>
      </c>
      <c r="O265" s="4" cm="1">
        <f t="array" ref="O265">_xlfn.SWITCH(A265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265" s="4" t="str">
        <f>IF(Nodes[[#This Row],[Bezeichnung2]] = "betrueger",1,"")</f>
        <v/>
      </c>
      <c r="Q265" s="4" t="str">
        <f>IF(Nodes[[#This Row],[Bezeichnung2]] = "betrogener",2,"")</f>
        <v/>
      </c>
      <c r="R265" s="4" t="str">
        <f>IF(Nodes[[#This Row],[Bezeichnung2]] = "liebender",3,"")</f>
        <v/>
      </c>
      <c r="S265" s="4" t="str">
        <f>IF(Nodes[[#This Row],[Bezeichnung2]] = "liebende",4,"")</f>
        <v/>
      </c>
      <c r="T265" s="4" t="str">
        <f>IF(Nodes[[#This Row],[Bezeichnung2]] = "gegenspieler",5,"")</f>
        <v/>
      </c>
    </row>
    <row r="266" spans="1:20" x14ac:dyDescent="0.3">
      <c r="A266" t="s">
        <v>285</v>
      </c>
      <c r="B266" t="s">
        <v>286</v>
      </c>
      <c r="C266" t="s">
        <v>18</v>
      </c>
      <c r="D266" t="s">
        <v>57</v>
      </c>
      <c r="E266" t="s">
        <v>47</v>
      </c>
      <c r="F266" t="s">
        <v>47</v>
      </c>
      <c r="G266" t="s">
        <v>22</v>
      </c>
      <c r="H266" t="str">
        <f t="shared" si="8"/>
        <v>adel</v>
      </c>
      <c r="I266" t="str" cm="1">
        <f t="array" ref="I266">_xlfn.SWITCH(A266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66" s="4">
        <f>IF(AND(B266=Werte!B266,LEFT(A266,5)=LEFT(Werte!A266,5)),Werte!C266,"not found")</f>
        <v>0</v>
      </c>
      <c r="K266" s="4">
        <f>IF(AND(B266=Werte!B266,LEFT(A266,5)=LEFT(Werte!A266,5)),Werte!D266,"not found")</f>
        <v>0</v>
      </c>
      <c r="L266" s="4">
        <f>IF(AND(B266=Werte!B266,LEFT(A266,5)=LEFT(Werte!A266,5)),Werte!E266,"not found")</f>
        <v>0</v>
      </c>
      <c r="M266" s="4">
        <f>IF(AND(B266=Werte!B266,LEFT(A266,5)=LEFT(Werte!A266,5)),Werte!F266,"not found")</f>
        <v>0</v>
      </c>
      <c r="N266" s="4" t="str">
        <f t="shared" si="9"/>
        <v>unbekannt</v>
      </c>
      <c r="O266" s="4" cm="1">
        <f t="array" ref="O266">_xlfn.SWITCH(A266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266" s="4" t="str">
        <f>IF(Nodes[[#This Row],[Bezeichnung2]] = "betrueger",1,"")</f>
        <v/>
      </c>
      <c r="Q266" s="4" t="str">
        <f>IF(Nodes[[#This Row],[Bezeichnung2]] = "betrogener",2,"")</f>
        <v/>
      </c>
      <c r="R266" s="4" t="str">
        <f>IF(Nodes[[#This Row],[Bezeichnung2]] = "liebender",3,"")</f>
        <v/>
      </c>
      <c r="S266" s="4" t="str">
        <f>IF(Nodes[[#This Row],[Bezeichnung2]] = "liebende",4,"")</f>
        <v/>
      </c>
      <c r="T266" s="4" t="str">
        <f>IF(Nodes[[#This Row],[Bezeichnung2]] = "gegenspieler",5,"")</f>
        <v/>
      </c>
    </row>
    <row r="267" spans="1:20" x14ac:dyDescent="0.3">
      <c r="A267" t="s">
        <v>285</v>
      </c>
      <c r="B267" t="s">
        <v>287</v>
      </c>
      <c r="C267" t="s">
        <v>24</v>
      </c>
      <c r="D267" t="s">
        <v>19</v>
      </c>
      <c r="E267" t="s">
        <v>19</v>
      </c>
      <c r="F267" t="s">
        <v>47</v>
      </c>
      <c r="G267" t="s">
        <v>22</v>
      </c>
      <c r="H267" t="str">
        <f t="shared" si="8"/>
        <v>NA</v>
      </c>
      <c r="I267" t="str" cm="1">
        <f t="array" ref="I267">_xlfn.SWITCH(A267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67" s="4">
        <f>IF(AND(B267=Werte!B267,LEFT(A267,5)=LEFT(Werte!A267,5)),Werte!C267,"not found")</f>
        <v>0</v>
      </c>
      <c r="K267" s="4">
        <f>IF(AND(B267=Werte!B267,LEFT(A267,5)=LEFT(Werte!A267,5)),Werte!D267,"not found")</f>
        <v>0</v>
      </c>
      <c r="L267" s="4">
        <f>IF(AND(B267=Werte!B267,LEFT(A267,5)=LEFT(Werte!A267,5)),Werte!E267,"not found")</f>
        <v>0</v>
      </c>
      <c r="M267" s="4">
        <f>IF(AND(B267=Werte!B267,LEFT(A267,5)=LEFT(Werte!A267,5)),Werte!F267,"not found")</f>
        <v>0</v>
      </c>
      <c r="N267" s="4" t="str">
        <f t="shared" si="9"/>
        <v>unbekannt</v>
      </c>
      <c r="O267" s="4" cm="1">
        <f t="array" ref="O267">_xlfn.SWITCH(A267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267" s="4" t="str">
        <f>IF(Nodes[[#This Row],[Bezeichnung2]] = "betrueger",1,"")</f>
        <v/>
      </c>
      <c r="Q267" s="4" t="str">
        <f>IF(Nodes[[#This Row],[Bezeichnung2]] = "betrogener",2,"")</f>
        <v/>
      </c>
      <c r="R267" s="4" t="str">
        <f>IF(Nodes[[#This Row],[Bezeichnung2]] = "liebender",3,"")</f>
        <v/>
      </c>
      <c r="S267" s="4" t="str">
        <f>IF(Nodes[[#This Row],[Bezeichnung2]] = "liebende",4,"")</f>
        <v/>
      </c>
      <c r="T267" s="4" t="str">
        <f>IF(Nodes[[#This Row],[Bezeichnung2]] = "gegenspieler",5,"")</f>
        <v/>
      </c>
    </row>
    <row r="268" spans="1:20" x14ac:dyDescent="0.3">
      <c r="A268" t="s">
        <v>281</v>
      </c>
      <c r="B268" t="s">
        <v>282</v>
      </c>
      <c r="C268" t="s">
        <v>18</v>
      </c>
      <c r="D268" t="s">
        <v>47</v>
      </c>
      <c r="E268" t="s">
        <v>47</v>
      </c>
      <c r="F268" t="s">
        <v>96</v>
      </c>
      <c r="G268" t="s">
        <v>22</v>
      </c>
      <c r="H268" t="str">
        <f t="shared" si="8"/>
        <v>unbekannt</v>
      </c>
      <c r="I268" t="str" cm="1">
        <f t="array" ref="I268">_xlfn.SWITCH(A268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68" s="4">
        <f>IF(AND(B268=Werte!B268,LEFT(A268,5)=LEFT(Werte!A268,5)),Werte!C268,"not found")</f>
        <v>2</v>
      </c>
      <c r="K268" s="4">
        <f>IF(AND(B268=Werte!B268,LEFT(A268,5)=LEFT(Werte!A268,5)),Werte!D268,"not found")</f>
        <v>0.7</v>
      </c>
      <c r="L268" s="4">
        <f>IF(AND(B268=Werte!B268,LEFT(A268,5)=LEFT(Werte!A268,5)),Werte!E268,"not found")</f>
        <v>0.45454545454545497</v>
      </c>
      <c r="M268" s="4">
        <f>IF(AND(B268=Werte!B268,LEFT(A268,5)=LEFT(Werte!A268,5)),Werte!F268,"not found")</f>
        <v>1</v>
      </c>
      <c r="N268" s="4" t="str">
        <f t="shared" si="9"/>
        <v>betrueger</v>
      </c>
      <c r="O268" s="4" cm="1">
        <f t="array" ref="O268">_xlfn.SWITCH(A268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68" s="4">
        <f>IF(Nodes[[#This Row],[Bezeichnung2]] = "betrueger",1,"")</f>
        <v>1</v>
      </c>
      <c r="Q268" s="4" t="str">
        <f>IF(Nodes[[#This Row],[Bezeichnung2]] = "betrogener",2,"")</f>
        <v/>
      </c>
      <c r="R268" s="4" t="str">
        <f>IF(Nodes[[#This Row],[Bezeichnung2]] = "liebender",3,"")</f>
        <v/>
      </c>
      <c r="S268" s="4" t="str">
        <f>IF(Nodes[[#This Row],[Bezeichnung2]] = "liebende",4,"")</f>
        <v/>
      </c>
      <c r="T268" s="4" t="str">
        <f>IF(Nodes[[#This Row],[Bezeichnung2]] = "gegenspieler",5,"")</f>
        <v/>
      </c>
    </row>
    <row r="269" spans="1:20" x14ac:dyDescent="0.3">
      <c r="A269" t="s">
        <v>281</v>
      </c>
      <c r="B269" t="s">
        <v>283</v>
      </c>
      <c r="C269" t="s">
        <v>46</v>
      </c>
      <c r="D269" t="s">
        <v>47</v>
      </c>
      <c r="E269" t="s">
        <v>47</v>
      </c>
      <c r="F269" t="s">
        <v>47</v>
      </c>
      <c r="G269" t="s">
        <v>26</v>
      </c>
      <c r="H269" t="str">
        <f t="shared" si="8"/>
        <v>unbekannt</v>
      </c>
      <c r="I269" t="str" cm="1">
        <f t="array" ref="I269">_xlfn.SWITCH(A269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69" s="4">
        <f>IF(AND(B269=Werte!B269,LEFT(A269,5)=LEFT(Werte!A269,5)),Werte!C269,"not found")</f>
        <v>0.8</v>
      </c>
      <c r="K269" s="4">
        <f>IF(AND(B269=Werte!B269,LEFT(A269,5)=LEFT(Werte!A269,5)),Werte!D269,"not found")</f>
        <v>0</v>
      </c>
      <c r="L269" s="4">
        <f>IF(AND(B269=Werte!B269,LEFT(A269,5)=LEFT(Werte!A269,5)),Werte!E269,"not found")</f>
        <v>0.217391304347826</v>
      </c>
      <c r="M269" s="4">
        <f>IF(AND(B269=Werte!B269,LEFT(A269,5)=LEFT(Werte!A269,5)),Werte!F269,"not found")</f>
        <v>0.67150236807641095</v>
      </c>
      <c r="N269" s="4" t="str">
        <f t="shared" si="9"/>
        <v>unbekannt</v>
      </c>
      <c r="O269" s="4" cm="1">
        <f t="array" ref="O269">_xlfn.SWITCH(A269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69" s="4" t="str">
        <f>IF(Nodes[[#This Row],[Bezeichnung2]] = "betrueger",1,"")</f>
        <v/>
      </c>
      <c r="Q269" s="4" t="str">
        <f>IF(Nodes[[#This Row],[Bezeichnung2]] = "betrogener",2,"")</f>
        <v/>
      </c>
      <c r="R269" s="4" t="str">
        <f>IF(Nodes[[#This Row],[Bezeichnung2]] = "liebender",3,"")</f>
        <v/>
      </c>
      <c r="S269" s="4" t="str">
        <f>IF(Nodes[[#This Row],[Bezeichnung2]] = "liebende",4,"")</f>
        <v/>
      </c>
      <c r="T269" s="4" t="str">
        <f>IF(Nodes[[#This Row],[Bezeichnung2]] = "gegenspieler",5,"")</f>
        <v/>
      </c>
    </row>
    <row r="270" spans="1:20" x14ac:dyDescent="0.3">
      <c r="A270" t="s">
        <v>281</v>
      </c>
      <c r="B270" t="s">
        <v>152</v>
      </c>
      <c r="C270" t="s">
        <v>18</v>
      </c>
      <c r="D270" t="s">
        <v>153</v>
      </c>
      <c r="E270" t="s">
        <v>47</v>
      </c>
      <c r="F270" t="s">
        <v>47</v>
      </c>
      <c r="G270" t="s">
        <v>26</v>
      </c>
      <c r="H270" t="str">
        <f t="shared" si="8"/>
        <v>klerus</v>
      </c>
      <c r="I270" t="str" cm="1">
        <f t="array" ref="I270">_xlfn.SWITCH(A270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70" s="4">
        <f>IF(AND(B270=Werte!B270,LEFT(A270,5)=LEFT(Werte!A270,5)),Werte!C270,"not found")</f>
        <v>0.8</v>
      </c>
      <c r="K270" s="4">
        <f>IF(AND(B270=Werte!B270,LEFT(A270,5)=LEFT(Werte!A270,5)),Werte!D270,"not found")</f>
        <v>0.4</v>
      </c>
      <c r="L270" s="4">
        <f>IF(AND(B270=Werte!B270,LEFT(A270,5)=LEFT(Werte!A270,5)),Werte!E270,"not found")</f>
        <v>0.33333333333333298</v>
      </c>
      <c r="M270" s="4">
        <f>IF(AND(B270=Werte!B270,LEFT(A270,5)=LEFT(Werte!A270,5)),Werte!F270,"not found")</f>
        <v>0.29570716340551501</v>
      </c>
      <c r="N270" s="4" t="str">
        <f t="shared" si="9"/>
        <v>unbekannt</v>
      </c>
      <c r="O270" s="4" cm="1">
        <f t="array" ref="O270">_xlfn.SWITCH(A270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70" s="4" t="str">
        <f>IF(Nodes[[#This Row],[Bezeichnung2]] = "betrueger",1,"")</f>
        <v/>
      </c>
      <c r="Q270" s="4" t="str">
        <f>IF(Nodes[[#This Row],[Bezeichnung2]] = "betrogener",2,"")</f>
        <v/>
      </c>
      <c r="R270" s="4" t="str">
        <f>IF(Nodes[[#This Row],[Bezeichnung2]] = "liebender",3,"")</f>
        <v/>
      </c>
      <c r="S270" s="4" t="str">
        <f>IF(Nodes[[#This Row],[Bezeichnung2]] = "liebende",4,"")</f>
        <v/>
      </c>
      <c r="T270" s="4" t="str">
        <f>IF(Nodes[[#This Row],[Bezeichnung2]] = "gegenspieler",5,"")</f>
        <v/>
      </c>
    </row>
    <row r="271" spans="1:20" x14ac:dyDescent="0.3">
      <c r="A271" t="s">
        <v>281</v>
      </c>
      <c r="B271" t="s">
        <v>241</v>
      </c>
      <c r="C271" t="s">
        <v>24</v>
      </c>
      <c r="D271" t="s">
        <v>47</v>
      </c>
      <c r="E271" t="s">
        <v>47</v>
      </c>
      <c r="F271" t="s">
        <v>53</v>
      </c>
      <c r="G271" t="s">
        <v>26</v>
      </c>
      <c r="H271" t="str">
        <f t="shared" si="8"/>
        <v>unbekannt</v>
      </c>
      <c r="I271" t="str" cm="1">
        <f t="array" ref="I271">_xlfn.SWITCH(A271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71" s="4">
        <f>IF(AND(B271=Werte!B271,LEFT(A271,5)=LEFT(Werte!A271,5)),Werte!C271,"not found")</f>
        <v>1.2</v>
      </c>
      <c r="K271" s="4">
        <f>IF(AND(B271=Werte!B271,LEFT(A271,5)=LEFT(Werte!A271,5)),Werte!D271,"not found")</f>
        <v>0</v>
      </c>
      <c r="L271" s="4">
        <f>IF(AND(B271=Werte!B271,LEFT(A271,5)=LEFT(Werte!A271,5)),Werte!E271,"not found")</f>
        <v>0.3125</v>
      </c>
      <c r="M271" s="4">
        <f>IF(AND(B271=Werte!B271,LEFT(A271,5)=LEFT(Werte!A271,5)),Werte!F271,"not found")</f>
        <v>0.73116852160074197</v>
      </c>
      <c r="N271" s="4" t="str">
        <f t="shared" si="9"/>
        <v>helfer</v>
      </c>
      <c r="O271" s="4" cm="1">
        <f t="array" ref="O271">_xlfn.SWITCH(A271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71" s="4" t="str">
        <f>IF(Nodes[[#This Row],[Bezeichnung2]] = "betrueger",1,"")</f>
        <v/>
      </c>
      <c r="Q271" s="4" t="str">
        <f>IF(Nodes[[#This Row],[Bezeichnung2]] = "betrogener",2,"")</f>
        <v/>
      </c>
      <c r="R271" s="4" t="str">
        <f>IF(Nodes[[#This Row],[Bezeichnung2]] = "liebender",3,"")</f>
        <v/>
      </c>
      <c r="S271" s="4" t="str">
        <f>IF(Nodes[[#This Row],[Bezeichnung2]] = "liebende",4,"")</f>
        <v/>
      </c>
      <c r="T271" s="4" t="str">
        <f>IF(Nodes[[#This Row],[Bezeichnung2]] = "gegenspieler",5,"")</f>
        <v/>
      </c>
    </row>
    <row r="272" spans="1:20" x14ac:dyDescent="0.3">
      <c r="A272" t="s">
        <v>281</v>
      </c>
      <c r="B272" t="s">
        <v>284</v>
      </c>
      <c r="C272" t="s">
        <v>18</v>
      </c>
      <c r="D272" t="s">
        <v>269</v>
      </c>
      <c r="E272" t="s">
        <v>47</v>
      </c>
      <c r="F272" t="s">
        <v>147</v>
      </c>
      <c r="G272" t="s">
        <v>26</v>
      </c>
      <c r="H272" t="str">
        <f t="shared" si="8"/>
        <v>unbekannt</v>
      </c>
      <c r="I272" t="str" cm="1">
        <f t="array" ref="I272">_xlfn.SWITCH(A272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72" s="4">
        <f>IF(AND(B272=Werte!B272,LEFT(A272,5)=LEFT(Werte!A272,5)),Werte!C272,"not found")</f>
        <v>0.8</v>
      </c>
      <c r="K272" s="4">
        <f>IF(AND(B272=Werte!B272,LEFT(A272,5)=LEFT(Werte!A272,5)),Werte!D272,"not found")</f>
        <v>0.3</v>
      </c>
      <c r="L272" s="4">
        <f>IF(AND(B272=Werte!B272,LEFT(A272,5)=LEFT(Werte!A272,5)),Werte!E272,"not found")</f>
        <v>0.38461538461538503</v>
      </c>
      <c r="M272" s="4">
        <f>IF(AND(B272=Werte!B272,LEFT(A272,5)=LEFT(Werte!A272,5)),Werte!F272,"not found")</f>
        <v>0.15313138128802001</v>
      </c>
      <c r="N272" s="4" t="str">
        <f t="shared" si="9"/>
        <v>begleiter</v>
      </c>
      <c r="O272" s="4" cm="1">
        <f t="array" ref="O272">_xlfn.SWITCH(A272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72" s="4" t="str">
        <f>IF(Nodes[[#This Row],[Bezeichnung2]] = "betrueger",1,"")</f>
        <v/>
      </c>
      <c r="Q272" s="4" t="str">
        <f>IF(Nodes[[#This Row],[Bezeichnung2]] = "betrogener",2,"")</f>
        <v/>
      </c>
      <c r="R272" s="4" t="str">
        <f>IF(Nodes[[#This Row],[Bezeichnung2]] = "liebender",3,"")</f>
        <v/>
      </c>
      <c r="S272" s="4" t="str">
        <f>IF(Nodes[[#This Row],[Bezeichnung2]] = "liebende",4,"")</f>
        <v/>
      </c>
      <c r="T272" s="4" t="str">
        <f>IF(Nodes[[#This Row],[Bezeichnung2]] = "gegenspieler",5,"")</f>
        <v/>
      </c>
    </row>
    <row r="273" spans="1:20" x14ac:dyDescent="0.3">
      <c r="A273" t="s">
        <v>281</v>
      </c>
      <c r="B273" t="s">
        <v>242</v>
      </c>
      <c r="C273" t="s">
        <v>24</v>
      </c>
      <c r="D273" t="s">
        <v>47</v>
      </c>
      <c r="E273" t="s">
        <v>47</v>
      </c>
      <c r="F273" t="s">
        <v>47</v>
      </c>
      <c r="G273" t="s">
        <v>26</v>
      </c>
      <c r="H273" t="str">
        <f t="shared" si="8"/>
        <v>unbekannt</v>
      </c>
      <c r="I273" t="str" cm="1">
        <f t="array" ref="I273">_xlfn.SWITCH(A273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73" s="4">
        <f>IF(AND(B273=Werte!B273,LEFT(A273,5)=LEFT(Werte!A273,5)),Werte!C273,"not found")</f>
        <v>0.8</v>
      </c>
      <c r="K273" s="4">
        <f>IF(AND(B273=Werte!B273,LEFT(A273,5)=LEFT(Werte!A273,5)),Werte!D273,"not found")</f>
        <v>0</v>
      </c>
      <c r="L273" s="4">
        <f>IF(AND(B273=Werte!B273,LEFT(A273,5)=LEFT(Werte!A273,5)),Werte!E273,"not found")</f>
        <v>0.27777777777777801</v>
      </c>
      <c r="M273" s="4">
        <f>IF(AND(B273=Werte!B273,LEFT(A273,5)=LEFT(Werte!A273,5)),Werte!F273,"not found")</f>
        <v>0.37093864148094902</v>
      </c>
      <c r="N273" s="4" t="str">
        <f t="shared" si="9"/>
        <v>unbekannt</v>
      </c>
      <c r="O273" s="4" cm="1">
        <f t="array" ref="O273">_xlfn.SWITCH(A273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73" s="4" t="str">
        <f>IF(Nodes[[#This Row],[Bezeichnung2]] = "betrueger",1,"")</f>
        <v/>
      </c>
      <c r="Q273" s="4" t="str">
        <f>IF(Nodes[[#This Row],[Bezeichnung2]] = "betrogener",2,"")</f>
        <v/>
      </c>
      <c r="R273" s="4" t="str">
        <f>IF(Nodes[[#This Row],[Bezeichnung2]] = "liebender",3,"")</f>
        <v/>
      </c>
      <c r="S273" s="4" t="str">
        <f>IF(Nodes[[#This Row],[Bezeichnung2]] = "liebende",4,"")</f>
        <v/>
      </c>
      <c r="T273" s="4" t="str">
        <f>IF(Nodes[[#This Row],[Bezeichnung2]] = "gegenspieler",5,"")</f>
        <v/>
      </c>
    </row>
    <row r="274" spans="1:20" x14ac:dyDescent="0.3">
      <c r="A274" t="s">
        <v>288</v>
      </c>
      <c r="B274" t="s">
        <v>123</v>
      </c>
      <c r="C274" t="s">
        <v>46</v>
      </c>
      <c r="D274" t="s">
        <v>108</v>
      </c>
      <c r="E274" t="s">
        <v>47</v>
      </c>
      <c r="F274" t="s">
        <v>96</v>
      </c>
      <c r="G274" t="s">
        <v>22</v>
      </c>
      <c r="H274" t="str">
        <f t="shared" si="8"/>
        <v>buergerlich</v>
      </c>
      <c r="I274" t="str" cm="1">
        <f t="array" ref="I274">_xlfn.SWITCH(A274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74" s="4">
        <f>IF(AND(B274=Werte!B274,LEFT(A274,5)=LEFT(Werte!A274,5)),Werte!C274,"not found")</f>
        <v>1.6923076923076901</v>
      </c>
      <c r="K274" s="4">
        <f>IF(AND(B274=Werte!B274,LEFT(A274,5)=LEFT(Werte!A274,5)),Werte!D274,"not found")</f>
        <v>0.354700854700855</v>
      </c>
      <c r="L274" s="4">
        <f>IF(AND(B274=Werte!B274,LEFT(A274,5)=LEFT(Werte!A274,5)),Werte!E274,"not found")</f>
        <v>0.29545454545454503</v>
      </c>
      <c r="M274" s="4">
        <f>IF(AND(B274=Werte!B274,LEFT(A274,5)=LEFT(Werte!A274,5)),Werte!F274,"not found")</f>
        <v>1</v>
      </c>
      <c r="N274" s="4" t="str">
        <f t="shared" si="9"/>
        <v>betrueger</v>
      </c>
      <c r="O274" s="4" cm="1">
        <f t="array" ref="O274">_xlfn.SWITCH(A274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74" s="4">
        <f>IF(Nodes[[#This Row],[Bezeichnung2]] = "betrueger",1,"")</f>
        <v>1</v>
      </c>
      <c r="Q274" s="4" t="str">
        <f>IF(Nodes[[#This Row],[Bezeichnung2]] = "betrogener",2,"")</f>
        <v/>
      </c>
      <c r="R274" s="4" t="str">
        <f>IF(Nodes[[#This Row],[Bezeichnung2]] = "liebender",3,"")</f>
        <v/>
      </c>
      <c r="S274" s="4" t="str">
        <f>IF(Nodes[[#This Row],[Bezeichnung2]] = "liebende",4,"")</f>
        <v/>
      </c>
      <c r="T274" s="4" t="str">
        <f>IF(Nodes[[#This Row],[Bezeichnung2]] = "gegenspieler",5,"")</f>
        <v/>
      </c>
    </row>
    <row r="275" spans="1:20" x14ac:dyDescent="0.3">
      <c r="A275" t="s">
        <v>288</v>
      </c>
      <c r="B275" t="s">
        <v>100</v>
      </c>
      <c r="C275" t="s">
        <v>18</v>
      </c>
      <c r="D275" t="s">
        <v>101</v>
      </c>
      <c r="E275" t="s">
        <v>47</v>
      </c>
      <c r="F275" t="s">
        <v>47</v>
      </c>
      <c r="G275" t="s">
        <v>26</v>
      </c>
      <c r="H275" t="str">
        <f t="shared" si="8"/>
        <v>buergerlich</v>
      </c>
      <c r="I275" t="str" cm="1">
        <f t="array" ref="I275">_xlfn.SWITCH(A275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75" s="4">
        <f>IF(AND(B275=Werte!B275,LEFT(A275,5)=LEFT(Werte!A275,5)),Werte!C275,"not found")</f>
        <v>0.46153846153846201</v>
      </c>
      <c r="K275" s="4">
        <f>IF(AND(B275=Werte!B275,LEFT(A275,5)=LEFT(Werte!A275,5)),Werte!D275,"not found")</f>
        <v>0</v>
      </c>
      <c r="L275" s="4">
        <f>IF(AND(B275=Werte!B275,LEFT(A275,5)=LEFT(Werte!A275,5)),Werte!E275,"not found")</f>
        <v>0.22807017543859601</v>
      </c>
      <c r="M275" s="4">
        <f>IF(AND(B275=Werte!B275,LEFT(A275,5)=LEFT(Werte!A275,5)),Werte!F275,"not found")</f>
        <v>0.171088408347843</v>
      </c>
      <c r="N275" s="4" t="str">
        <f t="shared" si="9"/>
        <v>unbekannt</v>
      </c>
      <c r="O275" s="4" cm="1">
        <f t="array" ref="O275">_xlfn.SWITCH(A275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75" s="4" t="str">
        <f>IF(Nodes[[#This Row],[Bezeichnung2]] = "betrueger",1,"")</f>
        <v/>
      </c>
      <c r="Q275" s="4" t="str">
        <f>IF(Nodes[[#This Row],[Bezeichnung2]] = "betrogener",2,"")</f>
        <v/>
      </c>
      <c r="R275" s="4" t="str">
        <f>IF(Nodes[[#This Row],[Bezeichnung2]] = "liebender",3,"")</f>
        <v/>
      </c>
      <c r="S275" s="4" t="str">
        <f>IF(Nodes[[#This Row],[Bezeichnung2]] = "liebende",4,"")</f>
        <v/>
      </c>
      <c r="T275" s="4" t="str">
        <f>IF(Nodes[[#This Row],[Bezeichnung2]] = "gegenspieler",5,"")</f>
        <v/>
      </c>
    </row>
    <row r="276" spans="1:20" x14ac:dyDescent="0.3">
      <c r="A276" t="s">
        <v>288</v>
      </c>
      <c r="B276" t="s">
        <v>289</v>
      </c>
      <c r="C276" t="s">
        <v>18</v>
      </c>
      <c r="D276" t="s">
        <v>108</v>
      </c>
      <c r="E276" t="s">
        <v>47</v>
      </c>
      <c r="F276" t="s">
        <v>47</v>
      </c>
      <c r="G276" t="s">
        <v>26</v>
      </c>
      <c r="H276" t="str">
        <f t="shared" si="8"/>
        <v>buergerlich</v>
      </c>
      <c r="I276" t="str" cm="1">
        <f t="array" ref="I276">_xlfn.SWITCH(A276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76" s="4">
        <f>IF(AND(B276=Werte!B276,LEFT(A276,5)=LEFT(Werte!A276,5)),Werte!C276,"not found")</f>
        <v>0.76923076923076905</v>
      </c>
      <c r="K276" s="4">
        <f>IF(AND(B276=Werte!B276,LEFT(A276,5)=LEFT(Werte!A276,5)),Werte!D276,"not found")</f>
        <v>2.6068376068376101E-2</v>
      </c>
      <c r="L276" s="4">
        <f>IF(AND(B276=Werte!B276,LEFT(A276,5)=LEFT(Werte!A276,5)),Werte!E276,"not found")</f>
        <v>0.245283018867925</v>
      </c>
      <c r="M276" s="4">
        <f>IF(AND(B276=Werte!B276,LEFT(A276,5)=LEFT(Werte!A276,5)),Werte!F276,"not found")</f>
        <v>0.53880985936399495</v>
      </c>
      <c r="N276" s="4" t="str">
        <f t="shared" si="9"/>
        <v>unbekannt</v>
      </c>
      <c r="O276" s="4" cm="1">
        <f t="array" ref="O276">_xlfn.SWITCH(A276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76" s="4" t="str">
        <f>IF(Nodes[[#This Row],[Bezeichnung2]] = "betrueger",1,"")</f>
        <v/>
      </c>
      <c r="Q276" s="4" t="str">
        <f>IF(Nodes[[#This Row],[Bezeichnung2]] = "betrogener",2,"")</f>
        <v/>
      </c>
      <c r="R276" s="4" t="str">
        <f>IF(Nodes[[#This Row],[Bezeichnung2]] = "liebender",3,"")</f>
        <v/>
      </c>
      <c r="S276" s="4" t="str">
        <f>IF(Nodes[[#This Row],[Bezeichnung2]] = "liebende",4,"")</f>
        <v/>
      </c>
      <c r="T276" s="4" t="str">
        <f>IF(Nodes[[#This Row],[Bezeichnung2]] = "gegenspieler",5,"")</f>
        <v/>
      </c>
    </row>
    <row r="277" spans="1:20" x14ac:dyDescent="0.3">
      <c r="A277" t="s">
        <v>288</v>
      </c>
      <c r="B277" t="s">
        <v>290</v>
      </c>
      <c r="C277" t="s">
        <v>18</v>
      </c>
      <c r="D277" t="s">
        <v>108</v>
      </c>
      <c r="E277" t="s">
        <v>47</v>
      </c>
      <c r="F277" t="s">
        <v>47</v>
      </c>
      <c r="G277" t="s">
        <v>26</v>
      </c>
      <c r="H277" t="str">
        <f t="shared" si="8"/>
        <v>buergerlich</v>
      </c>
      <c r="I277" t="str" cm="1">
        <f t="array" ref="I277">_xlfn.SWITCH(A277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77" s="4">
        <f>IF(AND(B277=Werte!B277,LEFT(A277,5)=LEFT(Werte!A277,5)),Werte!C277,"not found")</f>
        <v>0.92307692307692302</v>
      </c>
      <c r="K277" s="4">
        <f>IF(AND(B277=Werte!B277,LEFT(A277,5)=LEFT(Werte!A277,5)),Werte!D277,"not found")</f>
        <v>4.6153846153846101E-2</v>
      </c>
      <c r="L277" s="4">
        <f>IF(AND(B277=Werte!B277,LEFT(A277,5)=LEFT(Werte!A277,5)),Werte!E277,"not found")</f>
        <v>0.25490196078431399</v>
      </c>
      <c r="M277" s="4">
        <f>IF(AND(B277=Werte!B277,LEFT(A277,5)=LEFT(Werte!A277,5)),Werte!F277,"not found")</f>
        <v>0.442325029869159</v>
      </c>
      <c r="N277" s="4" t="str">
        <f t="shared" si="9"/>
        <v>unbekannt</v>
      </c>
      <c r="O277" s="4" cm="1">
        <f t="array" ref="O277">_xlfn.SWITCH(A277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77" s="4" t="str">
        <f>IF(Nodes[[#This Row],[Bezeichnung2]] = "betrueger",1,"")</f>
        <v/>
      </c>
      <c r="Q277" s="4" t="str">
        <f>IF(Nodes[[#This Row],[Bezeichnung2]] = "betrogener",2,"")</f>
        <v/>
      </c>
      <c r="R277" s="4" t="str">
        <f>IF(Nodes[[#This Row],[Bezeichnung2]] = "liebender",3,"")</f>
        <v/>
      </c>
      <c r="S277" s="4" t="str">
        <f>IF(Nodes[[#This Row],[Bezeichnung2]] = "liebende",4,"")</f>
        <v/>
      </c>
      <c r="T277" s="4" t="str">
        <f>IF(Nodes[[#This Row],[Bezeichnung2]] = "gegenspieler",5,"")</f>
        <v/>
      </c>
    </row>
    <row r="278" spans="1:20" x14ac:dyDescent="0.3">
      <c r="A278" t="s">
        <v>288</v>
      </c>
      <c r="B278" t="s">
        <v>291</v>
      </c>
      <c r="C278" t="s">
        <v>18</v>
      </c>
      <c r="D278" t="s">
        <v>126</v>
      </c>
      <c r="E278" t="s">
        <v>47</v>
      </c>
      <c r="F278" t="s">
        <v>47</v>
      </c>
      <c r="G278" t="s">
        <v>26</v>
      </c>
      <c r="H278" t="str">
        <f t="shared" si="8"/>
        <v>buergerlich</v>
      </c>
      <c r="I278" t="str" cm="1">
        <f t="array" ref="I278">_xlfn.SWITCH(A278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78" s="4">
        <f>IF(AND(B278=Werte!B278,LEFT(A278,5)=LEFT(Werte!A278,5)),Werte!C278,"not found")</f>
        <v>0.76923076923076905</v>
      </c>
      <c r="K278" s="4">
        <f>IF(AND(B278=Werte!B278,LEFT(A278,5)=LEFT(Werte!A278,5)),Werte!D278,"not found")</f>
        <v>6.7307692307692304E-2</v>
      </c>
      <c r="L278" s="4">
        <f>IF(AND(B278=Werte!B278,LEFT(A278,5)=LEFT(Werte!A278,5)),Werte!E278,"not found")</f>
        <v>0.26</v>
      </c>
      <c r="M278" s="4">
        <f>IF(AND(B278=Werte!B278,LEFT(A278,5)=LEFT(Werte!A278,5)),Werte!F278,"not found")</f>
        <v>0.33076300976294698</v>
      </c>
      <c r="N278" s="4" t="str">
        <f t="shared" si="9"/>
        <v>unbekannt</v>
      </c>
      <c r="O278" s="4" cm="1">
        <f t="array" ref="O278">_xlfn.SWITCH(A278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78" s="4" t="str">
        <f>IF(Nodes[[#This Row],[Bezeichnung2]] = "betrueger",1,"")</f>
        <v/>
      </c>
      <c r="Q278" s="4" t="str">
        <f>IF(Nodes[[#This Row],[Bezeichnung2]] = "betrogener",2,"")</f>
        <v/>
      </c>
      <c r="R278" s="4" t="str">
        <f>IF(Nodes[[#This Row],[Bezeichnung2]] = "liebender",3,"")</f>
        <v/>
      </c>
      <c r="S278" s="4" t="str">
        <f>IF(Nodes[[#This Row],[Bezeichnung2]] = "liebende",4,"")</f>
        <v/>
      </c>
      <c r="T278" s="4" t="str">
        <f>IF(Nodes[[#This Row],[Bezeichnung2]] = "gegenspieler",5,"")</f>
        <v/>
      </c>
    </row>
    <row r="279" spans="1:20" x14ac:dyDescent="0.3">
      <c r="A279" t="s">
        <v>288</v>
      </c>
      <c r="B279" t="s">
        <v>292</v>
      </c>
      <c r="C279" t="s">
        <v>18</v>
      </c>
      <c r="D279" t="s">
        <v>108</v>
      </c>
      <c r="E279" t="s">
        <v>47</v>
      </c>
      <c r="F279" t="s">
        <v>47</v>
      </c>
      <c r="G279" t="s">
        <v>26</v>
      </c>
      <c r="H279" t="str">
        <f t="shared" si="8"/>
        <v>buergerlich</v>
      </c>
      <c r="I279" t="str" cm="1">
        <f t="array" ref="I279">_xlfn.SWITCH(A279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79" s="4">
        <f>IF(AND(B279=Werte!B279,LEFT(A279,5)=LEFT(Werte!A279,5)),Werte!C279,"not found")</f>
        <v>0.30769230769230799</v>
      </c>
      <c r="K279" s="4">
        <f>IF(AND(B279=Werte!B279,LEFT(A279,5)=LEFT(Werte!A279,5)),Werte!D279,"not found")</f>
        <v>4.48717948717949E-2</v>
      </c>
      <c r="L279" s="4">
        <f>IF(AND(B279=Werte!B279,LEFT(A279,5)=LEFT(Werte!A279,5)),Werte!E279,"not found")</f>
        <v>0.25490196078431399</v>
      </c>
      <c r="M279" s="4">
        <f>IF(AND(B279=Werte!B279,LEFT(A279,5)=LEFT(Werte!A279,5)),Werte!F279,"not found")</f>
        <v>9.2309779935597094E-2</v>
      </c>
      <c r="N279" s="4" t="str">
        <f t="shared" si="9"/>
        <v>unbekannt</v>
      </c>
      <c r="O279" s="4" cm="1">
        <f t="array" ref="O279">_xlfn.SWITCH(A279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79" s="4" t="str">
        <f>IF(Nodes[[#This Row],[Bezeichnung2]] = "betrueger",1,"")</f>
        <v/>
      </c>
      <c r="Q279" s="4" t="str">
        <f>IF(Nodes[[#This Row],[Bezeichnung2]] = "betrogener",2,"")</f>
        <v/>
      </c>
      <c r="R279" s="4" t="str">
        <f>IF(Nodes[[#This Row],[Bezeichnung2]] = "liebender",3,"")</f>
        <v/>
      </c>
      <c r="S279" s="4" t="str">
        <f>IF(Nodes[[#This Row],[Bezeichnung2]] = "liebende",4,"")</f>
        <v/>
      </c>
      <c r="T279" s="4" t="str">
        <f>IF(Nodes[[#This Row],[Bezeichnung2]] = "gegenspieler",5,"")</f>
        <v/>
      </c>
    </row>
    <row r="280" spans="1:20" x14ac:dyDescent="0.3">
      <c r="A280" t="s">
        <v>288</v>
      </c>
      <c r="B280" t="s">
        <v>293</v>
      </c>
      <c r="C280" t="s">
        <v>18</v>
      </c>
      <c r="D280" t="s">
        <v>108</v>
      </c>
      <c r="E280" t="s">
        <v>47</v>
      </c>
      <c r="F280" t="s">
        <v>47</v>
      </c>
      <c r="G280" t="s">
        <v>26</v>
      </c>
      <c r="H280" t="str">
        <f t="shared" si="8"/>
        <v>buergerlich</v>
      </c>
      <c r="I280" t="str" cm="1">
        <f t="array" ref="I280">_xlfn.SWITCH(A280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80" s="4">
        <f>IF(AND(B280=Werte!B280,LEFT(A280,5)=LEFT(Werte!A280,5)),Werte!C280,"not found")</f>
        <v>0.15384615384615399</v>
      </c>
      <c r="K280" s="4">
        <f>IF(AND(B280=Werte!B280,LEFT(A280,5)=LEFT(Werte!A280,5)),Werte!D280,"not found")</f>
        <v>0</v>
      </c>
      <c r="L280" s="4">
        <f>IF(AND(B280=Werte!B280,LEFT(A280,5)=LEFT(Werte!A280,5)),Werte!E280,"not found")</f>
        <v>7.69230769230769E-2</v>
      </c>
      <c r="M280" s="4">
        <f>IF(AND(B280=Werte!B280,LEFT(A280,5)=LEFT(Werte!A280,5)),Werte!F280,"not found")</f>
        <v>4.0528826699823401E-17</v>
      </c>
      <c r="N280" s="4" t="str">
        <f t="shared" si="9"/>
        <v>unbekannt</v>
      </c>
      <c r="O280" s="4" cm="1">
        <f t="array" ref="O280">_xlfn.SWITCH(A280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80" s="4" t="str">
        <f>IF(Nodes[[#This Row],[Bezeichnung2]] = "betrueger",1,"")</f>
        <v/>
      </c>
      <c r="Q280" s="4" t="str">
        <f>IF(Nodes[[#This Row],[Bezeichnung2]] = "betrogener",2,"")</f>
        <v/>
      </c>
      <c r="R280" s="4" t="str">
        <f>IF(Nodes[[#This Row],[Bezeichnung2]] = "liebender",3,"")</f>
        <v/>
      </c>
      <c r="S280" s="4" t="str">
        <f>IF(Nodes[[#This Row],[Bezeichnung2]] = "liebende",4,"")</f>
        <v/>
      </c>
      <c r="T280" s="4" t="str">
        <f>IF(Nodes[[#This Row],[Bezeichnung2]] = "gegenspieler",5,"")</f>
        <v/>
      </c>
    </row>
    <row r="281" spans="1:20" x14ac:dyDescent="0.3">
      <c r="A281" t="s">
        <v>288</v>
      </c>
      <c r="B281" t="s">
        <v>294</v>
      </c>
      <c r="C281" t="s">
        <v>46</v>
      </c>
      <c r="D281" t="s">
        <v>108</v>
      </c>
      <c r="E281" t="s">
        <v>47</v>
      </c>
      <c r="F281" t="s">
        <v>47</v>
      </c>
      <c r="G281" t="s">
        <v>26</v>
      </c>
      <c r="H281" t="str">
        <f t="shared" si="8"/>
        <v>buergerlich</v>
      </c>
      <c r="I281" t="str" cm="1">
        <f t="array" ref="I281">_xlfn.SWITCH(A281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81" s="4">
        <f>IF(AND(B281=Werte!B281,LEFT(A281,5)=LEFT(Werte!A281,5)),Werte!C281,"not found")</f>
        <v>0.15384615384615399</v>
      </c>
      <c r="K281" s="4">
        <f>IF(AND(B281=Werte!B281,LEFT(A281,5)=LEFT(Werte!A281,5)),Werte!D281,"not found")</f>
        <v>0</v>
      </c>
      <c r="L281" s="4">
        <f>IF(AND(B281=Werte!B281,LEFT(A281,5)=LEFT(Werte!A281,5)),Werte!E281,"not found")</f>
        <v>7.69230769230769E-2</v>
      </c>
      <c r="M281" s="4">
        <f>IF(AND(B281=Werte!B281,LEFT(A281,5)=LEFT(Werte!A281,5)),Werte!F281,"not found")</f>
        <v>4.5273225956579E-17</v>
      </c>
      <c r="N281" s="4" t="str">
        <f t="shared" si="9"/>
        <v>unbekannt</v>
      </c>
      <c r="O281" s="4" cm="1">
        <f t="array" ref="O281">_xlfn.SWITCH(A281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81" s="4" t="str">
        <f>IF(Nodes[[#This Row],[Bezeichnung2]] = "betrueger",1,"")</f>
        <v/>
      </c>
      <c r="Q281" s="4" t="str">
        <f>IF(Nodes[[#This Row],[Bezeichnung2]] = "betrogener",2,"")</f>
        <v/>
      </c>
      <c r="R281" s="4" t="str">
        <f>IF(Nodes[[#This Row],[Bezeichnung2]] = "liebender",3,"")</f>
        <v/>
      </c>
      <c r="S281" s="4" t="str">
        <f>IF(Nodes[[#This Row],[Bezeichnung2]] = "liebende",4,"")</f>
        <v/>
      </c>
      <c r="T281" s="4" t="str">
        <f>IF(Nodes[[#This Row],[Bezeichnung2]] = "gegenspieler",5,"")</f>
        <v/>
      </c>
    </row>
    <row r="282" spans="1:20" x14ac:dyDescent="0.3">
      <c r="A282" t="s">
        <v>288</v>
      </c>
      <c r="B282" t="s">
        <v>295</v>
      </c>
      <c r="C282" t="s">
        <v>18</v>
      </c>
      <c r="D282" t="s">
        <v>108</v>
      </c>
      <c r="E282" t="s">
        <v>47</v>
      </c>
      <c r="F282" t="s">
        <v>93</v>
      </c>
      <c r="G282" t="s">
        <v>22</v>
      </c>
      <c r="H282" t="str">
        <f t="shared" si="8"/>
        <v>buergerlich</v>
      </c>
      <c r="I282" t="str" cm="1">
        <f t="array" ref="I282">_xlfn.SWITCH(A282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82" s="4">
        <f>IF(AND(B282=Werte!B282,LEFT(A282,5)=LEFT(Werte!A282,5)),Werte!C282,"not found")</f>
        <v>1.07692307692308</v>
      </c>
      <c r="K282" s="4">
        <f>IF(AND(B282=Werte!B282,LEFT(A282,5)=LEFT(Werte!A282,5)),Werte!D282,"not found")</f>
        <v>6.41025641025641E-3</v>
      </c>
      <c r="L282" s="4">
        <f>IF(AND(B282=Werte!B282,LEFT(A282,5)=LEFT(Werte!A282,5)),Werte!E282,"not found")</f>
        <v>0.25</v>
      </c>
      <c r="M282" s="4">
        <f>IF(AND(B282=Werte!B282,LEFT(A282,5)=LEFT(Werte!A282,5)),Werte!F282,"not found")</f>
        <v>0.83713576155104497</v>
      </c>
      <c r="N282" s="4" t="str">
        <f t="shared" si="9"/>
        <v>betrogener</v>
      </c>
      <c r="O282" s="4" cm="1">
        <f t="array" ref="O282">_xlfn.SWITCH(A282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82" s="4" t="str">
        <f>IF(Nodes[[#This Row],[Bezeichnung2]] = "betrueger",1,"")</f>
        <v/>
      </c>
      <c r="Q282" s="4">
        <f>IF(Nodes[[#This Row],[Bezeichnung2]] = "betrogener",2,"")</f>
        <v>2</v>
      </c>
      <c r="R282" s="4" t="str">
        <f>IF(Nodes[[#This Row],[Bezeichnung2]] = "liebender",3,"")</f>
        <v/>
      </c>
      <c r="S282" s="4" t="str">
        <f>IF(Nodes[[#This Row],[Bezeichnung2]] = "liebende",4,"")</f>
        <v/>
      </c>
      <c r="T282" s="4" t="str">
        <f>IF(Nodes[[#This Row],[Bezeichnung2]] = "gegenspieler",5,"")</f>
        <v/>
      </c>
    </row>
    <row r="283" spans="1:20" x14ac:dyDescent="0.3">
      <c r="A283" t="s">
        <v>288</v>
      </c>
      <c r="B283" t="s">
        <v>296</v>
      </c>
      <c r="C283" t="s">
        <v>18</v>
      </c>
      <c r="D283" t="s">
        <v>108</v>
      </c>
      <c r="E283" t="s">
        <v>47</v>
      </c>
      <c r="F283" t="s">
        <v>47</v>
      </c>
      <c r="G283" t="s">
        <v>26</v>
      </c>
      <c r="H283" t="str">
        <f t="shared" si="8"/>
        <v>buergerlich</v>
      </c>
      <c r="I283" t="str" cm="1">
        <f t="array" ref="I283">_xlfn.SWITCH(A283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83" s="4">
        <f>IF(AND(B283=Werte!B283,LEFT(A283,5)=LEFT(Werte!A283,5)),Werte!C283,"not found")</f>
        <v>0.61538461538461497</v>
      </c>
      <c r="K283" s="4">
        <f>IF(AND(B283=Werte!B283,LEFT(A283,5)=LEFT(Werte!A283,5)),Werte!D283,"not found")</f>
        <v>4.6367521367521397E-2</v>
      </c>
      <c r="L283" s="4">
        <f>IF(AND(B283=Werte!B283,LEFT(A283,5)=LEFT(Werte!A283,5)),Werte!E283,"not found")</f>
        <v>0.27083333333333298</v>
      </c>
      <c r="M283" s="4">
        <f>IF(AND(B283=Werte!B283,LEFT(A283,5)=LEFT(Werte!A283,5)),Werte!F283,"not found")</f>
        <v>0.145465960922014</v>
      </c>
      <c r="N283" s="4" t="str">
        <f t="shared" si="9"/>
        <v>unbekannt</v>
      </c>
      <c r="O283" s="4" cm="1">
        <f t="array" ref="O283">_xlfn.SWITCH(A283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83" s="4" t="str">
        <f>IF(Nodes[[#This Row],[Bezeichnung2]] = "betrueger",1,"")</f>
        <v/>
      </c>
      <c r="Q283" s="4" t="str">
        <f>IF(Nodes[[#This Row],[Bezeichnung2]] = "betrogener",2,"")</f>
        <v/>
      </c>
      <c r="R283" s="4" t="str">
        <f>IF(Nodes[[#This Row],[Bezeichnung2]] = "liebender",3,"")</f>
        <v/>
      </c>
      <c r="S283" s="4" t="str">
        <f>IF(Nodes[[#This Row],[Bezeichnung2]] = "liebende",4,"")</f>
        <v/>
      </c>
      <c r="T283" s="4" t="str">
        <f>IF(Nodes[[#This Row],[Bezeichnung2]] = "gegenspieler",5,"")</f>
        <v/>
      </c>
    </row>
    <row r="284" spans="1:20" x14ac:dyDescent="0.3">
      <c r="A284" t="s">
        <v>288</v>
      </c>
      <c r="B284" t="s">
        <v>297</v>
      </c>
      <c r="C284" t="s">
        <v>18</v>
      </c>
      <c r="D284" t="s">
        <v>108</v>
      </c>
      <c r="E284" t="s">
        <v>47</v>
      </c>
      <c r="F284" t="s">
        <v>47</v>
      </c>
      <c r="G284" t="s">
        <v>26</v>
      </c>
      <c r="H284" t="str">
        <f t="shared" si="8"/>
        <v>buergerlich</v>
      </c>
      <c r="I284" t="str" cm="1">
        <f t="array" ref="I284">_xlfn.SWITCH(A284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84" s="4">
        <f>IF(AND(B284=Werte!B284,LEFT(A284,5)=LEFT(Werte!A284,5)),Werte!C284,"not found")</f>
        <v>0.61538461538461497</v>
      </c>
      <c r="K284" s="4">
        <f>IF(AND(B284=Werte!B284,LEFT(A284,5)=LEFT(Werte!A284,5)),Werte!D284,"not found")</f>
        <v>4.6367521367521397E-2</v>
      </c>
      <c r="L284" s="4">
        <f>IF(AND(B284=Werte!B284,LEFT(A284,5)=LEFT(Werte!A284,5)),Werte!E284,"not found")</f>
        <v>0.27083333333333298</v>
      </c>
      <c r="M284" s="4">
        <f>IF(AND(B284=Werte!B284,LEFT(A284,5)=LEFT(Werte!A284,5)),Werte!F284,"not found")</f>
        <v>0.145465960922014</v>
      </c>
      <c r="N284" s="4" t="str">
        <f t="shared" si="9"/>
        <v>unbekannt</v>
      </c>
      <c r="O284" s="4" cm="1">
        <f t="array" ref="O284">_xlfn.SWITCH(A284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84" s="4" t="str">
        <f>IF(Nodes[[#This Row],[Bezeichnung2]] = "betrueger",1,"")</f>
        <v/>
      </c>
      <c r="Q284" s="4" t="str">
        <f>IF(Nodes[[#This Row],[Bezeichnung2]] = "betrogener",2,"")</f>
        <v/>
      </c>
      <c r="R284" s="4" t="str">
        <f>IF(Nodes[[#This Row],[Bezeichnung2]] = "liebender",3,"")</f>
        <v/>
      </c>
      <c r="S284" s="4" t="str">
        <f>IF(Nodes[[#This Row],[Bezeichnung2]] = "liebende",4,"")</f>
        <v/>
      </c>
      <c r="T284" s="4" t="str">
        <f>IF(Nodes[[#This Row],[Bezeichnung2]] = "gegenspieler",5,"")</f>
        <v/>
      </c>
    </row>
    <row r="285" spans="1:20" x14ac:dyDescent="0.3">
      <c r="A285" t="s">
        <v>288</v>
      </c>
      <c r="B285" t="s">
        <v>298</v>
      </c>
      <c r="C285" t="s">
        <v>18</v>
      </c>
      <c r="D285" t="s">
        <v>108</v>
      </c>
      <c r="E285" t="s">
        <v>47</v>
      </c>
      <c r="F285" t="s">
        <v>47</v>
      </c>
      <c r="G285" t="s">
        <v>26</v>
      </c>
      <c r="H285" t="str">
        <f t="shared" si="8"/>
        <v>buergerlich</v>
      </c>
      <c r="I285" t="str" cm="1">
        <f t="array" ref="I285">_xlfn.SWITCH(A285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85" s="4">
        <f>IF(AND(B285=Werte!B285,LEFT(A285,5)=LEFT(Werte!A285,5)),Werte!C285,"not found")</f>
        <v>0.15384615384615399</v>
      </c>
      <c r="K285" s="4">
        <f>IF(AND(B285=Werte!B285,LEFT(A285,5)=LEFT(Werte!A285,5)),Werte!D285,"not found")</f>
        <v>0</v>
      </c>
      <c r="L285" s="4">
        <f>IF(AND(B285=Werte!B285,LEFT(A285,5)=LEFT(Werte!A285,5)),Werte!E285,"not found")</f>
        <v>0.240740740740741</v>
      </c>
      <c r="M285" s="4">
        <f>IF(AND(B285=Werte!B285,LEFT(A285,5)=LEFT(Werte!A285,5)),Werte!F285,"not found")</f>
        <v>5.9987775210739502E-2</v>
      </c>
      <c r="N285" s="4" t="str">
        <f t="shared" si="9"/>
        <v>unbekannt</v>
      </c>
      <c r="O285" s="4" cm="1">
        <f t="array" ref="O285">_xlfn.SWITCH(A285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85" s="4" t="str">
        <f>IF(Nodes[[#This Row],[Bezeichnung2]] = "betrueger",1,"")</f>
        <v/>
      </c>
      <c r="Q285" s="4" t="str">
        <f>IF(Nodes[[#This Row],[Bezeichnung2]] = "betrogener",2,"")</f>
        <v/>
      </c>
      <c r="R285" s="4" t="str">
        <f>IF(Nodes[[#This Row],[Bezeichnung2]] = "liebender",3,"")</f>
        <v/>
      </c>
      <c r="S285" s="4" t="str">
        <f>IF(Nodes[[#This Row],[Bezeichnung2]] = "liebende",4,"")</f>
        <v/>
      </c>
      <c r="T285" s="4" t="str">
        <f>IF(Nodes[[#This Row],[Bezeichnung2]] = "gegenspieler",5,"")</f>
        <v/>
      </c>
    </row>
    <row r="286" spans="1:20" x14ac:dyDescent="0.3">
      <c r="A286" t="s">
        <v>288</v>
      </c>
      <c r="B286" t="s">
        <v>299</v>
      </c>
      <c r="C286" t="s">
        <v>46</v>
      </c>
      <c r="D286" t="s">
        <v>108</v>
      </c>
      <c r="E286" t="s">
        <v>47</v>
      </c>
      <c r="F286" t="s">
        <v>47</v>
      </c>
      <c r="G286" t="s">
        <v>26</v>
      </c>
      <c r="H286" t="str">
        <f t="shared" si="8"/>
        <v>buergerlich</v>
      </c>
      <c r="I286" t="str" cm="1">
        <f t="array" ref="I286">_xlfn.SWITCH(A286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86" s="4">
        <f>IF(AND(B286=Werte!B286,LEFT(A286,5)=LEFT(Werte!A286,5)),Werte!C286,"not found")</f>
        <v>0.61538461538461497</v>
      </c>
      <c r="K286" s="4">
        <f>IF(AND(B286=Werte!B286,LEFT(A286,5)=LEFT(Werte!A286,5)),Werte!D286,"not found")</f>
        <v>0.111538461538462</v>
      </c>
      <c r="L286" s="4">
        <f>IF(AND(B286=Werte!B286,LEFT(A286,5)=LEFT(Werte!A286,5)),Werte!E286,"not found")</f>
        <v>0.27659574468085102</v>
      </c>
      <c r="M286" s="4">
        <f>IF(AND(B286=Werte!B286,LEFT(A286,5)=LEFT(Werte!A286,5)),Werte!F286,"not found")</f>
        <v>0.19052854903915101</v>
      </c>
      <c r="N286" s="4" t="str">
        <f t="shared" si="9"/>
        <v>unbekannt</v>
      </c>
      <c r="O286" s="4" cm="1">
        <f t="array" ref="O286">_xlfn.SWITCH(A286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86" s="4" t="str">
        <f>IF(Nodes[[#This Row],[Bezeichnung2]] = "betrueger",1,"")</f>
        <v/>
      </c>
      <c r="Q286" s="4" t="str">
        <f>IF(Nodes[[#This Row],[Bezeichnung2]] = "betrogener",2,"")</f>
        <v/>
      </c>
      <c r="R286" s="4" t="str">
        <f>IF(Nodes[[#This Row],[Bezeichnung2]] = "liebender",3,"")</f>
        <v/>
      </c>
      <c r="S286" s="4" t="str">
        <f>IF(Nodes[[#This Row],[Bezeichnung2]] = "liebende",4,"")</f>
        <v/>
      </c>
      <c r="T286" s="4" t="str">
        <f>IF(Nodes[[#This Row],[Bezeichnung2]] = "gegenspieler",5,"")</f>
        <v/>
      </c>
    </row>
    <row r="287" spans="1:20" x14ac:dyDescent="0.3">
      <c r="A287" t="s">
        <v>288</v>
      </c>
      <c r="B287" t="s">
        <v>300</v>
      </c>
      <c r="C287" t="s">
        <v>46</v>
      </c>
      <c r="D287" t="s">
        <v>108</v>
      </c>
      <c r="E287" t="s">
        <v>47</v>
      </c>
      <c r="F287" t="s">
        <v>87</v>
      </c>
      <c r="G287" t="s">
        <v>26</v>
      </c>
      <c r="H287" t="str">
        <f t="shared" si="8"/>
        <v>buergerlich</v>
      </c>
      <c r="I287" t="str" cm="1">
        <f t="array" ref="I287">_xlfn.SWITCH(A287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87" s="4">
        <f>IF(AND(B287=Werte!B287,LEFT(A287,5)=LEFT(Werte!A287,5)),Werte!C287,"not found")</f>
        <v>0.30769230769230799</v>
      </c>
      <c r="K287" s="4">
        <f>IF(AND(B287=Werte!B287,LEFT(A287,5)=LEFT(Werte!A287,5)),Werte!D287,"not found")</f>
        <v>0</v>
      </c>
      <c r="L287" s="4">
        <f>IF(AND(B287=Werte!B287,LEFT(A287,5)=LEFT(Werte!A287,5)),Werte!E287,"not found")</f>
        <v>0.245283018867925</v>
      </c>
      <c r="M287" s="4">
        <f>IF(AND(B287=Werte!B287,LEFT(A287,5)=LEFT(Werte!A287,5)),Werte!F287,"not found")</f>
        <v>0.16042359898033001</v>
      </c>
      <c r="N287" s="4" t="str">
        <f t="shared" si="9"/>
        <v>gegenspieler</v>
      </c>
      <c r="O287" s="4" cm="1">
        <f t="array" ref="O287">_xlfn.SWITCH(A287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87" s="4" t="str">
        <f>IF(Nodes[[#This Row],[Bezeichnung2]] = "betrueger",1,"")</f>
        <v/>
      </c>
      <c r="Q287" s="4" t="str">
        <f>IF(Nodes[[#This Row],[Bezeichnung2]] = "betrogener",2,"")</f>
        <v/>
      </c>
      <c r="R287" s="4" t="str">
        <f>IF(Nodes[[#This Row],[Bezeichnung2]] = "liebender",3,"")</f>
        <v/>
      </c>
      <c r="S287" s="4" t="str">
        <f>IF(Nodes[[#This Row],[Bezeichnung2]] = "liebende",4,"")</f>
        <v/>
      </c>
      <c r="T287" s="4">
        <f>IF(Nodes[[#This Row],[Bezeichnung2]] = "gegenspieler",5,"")</f>
        <v>5</v>
      </c>
    </row>
    <row r="288" spans="1:20" x14ac:dyDescent="0.3">
      <c r="A288" t="s">
        <v>301</v>
      </c>
      <c r="B288" t="s">
        <v>302</v>
      </c>
      <c r="C288" t="s">
        <v>18</v>
      </c>
      <c r="D288" t="s">
        <v>92</v>
      </c>
      <c r="E288" t="s">
        <v>47</v>
      </c>
      <c r="F288" t="s">
        <v>47</v>
      </c>
      <c r="G288" t="s">
        <v>22</v>
      </c>
      <c r="H288" t="str">
        <f t="shared" si="8"/>
        <v>klerus</v>
      </c>
      <c r="I288" t="str" cm="1">
        <f t="array" ref="I288">_xlfn.SWITCH(A288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88" s="4">
        <f>IF(AND(B288=Werte!B288,LEFT(A288,5)=LEFT(Werte!A288,5)),Werte!C288,"not found")</f>
        <v>2</v>
      </c>
      <c r="K288" s="4">
        <f>IF(AND(B288=Werte!B288,LEFT(A288,5)=LEFT(Werte!A288,5)),Werte!D288,"not found")</f>
        <v>0</v>
      </c>
      <c r="L288" s="4">
        <f>IF(AND(B288=Werte!B288,LEFT(A288,5)=LEFT(Werte!A288,5)),Werte!E288,"not found")</f>
        <v>0.44444444444444398</v>
      </c>
      <c r="M288" s="4">
        <f>IF(AND(B288=Werte!B288,LEFT(A288,5)=LEFT(Werte!A288,5)),Werte!F288,"not found")</f>
        <v>1</v>
      </c>
      <c r="N288" s="4" t="str">
        <f t="shared" si="9"/>
        <v>unbekannt</v>
      </c>
      <c r="O288" s="4" cm="1">
        <f t="array" ref="O288">_xlfn.SWITCH(A288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288" s="4" t="str">
        <f>IF(Nodes[[#This Row],[Bezeichnung2]] = "betrueger",1,"")</f>
        <v/>
      </c>
      <c r="Q288" s="4" t="str">
        <f>IF(Nodes[[#This Row],[Bezeichnung2]] = "betrogener",2,"")</f>
        <v/>
      </c>
      <c r="R288" s="4" t="str">
        <f>IF(Nodes[[#This Row],[Bezeichnung2]] = "liebender",3,"")</f>
        <v/>
      </c>
      <c r="S288" s="4" t="str">
        <f>IF(Nodes[[#This Row],[Bezeichnung2]] = "liebende",4,"")</f>
        <v/>
      </c>
      <c r="T288" s="4" t="str">
        <f>IF(Nodes[[#This Row],[Bezeichnung2]] = "gegenspieler",5,"")</f>
        <v/>
      </c>
    </row>
    <row r="289" spans="1:20" x14ac:dyDescent="0.3">
      <c r="A289" t="s">
        <v>301</v>
      </c>
      <c r="B289" t="s">
        <v>303</v>
      </c>
      <c r="C289" t="s">
        <v>18</v>
      </c>
      <c r="D289" t="s">
        <v>304</v>
      </c>
      <c r="E289" t="s">
        <v>47</v>
      </c>
      <c r="F289" t="s">
        <v>87</v>
      </c>
      <c r="G289" t="s">
        <v>26</v>
      </c>
      <c r="H289" t="str">
        <f t="shared" si="8"/>
        <v>klerus</v>
      </c>
      <c r="I289" t="str" cm="1">
        <f t="array" ref="I289">_xlfn.SWITCH(A289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89" s="4">
        <f>IF(AND(B289=Werte!B289,LEFT(A289,5)=LEFT(Werte!A289,5)),Werte!C289,"not found")</f>
        <v>1</v>
      </c>
      <c r="K289" s="4">
        <f>IF(AND(B289=Werte!B289,LEFT(A289,5)=LEFT(Werte!A289,5)),Werte!D289,"not found")</f>
        <v>0</v>
      </c>
      <c r="L289" s="4">
        <f>IF(AND(B289=Werte!B289,LEFT(A289,5)=LEFT(Werte!A289,5)),Werte!E289,"not found")</f>
        <v>0.4</v>
      </c>
      <c r="M289" s="4">
        <f>IF(AND(B289=Werte!B289,LEFT(A289,5)=LEFT(Werte!A289,5)),Werte!F289,"not found")</f>
        <v>0.46203707670192201</v>
      </c>
      <c r="N289" s="4" t="str">
        <f t="shared" si="9"/>
        <v>gegenspieler</v>
      </c>
      <c r="O289" s="4" cm="1">
        <f t="array" ref="O289">_xlfn.SWITCH(A289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289" s="4" t="str">
        <f>IF(Nodes[[#This Row],[Bezeichnung2]] = "betrueger",1,"")</f>
        <v/>
      </c>
      <c r="Q289" s="4" t="str">
        <f>IF(Nodes[[#This Row],[Bezeichnung2]] = "betrogener",2,"")</f>
        <v/>
      </c>
      <c r="R289" s="4" t="str">
        <f>IF(Nodes[[#This Row],[Bezeichnung2]] = "liebender",3,"")</f>
        <v/>
      </c>
      <c r="S289" s="4" t="str">
        <f>IF(Nodes[[#This Row],[Bezeichnung2]] = "liebende",4,"")</f>
        <v/>
      </c>
      <c r="T289" s="4">
        <f>IF(Nodes[[#This Row],[Bezeichnung2]] = "gegenspieler",5,"")</f>
        <v>5</v>
      </c>
    </row>
    <row r="290" spans="1:20" x14ac:dyDescent="0.3">
      <c r="A290" t="s">
        <v>301</v>
      </c>
      <c r="B290" t="s">
        <v>267</v>
      </c>
      <c r="C290" t="s">
        <v>18</v>
      </c>
      <c r="D290" t="s">
        <v>99</v>
      </c>
      <c r="E290" t="s">
        <v>47</v>
      </c>
      <c r="F290" t="s">
        <v>47</v>
      </c>
      <c r="G290" t="s">
        <v>26</v>
      </c>
      <c r="H290" t="str">
        <f t="shared" si="8"/>
        <v>klerus</v>
      </c>
      <c r="I290" t="str" cm="1">
        <f t="array" ref="I290">_xlfn.SWITCH(A290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90" s="4">
        <f>IF(AND(B290=Werte!B290,LEFT(A290,5)=LEFT(Werte!A290,5)),Werte!C290,"not found")</f>
        <v>2</v>
      </c>
      <c r="K290" s="4">
        <f>IF(AND(B290=Werte!B290,LEFT(A290,5)=LEFT(Werte!A290,5)),Werte!D290,"not found")</f>
        <v>0.33333333333333298</v>
      </c>
      <c r="L290" s="4">
        <f>IF(AND(B290=Werte!B290,LEFT(A290,5)=LEFT(Werte!A290,5)),Werte!E290,"not found")</f>
        <v>0.5</v>
      </c>
      <c r="M290" s="4">
        <f>IF(AND(B290=Werte!B290,LEFT(A290,5)=LEFT(Werte!A290,5)),Werte!F290,"not found")</f>
        <v>0.96406043082997095</v>
      </c>
      <c r="N290" s="4" t="str">
        <f t="shared" si="9"/>
        <v>unbekannt</v>
      </c>
      <c r="O290" s="4" cm="1">
        <f t="array" ref="O290">_xlfn.SWITCH(A290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290" s="4" t="str">
        <f>IF(Nodes[[#This Row],[Bezeichnung2]] = "betrueger",1,"")</f>
        <v/>
      </c>
      <c r="Q290" s="4" t="str">
        <f>IF(Nodes[[#This Row],[Bezeichnung2]] = "betrogener",2,"")</f>
        <v/>
      </c>
      <c r="R290" s="4" t="str">
        <f>IF(Nodes[[#This Row],[Bezeichnung2]] = "liebender",3,"")</f>
        <v/>
      </c>
      <c r="S290" s="4" t="str">
        <f>IF(Nodes[[#This Row],[Bezeichnung2]] = "liebende",4,"")</f>
        <v/>
      </c>
      <c r="T290" s="4" t="str">
        <f>IF(Nodes[[#This Row],[Bezeichnung2]] = "gegenspieler",5,"")</f>
        <v/>
      </c>
    </row>
    <row r="291" spans="1:20" x14ac:dyDescent="0.3">
      <c r="A291" t="s">
        <v>301</v>
      </c>
      <c r="B291" t="s">
        <v>305</v>
      </c>
      <c r="C291" t="s">
        <v>46</v>
      </c>
      <c r="D291" t="s">
        <v>92</v>
      </c>
      <c r="E291" t="s">
        <v>47</v>
      </c>
      <c r="F291" t="s">
        <v>47</v>
      </c>
      <c r="G291" t="s">
        <v>26</v>
      </c>
      <c r="H291" t="str">
        <f t="shared" si="8"/>
        <v>klerus</v>
      </c>
      <c r="I291" t="str" cm="1">
        <f t="array" ref="I291">_xlfn.SWITCH(A291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91" s="4">
        <f>IF(AND(B291=Werte!B291,LEFT(A291,5)=LEFT(Werte!A291,5)),Werte!C291,"not found")</f>
        <v>1.5</v>
      </c>
      <c r="K291" s="4">
        <f>IF(AND(B291=Werte!B291,LEFT(A291,5)=LEFT(Werte!A291,5)),Werte!D291,"not found")</f>
        <v>0</v>
      </c>
      <c r="L291" s="4">
        <f>IF(AND(B291=Werte!B291,LEFT(A291,5)=LEFT(Werte!A291,5)),Werte!E291,"not found")</f>
        <v>0.5</v>
      </c>
      <c r="M291" s="4">
        <f>IF(AND(B291=Werte!B291,LEFT(A291,5)=LEFT(Werte!A291,5)),Werte!F291,"not found")</f>
        <v>0.50448143521806499</v>
      </c>
      <c r="N291" s="4" t="str">
        <f t="shared" si="9"/>
        <v>unbekannt</v>
      </c>
      <c r="O291" s="4" cm="1">
        <f t="array" ref="O291">_xlfn.SWITCH(A291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291" s="4" t="str">
        <f>IF(Nodes[[#This Row],[Bezeichnung2]] = "betrueger",1,"")</f>
        <v/>
      </c>
      <c r="Q291" s="4" t="str">
        <f>IF(Nodes[[#This Row],[Bezeichnung2]] = "betrogener",2,"")</f>
        <v/>
      </c>
      <c r="R291" s="4" t="str">
        <f>IF(Nodes[[#This Row],[Bezeichnung2]] = "liebender",3,"")</f>
        <v/>
      </c>
      <c r="S291" s="4" t="str">
        <f>IF(Nodes[[#This Row],[Bezeichnung2]] = "liebende",4,"")</f>
        <v/>
      </c>
      <c r="T291" s="4" t="str">
        <f>IF(Nodes[[#This Row],[Bezeichnung2]] = "gegenspieler",5,"")</f>
        <v/>
      </c>
    </row>
    <row r="292" spans="1:20" x14ac:dyDescent="0.3">
      <c r="A292" t="s">
        <v>301</v>
      </c>
      <c r="B292" t="s">
        <v>232</v>
      </c>
      <c r="C292" t="s">
        <v>18</v>
      </c>
      <c r="D292" t="s">
        <v>92</v>
      </c>
      <c r="E292" t="s">
        <v>32</v>
      </c>
      <c r="F292" t="s">
        <v>53</v>
      </c>
      <c r="G292" t="s">
        <v>26</v>
      </c>
      <c r="H292" t="str">
        <f t="shared" si="8"/>
        <v>klerus</v>
      </c>
      <c r="I292" t="str" cm="1">
        <f t="array" ref="I292">_xlfn.SWITCH(A292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92" s="4">
        <f>IF(AND(B292=Werte!B292,LEFT(A292,5)=LEFT(Werte!A292,5)),Werte!C292,"not found")</f>
        <v>1.5</v>
      </c>
      <c r="K292" s="4">
        <f>IF(AND(B292=Werte!B292,LEFT(A292,5)=LEFT(Werte!A292,5)),Werte!D292,"not found")</f>
        <v>0.25</v>
      </c>
      <c r="L292" s="4">
        <f>IF(AND(B292=Werte!B292,LEFT(A292,5)=LEFT(Werte!A292,5)),Werte!E292,"not found")</f>
        <v>0.57142857142857095</v>
      </c>
      <c r="M292" s="4">
        <f>IF(AND(B292=Werte!B292,LEFT(A292,5)=LEFT(Werte!A292,5)),Werte!F292,"not found")</f>
        <v>0.400092167716463</v>
      </c>
      <c r="N292" s="4" t="str">
        <f t="shared" si="9"/>
        <v>helfer</v>
      </c>
      <c r="O292" s="4" cm="1">
        <f t="array" ref="O292">_xlfn.SWITCH(A292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292" s="4" t="str">
        <f>IF(Nodes[[#This Row],[Bezeichnung2]] = "betrueger",1,"")</f>
        <v/>
      </c>
      <c r="Q292" s="4" t="str">
        <f>IF(Nodes[[#This Row],[Bezeichnung2]] = "betrogener",2,"")</f>
        <v/>
      </c>
      <c r="R292" s="4" t="str">
        <f>IF(Nodes[[#This Row],[Bezeichnung2]] = "liebender",3,"")</f>
        <v/>
      </c>
      <c r="S292" s="4" t="str">
        <f>IF(Nodes[[#This Row],[Bezeichnung2]] = "liebende",4,"")</f>
        <v/>
      </c>
      <c r="T292" s="4" t="str">
        <f>IF(Nodes[[#This Row],[Bezeichnung2]] = "gegenspieler",5,"")</f>
        <v/>
      </c>
    </row>
    <row r="293" spans="1:20" x14ac:dyDescent="0.3">
      <c r="A293" t="s">
        <v>306</v>
      </c>
      <c r="B293" t="s">
        <v>307</v>
      </c>
      <c r="C293" t="s">
        <v>18</v>
      </c>
      <c r="D293" t="s">
        <v>308</v>
      </c>
      <c r="E293" t="s">
        <v>47</v>
      </c>
      <c r="F293" t="s">
        <v>53</v>
      </c>
      <c r="G293" t="s">
        <v>26</v>
      </c>
      <c r="H293" t="str">
        <f t="shared" si="8"/>
        <v>adel</v>
      </c>
      <c r="I293" t="str" cm="1">
        <f t="array" ref="I293">_xlfn.SWITCH(A293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93" s="4">
        <f>IF(AND(B293=Werte!B293,LEFT(A293,5)=LEFT(Werte!A293,5)),Werte!C293,"not found")</f>
        <v>1.1111111111111101</v>
      </c>
      <c r="K293" s="4">
        <f>IF(AND(B293=Werte!B293,LEFT(A293,5)=LEFT(Werte!A293,5)),Werte!D293,"not found")</f>
        <v>7.6388888888888895E-2</v>
      </c>
      <c r="L293" s="4">
        <f>IF(AND(B293=Werte!B293,LEFT(A293,5)=LEFT(Werte!A293,5)),Werte!E293,"not found")</f>
        <v>0.33333333333333298</v>
      </c>
      <c r="M293" s="4">
        <f>IF(AND(B293=Werte!B293,LEFT(A293,5)=LEFT(Werte!A293,5)),Werte!F293,"not found")</f>
        <v>0.68078474513314302</v>
      </c>
      <c r="N293" s="4" t="str">
        <f t="shared" si="9"/>
        <v>helfer</v>
      </c>
      <c r="O293" s="4" cm="1">
        <f t="array" ref="O293">_xlfn.SWITCH(A293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93" s="4" t="str">
        <f>IF(Nodes[[#This Row],[Bezeichnung2]] = "betrueger",1,"")</f>
        <v/>
      </c>
      <c r="Q293" s="4" t="str">
        <f>IF(Nodes[[#This Row],[Bezeichnung2]] = "betrogener",2,"")</f>
        <v/>
      </c>
      <c r="R293" s="4" t="str">
        <f>IF(Nodes[[#This Row],[Bezeichnung2]] = "liebender",3,"")</f>
        <v/>
      </c>
      <c r="S293" s="4" t="str">
        <f>IF(Nodes[[#This Row],[Bezeichnung2]] = "liebende",4,"")</f>
        <v/>
      </c>
      <c r="T293" s="4" t="str">
        <f>IF(Nodes[[#This Row],[Bezeichnung2]] = "gegenspieler",5,"")</f>
        <v/>
      </c>
    </row>
    <row r="294" spans="1:20" x14ac:dyDescent="0.3">
      <c r="A294" t="s">
        <v>306</v>
      </c>
      <c r="B294" t="s">
        <v>168</v>
      </c>
      <c r="C294" t="s">
        <v>18</v>
      </c>
      <c r="D294" t="s">
        <v>57</v>
      </c>
      <c r="E294" t="s">
        <v>47</v>
      </c>
      <c r="F294" t="s">
        <v>93</v>
      </c>
      <c r="G294" t="s">
        <v>22</v>
      </c>
      <c r="H294" t="str">
        <f t="shared" si="8"/>
        <v>adel</v>
      </c>
      <c r="I294" t="str" cm="1">
        <f t="array" ref="I294">_xlfn.SWITCH(A294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94" s="4">
        <f>IF(AND(B294=Werte!B294,LEFT(A294,5)=LEFT(Werte!A294,5)),Werte!C294,"not found")</f>
        <v>1.55555555555556</v>
      </c>
      <c r="K294" s="4">
        <f>IF(AND(B294=Werte!B294,LEFT(A294,5)=LEFT(Werte!A294,5)),Werte!D294,"not found")</f>
        <v>5.7870370370370398E-2</v>
      </c>
      <c r="L294" s="4">
        <f>IF(AND(B294=Werte!B294,LEFT(A294,5)=LEFT(Werte!A294,5)),Werte!E294,"not found")</f>
        <v>0.36</v>
      </c>
      <c r="M294" s="4">
        <f>IF(AND(B294=Werte!B294,LEFT(A294,5)=LEFT(Werte!A294,5)),Werte!F294,"not found")</f>
        <v>0.88699304273590596</v>
      </c>
      <c r="N294" s="4" t="str">
        <f t="shared" si="9"/>
        <v>betrogener</v>
      </c>
      <c r="O294" s="4" cm="1">
        <f t="array" ref="O294">_xlfn.SWITCH(A294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94" s="4" t="str">
        <f>IF(Nodes[[#This Row],[Bezeichnung2]] = "betrueger",1,"")</f>
        <v/>
      </c>
      <c r="Q294" s="4">
        <f>IF(Nodes[[#This Row],[Bezeichnung2]] = "betrogener",2,"")</f>
        <v>2</v>
      </c>
      <c r="R294" s="4" t="str">
        <f>IF(Nodes[[#This Row],[Bezeichnung2]] = "liebender",3,"")</f>
        <v/>
      </c>
      <c r="S294" s="4" t="str">
        <f>IF(Nodes[[#This Row],[Bezeichnung2]] = "liebende",4,"")</f>
        <v/>
      </c>
      <c r="T294" s="4" t="str">
        <f>IF(Nodes[[#This Row],[Bezeichnung2]] = "gegenspieler",5,"")</f>
        <v/>
      </c>
    </row>
    <row r="295" spans="1:20" x14ac:dyDescent="0.3">
      <c r="A295" t="s">
        <v>306</v>
      </c>
      <c r="B295" t="s">
        <v>54</v>
      </c>
      <c r="C295" t="s">
        <v>24</v>
      </c>
      <c r="D295" t="s">
        <v>86</v>
      </c>
      <c r="E295" t="s">
        <v>32</v>
      </c>
      <c r="F295" t="s">
        <v>93</v>
      </c>
      <c r="G295" t="s">
        <v>22</v>
      </c>
      <c r="H295" t="str">
        <f t="shared" si="8"/>
        <v>adel</v>
      </c>
      <c r="I295" t="str" cm="1">
        <f t="array" ref="I295">_xlfn.SWITCH(A295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95" s="4">
        <f>IF(AND(B295=Werte!B295,LEFT(A295,5)=LEFT(Werte!A295,5)),Werte!C295,"not found")</f>
        <v>1.7777777777777799</v>
      </c>
      <c r="K295" s="4">
        <f>IF(AND(B295=Werte!B295,LEFT(A295,5)=LEFT(Werte!A295,5)),Werte!D295,"not found")</f>
        <v>0.26388888888888901</v>
      </c>
      <c r="L295" s="4">
        <f>IF(AND(B295=Werte!B295,LEFT(A295,5)=LEFT(Werte!A295,5)),Werte!E295,"not found")</f>
        <v>0.39130434782608697</v>
      </c>
      <c r="M295" s="4">
        <f>IF(AND(B295=Werte!B295,LEFT(A295,5)=LEFT(Werte!A295,5)),Werte!F295,"not found")</f>
        <v>1</v>
      </c>
      <c r="N295" s="4" t="str">
        <f t="shared" si="9"/>
        <v>betrogener</v>
      </c>
      <c r="O295" s="4" cm="1">
        <f t="array" ref="O295">_xlfn.SWITCH(A295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95" s="4" t="str">
        <f>IF(Nodes[[#This Row],[Bezeichnung2]] = "betrueger",1,"")</f>
        <v/>
      </c>
      <c r="Q295" s="4">
        <f>IF(Nodes[[#This Row],[Bezeichnung2]] = "betrogener",2,"")</f>
        <v>2</v>
      </c>
      <c r="R295" s="4" t="str">
        <f>IF(Nodes[[#This Row],[Bezeichnung2]] = "liebender",3,"")</f>
        <v/>
      </c>
      <c r="S295" s="4" t="str">
        <f>IF(Nodes[[#This Row],[Bezeichnung2]] = "liebende",4,"")</f>
        <v/>
      </c>
      <c r="T295" s="4" t="str">
        <f>IF(Nodes[[#This Row],[Bezeichnung2]] = "gegenspieler",5,"")</f>
        <v/>
      </c>
    </row>
    <row r="296" spans="1:20" x14ac:dyDescent="0.3">
      <c r="A296" t="s">
        <v>306</v>
      </c>
      <c r="B296" t="s">
        <v>197</v>
      </c>
      <c r="C296" t="s">
        <v>18</v>
      </c>
      <c r="D296" t="s">
        <v>57</v>
      </c>
      <c r="E296" t="s">
        <v>47</v>
      </c>
      <c r="F296" t="s">
        <v>47</v>
      </c>
      <c r="G296" t="s">
        <v>26</v>
      </c>
      <c r="H296" t="str">
        <f t="shared" si="8"/>
        <v>adel</v>
      </c>
      <c r="I296" t="str" cm="1">
        <f t="array" ref="I296">_xlfn.SWITCH(A296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96" s="4">
        <f>IF(AND(B296=Werte!B296,LEFT(A296,5)=LEFT(Werte!A296,5)),Werte!C296,"not found")</f>
        <v>0</v>
      </c>
      <c r="K296" s="4">
        <f>IF(AND(B296=Werte!B296,LEFT(A296,5)=LEFT(Werte!A296,5)),Werte!D296,"not found")</f>
        <v>0</v>
      </c>
      <c r="L296" s="4">
        <f>IF(AND(B296=Werte!B296,LEFT(A296,5)=LEFT(Werte!A296,5)),Werte!E296,"not found")</f>
        <v>0.1</v>
      </c>
      <c r="M296" s="4">
        <f>IF(AND(B296=Werte!B296,LEFT(A296,5)=LEFT(Werte!A296,5)),Werte!F296,"not found")</f>
        <v>0</v>
      </c>
      <c r="N296" s="4" t="str">
        <f t="shared" si="9"/>
        <v>unbekannt</v>
      </c>
      <c r="O296" s="4" cm="1">
        <f t="array" ref="O296">_xlfn.SWITCH(A296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96" s="4" t="str">
        <f>IF(Nodes[[#This Row],[Bezeichnung2]] = "betrueger",1,"")</f>
        <v/>
      </c>
      <c r="Q296" s="4" t="str">
        <f>IF(Nodes[[#This Row],[Bezeichnung2]] = "betrogener",2,"")</f>
        <v/>
      </c>
      <c r="R296" s="4" t="str">
        <f>IF(Nodes[[#This Row],[Bezeichnung2]] = "liebender",3,"")</f>
        <v/>
      </c>
      <c r="S296" s="4" t="str">
        <f>IF(Nodes[[#This Row],[Bezeichnung2]] = "liebende",4,"")</f>
        <v/>
      </c>
      <c r="T296" s="4" t="str">
        <f>IF(Nodes[[#This Row],[Bezeichnung2]] = "gegenspieler",5,"")</f>
        <v/>
      </c>
    </row>
    <row r="297" spans="1:20" x14ac:dyDescent="0.3">
      <c r="A297" t="s">
        <v>306</v>
      </c>
      <c r="B297" t="s">
        <v>309</v>
      </c>
      <c r="C297" t="s">
        <v>46</v>
      </c>
      <c r="D297" t="s">
        <v>47</v>
      </c>
      <c r="E297" t="s">
        <v>47</v>
      </c>
      <c r="F297" t="s">
        <v>47</v>
      </c>
      <c r="G297" t="s">
        <v>26</v>
      </c>
      <c r="H297" t="str">
        <f t="shared" si="8"/>
        <v>unbekannt</v>
      </c>
      <c r="I297" t="str" cm="1">
        <f t="array" ref="I297">_xlfn.SWITCH(A297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97" s="4">
        <f>IF(AND(B297=Werte!B297,LEFT(A297,5)=LEFT(Werte!A297,5)),Werte!C297,"not found")</f>
        <v>0.88888888888888895</v>
      </c>
      <c r="K297" s="4">
        <f>IF(AND(B297=Werte!B297,LEFT(A297,5)=LEFT(Werte!A297,5)),Werte!D297,"not found")</f>
        <v>0</v>
      </c>
      <c r="L297" s="4">
        <f>IF(AND(B297=Werte!B297,LEFT(A297,5)=LEFT(Werte!A297,5)),Werte!E297,"not found")</f>
        <v>0.3</v>
      </c>
      <c r="M297" s="4">
        <f>IF(AND(B297=Werte!B297,LEFT(A297,5)=LEFT(Werte!A297,5)),Werte!F297,"not found")</f>
        <v>0.27620196624966498</v>
      </c>
      <c r="N297" s="4" t="str">
        <f t="shared" si="9"/>
        <v>unbekannt</v>
      </c>
      <c r="O297" s="4" cm="1">
        <f t="array" ref="O297">_xlfn.SWITCH(A297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97" s="4" t="str">
        <f>IF(Nodes[[#This Row],[Bezeichnung2]] = "betrueger",1,"")</f>
        <v/>
      </c>
      <c r="Q297" s="4" t="str">
        <f>IF(Nodes[[#This Row],[Bezeichnung2]] = "betrogener",2,"")</f>
        <v/>
      </c>
      <c r="R297" s="4" t="str">
        <f>IF(Nodes[[#This Row],[Bezeichnung2]] = "liebender",3,"")</f>
        <v/>
      </c>
      <c r="S297" s="4" t="str">
        <f>IF(Nodes[[#This Row],[Bezeichnung2]] = "liebende",4,"")</f>
        <v/>
      </c>
      <c r="T297" s="4" t="str">
        <f>IF(Nodes[[#This Row],[Bezeichnung2]] = "gegenspieler",5,"")</f>
        <v/>
      </c>
    </row>
    <row r="298" spans="1:20" x14ac:dyDescent="0.3">
      <c r="A298" t="s">
        <v>306</v>
      </c>
      <c r="B298" t="s">
        <v>310</v>
      </c>
      <c r="C298" t="s">
        <v>18</v>
      </c>
      <c r="D298" t="s">
        <v>176</v>
      </c>
      <c r="E298" t="s">
        <v>311</v>
      </c>
      <c r="F298" t="s">
        <v>47</v>
      </c>
      <c r="G298" t="s">
        <v>26</v>
      </c>
      <c r="H298" t="str">
        <f t="shared" si="8"/>
        <v>adel</v>
      </c>
      <c r="I298" t="str" cm="1">
        <f t="array" ref="I298">_xlfn.SWITCH(A298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98" s="4">
        <f>IF(AND(B298=Werte!B298,LEFT(A298,5)=LEFT(Werte!A298,5)),Werte!C298,"not found")</f>
        <v>0.44444444444444398</v>
      </c>
      <c r="K298" s="4">
        <f>IF(AND(B298=Werte!B298,LEFT(A298,5)=LEFT(Werte!A298,5)),Werte!D298,"not found")</f>
        <v>3.4722222222222203E-2</v>
      </c>
      <c r="L298" s="4">
        <f>IF(AND(B298=Werte!B298,LEFT(A298,5)=LEFT(Werte!A298,5)),Werte!E298,"not found")</f>
        <v>0.33333333333333298</v>
      </c>
      <c r="M298" s="4">
        <f>IF(AND(B298=Werte!B298,LEFT(A298,5)=LEFT(Werte!A298,5)),Werte!F298,"not found")</f>
        <v>5.0943220616632798E-2</v>
      </c>
      <c r="N298" s="4" t="str">
        <f t="shared" si="9"/>
        <v>unbekannt</v>
      </c>
      <c r="O298" s="4" cm="1">
        <f t="array" ref="O298">_xlfn.SWITCH(A298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98" s="4" t="str">
        <f>IF(Nodes[[#This Row],[Bezeichnung2]] = "betrueger",1,"")</f>
        <v/>
      </c>
      <c r="Q298" s="4" t="str">
        <f>IF(Nodes[[#This Row],[Bezeichnung2]] = "betrogener",2,"")</f>
        <v/>
      </c>
      <c r="R298" s="4" t="str">
        <f>IF(Nodes[[#This Row],[Bezeichnung2]] = "liebender",3,"")</f>
        <v/>
      </c>
      <c r="S298" s="4" t="str">
        <f>IF(Nodes[[#This Row],[Bezeichnung2]] = "liebende",4,"")</f>
        <v/>
      </c>
      <c r="T298" s="4" t="str">
        <f>IF(Nodes[[#This Row],[Bezeichnung2]] = "gegenspieler",5,"")</f>
        <v/>
      </c>
    </row>
    <row r="299" spans="1:20" x14ac:dyDescent="0.3">
      <c r="A299" t="s">
        <v>306</v>
      </c>
      <c r="B299" t="s">
        <v>312</v>
      </c>
      <c r="C299" t="s">
        <v>18</v>
      </c>
      <c r="D299" t="s">
        <v>57</v>
      </c>
      <c r="E299" t="s">
        <v>20</v>
      </c>
      <c r="F299" t="s">
        <v>96</v>
      </c>
      <c r="G299" t="s">
        <v>22</v>
      </c>
      <c r="H299" t="str">
        <f t="shared" si="8"/>
        <v>adel</v>
      </c>
      <c r="I299" t="str" cm="1">
        <f t="array" ref="I299">_xlfn.SWITCH(A299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299" s="4">
        <f>IF(AND(B299=Werte!B299,LEFT(A299,5)=LEFT(Werte!A299,5)),Werte!C299,"not found")</f>
        <v>1.3333333333333299</v>
      </c>
      <c r="K299" s="4">
        <f>IF(AND(B299=Werte!B299,LEFT(A299,5)=LEFT(Werte!A299,5)),Werte!D299,"not found")</f>
        <v>8.7962962962963007E-2</v>
      </c>
      <c r="L299" s="4">
        <f>IF(AND(B299=Werte!B299,LEFT(A299,5)=LEFT(Werte!A299,5)),Werte!E299,"not found")</f>
        <v>0.34615384615384598</v>
      </c>
      <c r="M299" s="4">
        <f>IF(AND(B299=Werte!B299,LEFT(A299,5)=LEFT(Werte!A299,5)),Werte!F299,"not found")</f>
        <v>0.59414139280215195</v>
      </c>
      <c r="N299" s="4" t="str">
        <f t="shared" si="9"/>
        <v>betrueger</v>
      </c>
      <c r="O299" s="4" cm="1">
        <f t="array" ref="O299">_xlfn.SWITCH(A299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299" s="4">
        <f>IF(Nodes[[#This Row],[Bezeichnung2]] = "betrueger",1,"")</f>
        <v>1</v>
      </c>
      <c r="Q299" s="4" t="str">
        <f>IF(Nodes[[#This Row],[Bezeichnung2]] = "betrogener",2,"")</f>
        <v/>
      </c>
      <c r="R299" s="4" t="str">
        <f>IF(Nodes[[#This Row],[Bezeichnung2]] = "liebender",3,"")</f>
        <v/>
      </c>
      <c r="S299" s="4" t="str">
        <f>IF(Nodes[[#This Row],[Bezeichnung2]] = "liebende",4,"")</f>
        <v/>
      </c>
      <c r="T299" s="4" t="str">
        <f>IF(Nodes[[#This Row],[Bezeichnung2]] = "gegenspieler",5,"")</f>
        <v/>
      </c>
    </row>
    <row r="300" spans="1:20" x14ac:dyDescent="0.3">
      <c r="A300" t="s">
        <v>306</v>
      </c>
      <c r="B300" t="s">
        <v>84</v>
      </c>
      <c r="C300" t="s">
        <v>18</v>
      </c>
      <c r="D300" t="s">
        <v>47</v>
      </c>
      <c r="E300" t="s">
        <v>47</v>
      </c>
      <c r="F300" t="s">
        <v>47</v>
      </c>
      <c r="G300" t="s">
        <v>26</v>
      </c>
      <c r="H300" t="str">
        <f t="shared" si="8"/>
        <v>unbekannt</v>
      </c>
      <c r="I300" t="str" cm="1">
        <f t="array" ref="I300">_xlfn.SWITCH(A300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00" s="4">
        <f>IF(AND(B300=Werte!B300,LEFT(A300,5)=LEFT(Werte!A300,5)),Werte!C300,"not found")</f>
        <v>0.66666666666666696</v>
      </c>
      <c r="K300" s="4">
        <f>IF(AND(B300=Werte!B300,LEFT(A300,5)=LEFT(Werte!A300,5)),Werte!D300,"not found")</f>
        <v>0.101851851851852</v>
      </c>
      <c r="L300" s="4">
        <f>IF(AND(B300=Werte!B300,LEFT(A300,5)=LEFT(Werte!A300,5)),Werte!E300,"not found")</f>
        <v>0.36</v>
      </c>
      <c r="M300" s="4">
        <f>IF(AND(B300=Werte!B300,LEFT(A300,5)=LEFT(Werte!A300,5)),Werte!F300,"not found")</f>
        <v>7.928843670947E-2</v>
      </c>
      <c r="N300" s="4" t="str">
        <f t="shared" si="9"/>
        <v>unbekannt</v>
      </c>
      <c r="O300" s="4" cm="1">
        <f t="array" ref="O300">_xlfn.SWITCH(A300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00" s="4" t="str">
        <f>IF(Nodes[[#This Row],[Bezeichnung2]] = "betrueger",1,"")</f>
        <v/>
      </c>
      <c r="Q300" s="4" t="str">
        <f>IF(Nodes[[#This Row],[Bezeichnung2]] = "betrogener",2,"")</f>
        <v/>
      </c>
      <c r="R300" s="4" t="str">
        <f>IF(Nodes[[#This Row],[Bezeichnung2]] = "liebender",3,"")</f>
        <v/>
      </c>
      <c r="S300" s="4" t="str">
        <f>IF(Nodes[[#This Row],[Bezeichnung2]] = "liebende",4,"")</f>
        <v/>
      </c>
      <c r="T300" s="4" t="str">
        <f>IF(Nodes[[#This Row],[Bezeichnung2]] = "gegenspieler",5,"")</f>
        <v/>
      </c>
    </row>
    <row r="301" spans="1:20" x14ac:dyDescent="0.3">
      <c r="A301" t="s">
        <v>306</v>
      </c>
      <c r="B301" t="s">
        <v>313</v>
      </c>
      <c r="C301" t="s">
        <v>18</v>
      </c>
      <c r="D301" t="s">
        <v>57</v>
      </c>
      <c r="E301" t="s">
        <v>47</v>
      </c>
      <c r="F301" t="s">
        <v>47</v>
      </c>
      <c r="G301" t="s">
        <v>26</v>
      </c>
      <c r="H301" t="str">
        <f t="shared" si="8"/>
        <v>adel</v>
      </c>
      <c r="I301" t="str" cm="1">
        <f t="array" ref="I301">_xlfn.SWITCH(A301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01" s="4">
        <f>IF(AND(B301=Werte!B301,LEFT(A301,5)=LEFT(Werte!A301,5)),Werte!C301,"not found")</f>
        <v>0.66666666666666696</v>
      </c>
      <c r="K301" s="4">
        <f>IF(AND(B301=Werte!B301,LEFT(A301,5)=LEFT(Werte!A301,5)),Werte!D301,"not found")</f>
        <v>0.180555555555556</v>
      </c>
      <c r="L301" s="4">
        <f>IF(AND(B301=Werte!B301,LEFT(A301,5)=LEFT(Werte!A301,5)),Werte!E301,"not found")</f>
        <v>0.375</v>
      </c>
      <c r="M301" s="4">
        <f>IF(AND(B301=Werte!B301,LEFT(A301,5)=LEFT(Werte!A301,5)),Werte!F301,"not found")</f>
        <v>8.2057257237367898E-2</v>
      </c>
      <c r="N301" s="4" t="str">
        <f t="shared" si="9"/>
        <v>unbekannt</v>
      </c>
      <c r="O301" s="4" cm="1">
        <f t="array" ref="O301">_xlfn.SWITCH(A301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01" s="4" t="str">
        <f>IF(Nodes[[#This Row],[Bezeichnung2]] = "betrueger",1,"")</f>
        <v/>
      </c>
      <c r="Q301" s="4" t="str">
        <f>IF(Nodes[[#This Row],[Bezeichnung2]] = "betrogener",2,"")</f>
        <v/>
      </c>
      <c r="R301" s="4" t="str">
        <f>IF(Nodes[[#This Row],[Bezeichnung2]] = "liebender",3,"")</f>
        <v/>
      </c>
      <c r="S301" s="4" t="str">
        <f>IF(Nodes[[#This Row],[Bezeichnung2]] = "liebende",4,"")</f>
        <v/>
      </c>
      <c r="T301" s="4" t="str">
        <f>IF(Nodes[[#This Row],[Bezeichnung2]] = "gegenspieler",5,"")</f>
        <v/>
      </c>
    </row>
    <row r="302" spans="1:20" x14ac:dyDescent="0.3">
      <c r="A302" t="s">
        <v>306</v>
      </c>
      <c r="B302" t="s">
        <v>314</v>
      </c>
      <c r="C302" t="s">
        <v>46</v>
      </c>
      <c r="D302" t="s">
        <v>47</v>
      </c>
      <c r="E302" t="s">
        <v>47</v>
      </c>
      <c r="F302" t="s">
        <v>47</v>
      </c>
      <c r="G302" t="s">
        <v>26</v>
      </c>
      <c r="H302" t="str">
        <f t="shared" si="8"/>
        <v>unbekannt</v>
      </c>
      <c r="I302" t="str" cm="1">
        <f t="array" ref="I302">_xlfn.SWITCH(A302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02" s="4">
        <f>IF(AND(B302=Werte!B302,LEFT(A302,5)=LEFT(Werte!A302,5)),Werte!C302,"not found")</f>
        <v>0.44444444444444398</v>
      </c>
      <c r="K302" s="4">
        <f>IF(AND(B302=Werte!B302,LEFT(A302,5)=LEFT(Werte!A302,5)),Werte!D302,"not found")</f>
        <v>0</v>
      </c>
      <c r="L302" s="4">
        <f>IF(AND(B302=Werte!B302,LEFT(A302,5)=LEFT(Werte!A302,5)),Werte!E302,"not found")</f>
        <v>0.31034482758620702</v>
      </c>
      <c r="M302" s="4">
        <f>IF(AND(B302=Werte!B302,LEFT(A302,5)=LEFT(Werte!A302,5)),Werte!F302,"not found")</f>
        <v>8.8646958028771594E-2</v>
      </c>
      <c r="N302" s="4" t="str">
        <f t="shared" si="9"/>
        <v>unbekannt</v>
      </c>
      <c r="O302" s="4" cm="1">
        <f t="array" ref="O302">_xlfn.SWITCH(A302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02" s="4" t="str">
        <f>IF(Nodes[[#This Row],[Bezeichnung2]] = "betrueger",1,"")</f>
        <v/>
      </c>
      <c r="Q302" s="4" t="str">
        <f>IF(Nodes[[#This Row],[Bezeichnung2]] = "betrogener",2,"")</f>
        <v/>
      </c>
      <c r="R302" s="4" t="str">
        <f>IF(Nodes[[#This Row],[Bezeichnung2]] = "liebender",3,"")</f>
        <v/>
      </c>
      <c r="S302" s="4" t="str">
        <f>IF(Nodes[[#This Row],[Bezeichnung2]] = "liebende",4,"")</f>
        <v/>
      </c>
      <c r="T302" s="4" t="str">
        <f>IF(Nodes[[#This Row],[Bezeichnung2]] = "gegenspieler",5,"")</f>
        <v/>
      </c>
    </row>
    <row r="303" spans="1:20" x14ac:dyDescent="0.3">
      <c r="A303" t="s">
        <v>315</v>
      </c>
      <c r="B303" t="s">
        <v>115</v>
      </c>
      <c r="C303" t="s">
        <v>18</v>
      </c>
      <c r="D303" t="s">
        <v>47</v>
      </c>
      <c r="E303" t="s">
        <v>47</v>
      </c>
      <c r="F303" t="s">
        <v>418</v>
      </c>
      <c r="G303" t="s">
        <v>22</v>
      </c>
      <c r="H303" t="str">
        <f t="shared" si="8"/>
        <v>unbekannt</v>
      </c>
      <c r="I303" t="str" cm="1">
        <f t="array" ref="I303">_xlfn.SWITCH(A303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03" s="4">
        <f>IF(AND(B303=Werte!B303,LEFT(A303,5)=LEFT(Werte!A303,5)),Werte!C303,"not found")</f>
        <v>0</v>
      </c>
      <c r="K303" s="4">
        <f>IF(AND(B303=Werte!B303,LEFT(A303,5)=LEFT(Werte!A303,5)),Werte!D303,"not found")</f>
        <v>0</v>
      </c>
      <c r="L303" s="4">
        <f>IF(AND(B303=Werte!B303,LEFT(A303,5)=LEFT(Werte!A303,5)),Werte!E303,"not found")</f>
        <v>0</v>
      </c>
      <c r="M303" s="4">
        <f>IF(AND(B303=Werte!B303,LEFT(A303,5)=LEFT(Werte!A303,5)),Werte!F303,"not found")</f>
        <v>0</v>
      </c>
      <c r="N303" s="4" t="str">
        <f t="shared" si="9"/>
        <v>betrogener</v>
      </c>
      <c r="O303" s="4" cm="1">
        <f t="array" ref="O303">_xlfn.SWITCH(A303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03" s="4" t="str">
        <f>IF(Nodes[[#This Row],[Bezeichnung2]] = "betrueger",1,"")</f>
        <v/>
      </c>
      <c r="Q303" s="4">
        <f>IF(Nodes[[#This Row],[Bezeichnung2]] = "betrogener",2,"")</f>
        <v>2</v>
      </c>
      <c r="R303" s="4" t="str">
        <f>IF(Nodes[[#This Row],[Bezeichnung2]] = "liebender",3,"")</f>
        <v/>
      </c>
      <c r="S303" s="4" t="str">
        <f>IF(Nodes[[#This Row],[Bezeichnung2]] = "liebende",4,"")</f>
        <v/>
      </c>
      <c r="T303" s="4" t="str">
        <f>IF(Nodes[[#This Row],[Bezeichnung2]] = "gegenspieler",5,"")</f>
        <v/>
      </c>
    </row>
    <row r="304" spans="1:20" x14ac:dyDescent="0.3">
      <c r="A304" t="s">
        <v>315</v>
      </c>
      <c r="B304" t="s">
        <v>117</v>
      </c>
      <c r="C304" t="s">
        <v>24</v>
      </c>
      <c r="D304" t="s">
        <v>47</v>
      </c>
      <c r="E304" t="s">
        <v>47</v>
      </c>
      <c r="F304" t="s">
        <v>316</v>
      </c>
      <c r="G304" t="s">
        <v>22</v>
      </c>
      <c r="H304" t="str">
        <f t="shared" si="8"/>
        <v>unbekannt</v>
      </c>
      <c r="I304" t="str" cm="1">
        <f t="array" ref="I304">_xlfn.SWITCH(A304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04" s="4">
        <f>IF(AND(B304=Werte!B304,LEFT(A304,5)=LEFT(Werte!A304,5)),Werte!C304,"not found")</f>
        <v>0</v>
      </c>
      <c r="K304" s="4">
        <f>IF(AND(B304=Werte!B304,LEFT(A304,5)=LEFT(Werte!A304,5)),Werte!D304,"not found")</f>
        <v>0</v>
      </c>
      <c r="L304" s="4">
        <f>IF(AND(B304=Werte!B304,LEFT(A304,5)=LEFT(Werte!A304,5)),Werte!E304,"not found")</f>
        <v>0</v>
      </c>
      <c r="M304" s="4">
        <f>IF(AND(B304=Werte!B304,LEFT(A304,5)=LEFT(Werte!A304,5)),Werte!F304,"not found")</f>
        <v>0</v>
      </c>
      <c r="N304" s="4" t="str">
        <f t="shared" si="9"/>
        <v>betrogener</v>
      </c>
      <c r="O304" s="4" cm="1">
        <f t="array" ref="O304">_xlfn.SWITCH(A304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04" s="4" t="str">
        <f>IF(Nodes[[#This Row],[Bezeichnung2]] = "betrueger",1,"")</f>
        <v/>
      </c>
      <c r="Q304" s="4">
        <f>IF(Nodes[[#This Row],[Bezeichnung2]] = "betrogener",2,"")</f>
        <v>2</v>
      </c>
      <c r="R304" s="4" t="str">
        <f>IF(Nodes[[#This Row],[Bezeichnung2]] = "liebender",3,"")</f>
        <v/>
      </c>
      <c r="S304" s="4" t="str">
        <f>IF(Nodes[[#This Row],[Bezeichnung2]] = "liebende",4,"")</f>
        <v/>
      </c>
      <c r="T304" s="4" t="str">
        <f>IF(Nodes[[#This Row],[Bezeichnung2]] = "gegenspieler",5,"")</f>
        <v/>
      </c>
    </row>
    <row r="305" spans="1:20" x14ac:dyDescent="0.3">
      <c r="A305" t="s">
        <v>317</v>
      </c>
      <c r="B305" t="s">
        <v>115</v>
      </c>
      <c r="C305" t="s">
        <v>18</v>
      </c>
      <c r="D305" t="s">
        <v>47</v>
      </c>
      <c r="E305" t="s">
        <v>47</v>
      </c>
      <c r="F305" t="s">
        <v>318</v>
      </c>
      <c r="G305" t="s">
        <v>22</v>
      </c>
      <c r="H305" t="str">
        <f t="shared" si="8"/>
        <v>unbekannt</v>
      </c>
      <c r="I305" t="str" cm="1">
        <f t="array" ref="I305">_xlfn.SWITCH(A305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05" s="4">
        <f>IF(AND(B305=Werte!B305,LEFT(A305,5)=LEFT(Werte!A305,5)),Werte!C305,"not found")</f>
        <v>1.6666666666666701</v>
      </c>
      <c r="K305" s="4">
        <f>IF(AND(B305=Werte!B305,LEFT(A305,5)=LEFT(Werte!A305,5)),Werte!D305,"not found")</f>
        <v>0</v>
      </c>
      <c r="L305" s="4">
        <f>IF(AND(B305=Werte!B305,LEFT(A305,5)=LEFT(Werte!A305,5)),Werte!E305,"not found")</f>
        <v>0.12765957446808501</v>
      </c>
      <c r="M305" s="4">
        <f>IF(AND(B305=Werte!B305,LEFT(A305,5)=LEFT(Werte!A305,5)),Werte!F305,"not found")</f>
        <v>0.95661262941960301</v>
      </c>
      <c r="N305" s="4" t="str">
        <f t="shared" si="9"/>
        <v>betrueger</v>
      </c>
      <c r="O305" s="4" cm="1">
        <f t="array" ref="O305">_xlfn.SWITCH(A305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05" s="4">
        <f>IF(Nodes[[#This Row],[Bezeichnung2]] = "betrueger",1,"")</f>
        <v>1</v>
      </c>
      <c r="Q305" s="4" t="str">
        <f>IF(Nodes[[#This Row],[Bezeichnung2]] = "betrogener",2,"")</f>
        <v/>
      </c>
      <c r="R305" s="4" t="str">
        <f>IF(Nodes[[#This Row],[Bezeichnung2]] = "liebender",3,"")</f>
        <v/>
      </c>
      <c r="S305" s="4" t="str">
        <f>IF(Nodes[[#This Row],[Bezeichnung2]] = "liebende",4,"")</f>
        <v/>
      </c>
      <c r="T305" s="4" t="str">
        <f>IF(Nodes[[#This Row],[Bezeichnung2]] = "gegenspieler",5,"")</f>
        <v/>
      </c>
    </row>
    <row r="306" spans="1:20" x14ac:dyDescent="0.3">
      <c r="A306" t="s">
        <v>317</v>
      </c>
      <c r="B306" t="s">
        <v>117</v>
      </c>
      <c r="C306" t="s">
        <v>24</v>
      </c>
      <c r="D306" t="s">
        <v>47</v>
      </c>
      <c r="E306" t="s">
        <v>20</v>
      </c>
      <c r="F306" t="s">
        <v>55</v>
      </c>
      <c r="G306" t="s">
        <v>22</v>
      </c>
      <c r="H306" t="str">
        <f t="shared" si="8"/>
        <v>unbekannt</v>
      </c>
      <c r="I306" t="str" cm="1">
        <f t="array" ref="I306">_xlfn.SWITCH(A306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06" s="4">
        <f>IF(AND(B306=Werte!B306,LEFT(A306,5)=LEFT(Werte!A306,5)),Werte!C306,"not found")</f>
        <v>1.3333333333333299</v>
      </c>
      <c r="K306" s="4">
        <f>IF(AND(B306=Werte!B306,LEFT(A306,5)=LEFT(Werte!A306,5)),Werte!D306,"not found")</f>
        <v>0</v>
      </c>
      <c r="L306" s="4">
        <f>IF(AND(B306=Werte!B306,LEFT(A306,5)=LEFT(Werte!A306,5)),Werte!E306,"not found")</f>
        <v>0.11764705882352899</v>
      </c>
      <c r="M306" s="4">
        <f>IF(AND(B306=Werte!B306,LEFT(A306,5)=LEFT(Werte!A306,5)),Werte!F306,"not found")</f>
        <v>1</v>
      </c>
      <c r="N306" s="4" t="str">
        <f t="shared" si="9"/>
        <v>betrueger</v>
      </c>
      <c r="O306" s="4" cm="1">
        <f t="array" ref="O306">_xlfn.SWITCH(A306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06" s="4">
        <f>IF(Nodes[[#This Row],[Bezeichnung2]] = "betrueger",1,"")</f>
        <v>1</v>
      </c>
      <c r="Q306" s="4" t="str">
        <f>IF(Nodes[[#This Row],[Bezeichnung2]] = "betrogener",2,"")</f>
        <v/>
      </c>
      <c r="R306" s="4" t="str">
        <f>IF(Nodes[[#This Row],[Bezeichnung2]] = "liebender",3,"")</f>
        <v/>
      </c>
      <c r="S306" s="4" t="str">
        <f>IF(Nodes[[#This Row],[Bezeichnung2]] = "liebende",4,"")</f>
        <v/>
      </c>
      <c r="T306" s="4" t="str">
        <f>IF(Nodes[[#This Row],[Bezeichnung2]] = "gegenspieler",5,"")</f>
        <v/>
      </c>
    </row>
    <row r="307" spans="1:20" x14ac:dyDescent="0.3">
      <c r="A307" t="s">
        <v>317</v>
      </c>
      <c r="B307" t="s">
        <v>319</v>
      </c>
      <c r="C307" t="s">
        <v>18</v>
      </c>
      <c r="D307" t="s">
        <v>92</v>
      </c>
      <c r="E307" t="s">
        <v>47</v>
      </c>
      <c r="F307" t="s">
        <v>93</v>
      </c>
      <c r="G307" t="s">
        <v>26</v>
      </c>
      <c r="H307" t="str">
        <f t="shared" si="8"/>
        <v>klerus</v>
      </c>
      <c r="I307" t="str" cm="1">
        <f t="array" ref="I307">_xlfn.SWITCH(A307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07" s="4">
        <f>IF(AND(B307=Werte!B307,LEFT(A307,5)=LEFT(Werte!A307,5)),Werte!C307,"not found")</f>
        <v>2</v>
      </c>
      <c r="K307" s="4">
        <f>IF(AND(B307=Werte!B307,LEFT(A307,5)=LEFT(Werte!A307,5)),Werte!D307,"not found")</f>
        <v>5.5555555555555601E-2</v>
      </c>
      <c r="L307" s="4">
        <f>IF(AND(B307=Werte!B307,LEFT(A307,5)=LEFT(Werte!A307,5)),Werte!E307,"not found")</f>
        <v>0.25</v>
      </c>
      <c r="M307" s="4">
        <f>IF(AND(B307=Werte!B307,LEFT(A307,5)=LEFT(Werte!A307,5)),Werte!F307,"not found")</f>
        <v>0.95222085104804999</v>
      </c>
      <c r="N307" s="4" t="str">
        <f t="shared" si="9"/>
        <v>betrogener</v>
      </c>
      <c r="O307" s="4" cm="1">
        <f t="array" ref="O307">_xlfn.SWITCH(A307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07" s="4" t="str">
        <f>IF(Nodes[[#This Row],[Bezeichnung2]] = "betrueger",1,"")</f>
        <v/>
      </c>
      <c r="Q307" s="4">
        <f>IF(Nodes[[#This Row],[Bezeichnung2]] = "betrogener",2,"")</f>
        <v>2</v>
      </c>
      <c r="R307" s="4" t="str">
        <f>IF(Nodes[[#This Row],[Bezeichnung2]] = "liebender",3,"")</f>
        <v/>
      </c>
      <c r="S307" s="4" t="str">
        <f>IF(Nodes[[#This Row],[Bezeichnung2]] = "liebende",4,"")</f>
        <v/>
      </c>
      <c r="T307" s="4" t="str">
        <f>IF(Nodes[[#This Row],[Bezeichnung2]] = "gegenspieler",5,"")</f>
        <v/>
      </c>
    </row>
    <row r="308" spans="1:20" x14ac:dyDescent="0.3">
      <c r="A308" t="s">
        <v>317</v>
      </c>
      <c r="B308" t="s">
        <v>232</v>
      </c>
      <c r="C308" t="s">
        <v>18</v>
      </c>
      <c r="D308" t="s">
        <v>92</v>
      </c>
      <c r="E308" t="s">
        <v>47</v>
      </c>
      <c r="F308" t="s">
        <v>93</v>
      </c>
      <c r="G308" t="s">
        <v>26</v>
      </c>
      <c r="H308" t="str">
        <f t="shared" si="8"/>
        <v>klerus</v>
      </c>
      <c r="I308" t="str" cm="1">
        <f t="array" ref="I308">_xlfn.SWITCH(A308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08" s="4">
        <f>IF(AND(B308=Werte!B308,LEFT(A308,5)=LEFT(Werte!A308,5)),Werte!C308,"not found")</f>
        <v>2</v>
      </c>
      <c r="K308" s="4">
        <f>IF(AND(B308=Werte!B308,LEFT(A308,5)=LEFT(Werte!A308,5)),Werte!D308,"not found")</f>
        <v>0</v>
      </c>
      <c r="L308" s="4">
        <f>IF(AND(B308=Werte!B308,LEFT(A308,5)=LEFT(Werte!A308,5)),Werte!E308,"not found")</f>
        <v>0.230769230769231</v>
      </c>
      <c r="M308" s="4">
        <f>IF(AND(B308=Werte!B308,LEFT(A308,5)=LEFT(Werte!A308,5)),Werte!F308,"not found")</f>
        <v>0.87113382517415705</v>
      </c>
      <c r="N308" s="4" t="str">
        <f t="shared" si="9"/>
        <v>betrogener</v>
      </c>
      <c r="O308" s="4" cm="1">
        <f t="array" ref="O308">_xlfn.SWITCH(A308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08" s="4" t="str">
        <f>IF(Nodes[[#This Row],[Bezeichnung2]] = "betrueger",1,"")</f>
        <v/>
      </c>
      <c r="Q308" s="4">
        <f>IF(Nodes[[#This Row],[Bezeichnung2]] = "betrogener",2,"")</f>
        <v>2</v>
      </c>
      <c r="R308" s="4" t="str">
        <f>IF(Nodes[[#This Row],[Bezeichnung2]] = "liebender",3,"")</f>
        <v/>
      </c>
      <c r="S308" s="4" t="str">
        <f>IF(Nodes[[#This Row],[Bezeichnung2]] = "liebende",4,"")</f>
        <v/>
      </c>
      <c r="T308" s="4" t="str">
        <f>IF(Nodes[[#This Row],[Bezeichnung2]] = "gegenspieler",5,"")</f>
        <v/>
      </c>
    </row>
    <row r="309" spans="1:20" x14ac:dyDescent="0.3">
      <c r="A309" t="s">
        <v>317</v>
      </c>
      <c r="B309" t="s">
        <v>320</v>
      </c>
      <c r="C309" t="s">
        <v>18</v>
      </c>
      <c r="D309" t="s">
        <v>92</v>
      </c>
      <c r="E309" t="s">
        <v>47</v>
      </c>
      <c r="F309" t="s">
        <v>93</v>
      </c>
      <c r="G309" t="s">
        <v>26</v>
      </c>
      <c r="H309" t="str">
        <f t="shared" si="8"/>
        <v>klerus</v>
      </c>
      <c r="I309" t="str" cm="1">
        <f t="array" ref="I309">_xlfn.SWITCH(A309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09" s="4">
        <f>IF(AND(B309=Werte!B309,LEFT(A309,5)=LEFT(Werte!A309,5)),Werte!C309,"not found")</f>
        <v>2</v>
      </c>
      <c r="K309" s="4">
        <f>IF(AND(B309=Werte!B309,LEFT(A309,5)=LEFT(Werte!A309,5)),Werte!D309,"not found")</f>
        <v>0.53333333333333299</v>
      </c>
      <c r="L309" s="4">
        <f>IF(AND(B309=Werte!B309,LEFT(A309,5)=LEFT(Werte!A309,5)),Werte!E309,"not found")</f>
        <v>0.28571428571428598</v>
      </c>
      <c r="M309" s="4">
        <f>IF(AND(B309=Werte!B309,LEFT(A309,5)=LEFT(Werte!A309,5)),Werte!F309,"not found")</f>
        <v>0.67807182041540304</v>
      </c>
      <c r="N309" s="4" t="str">
        <f t="shared" si="9"/>
        <v>betrogener</v>
      </c>
      <c r="O309" s="4" cm="1">
        <f t="array" ref="O309">_xlfn.SWITCH(A309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09" s="4" t="str">
        <f>IF(Nodes[[#This Row],[Bezeichnung2]] = "betrueger",1,"")</f>
        <v/>
      </c>
      <c r="Q309" s="4">
        <f>IF(Nodes[[#This Row],[Bezeichnung2]] = "betrogener",2,"")</f>
        <v>2</v>
      </c>
      <c r="R309" s="4" t="str">
        <f>IF(Nodes[[#This Row],[Bezeichnung2]] = "liebender",3,"")</f>
        <v/>
      </c>
      <c r="S309" s="4" t="str">
        <f>IF(Nodes[[#This Row],[Bezeichnung2]] = "liebende",4,"")</f>
        <v/>
      </c>
      <c r="T309" s="4" t="str">
        <f>IF(Nodes[[#This Row],[Bezeichnung2]] = "gegenspieler",5,"")</f>
        <v/>
      </c>
    </row>
    <row r="310" spans="1:20" x14ac:dyDescent="0.3">
      <c r="A310" t="s">
        <v>317</v>
      </c>
      <c r="B310" t="s">
        <v>256</v>
      </c>
      <c r="C310" t="s">
        <v>18</v>
      </c>
      <c r="D310" t="s">
        <v>257</v>
      </c>
      <c r="E310" t="s">
        <v>47</v>
      </c>
      <c r="F310" t="s">
        <v>53</v>
      </c>
      <c r="G310" t="s">
        <v>26</v>
      </c>
      <c r="H310" t="str">
        <f t="shared" si="8"/>
        <v>buergerlich</v>
      </c>
      <c r="I310" t="str" cm="1">
        <f t="array" ref="I310">_xlfn.SWITCH(A310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10" s="4">
        <f>IF(AND(B310=Werte!B310,LEFT(A310,5)=LEFT(Werte!A310,5)),Werte!C310,"not found")</f>
        <v>1.6666666666666701</v>
      </c>
      <c r="K310" s="4">
        <f>IF(AND(B310=Werte!B310,LEFT(A310,5)=LEFT(Werte!A310,5)),Werte!D310,"not found")</f>
        <v>0</v>
      </c>
      <c r="L310" s="4">
        <f>IF(AND(B310=Werte!B310,LEFT(A310,5)=LEFT(Werte!A310,5)),Werte!E310,"not found")</f>
        <v>0.1875</v>
      </c>
      <c r="M310" s="4">
        <f>IF(AND(B310=Werte!B310,LEFT(A310,5)=LEFT(Werte!A310,5)),Werte!F310,"not found")</f>
        <v>0.37870162876688301</v>
      </c>
      <c r="N310" s="4" t="str">
        <f t="shared" si="9"/>
        <v>helfer</v>
      </c>
      <c r="O310" s="4" cm="1">
        <f t="array" ref="O310">_xlfn.SWITCH(A310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10" s="4" t="str">
        <f>IF(Nodes[[#This Row],[Bezeichnung2]] = "betrueger",1,"")</f>
        <v/>
      </c>
      <c r="Q310" s="4" t="str">
        <f>IF(Nodes[[#This Row],[Bezeichnung2]] = "betrogener",2,"")</f>
        <v/>
      </c>
      <c r="R310" s="4" t="str">
        <f>IF(Nodes[[#This Row],[Bezeichnung2]] = "liebender",3,"")</f>
        <v/>
      </c>
      <c r="S310" s="4" t="str">
        <f>IF(Nodes[[#This Row],[Bezeichnung2]] = "liebende",4,"")</f>
        <v/>
      </c>
      <c r="T310" s="4" t="str">
        <f>IF(Nodes[[#This Row],[Bezeichnung2]] = "gegenspieler",5,"")</f>
        <v/>
      </c>
    </row>
    <row r="311" spans="1:20" x14ac:dyDescent="0.3">
      <c r="A311" t="s">
        <v>317</v>
      </c>
      <c r="B311" t="s">
        <v>321</v>
      </c>
      <c r="C311" t="s">
        <v>18</v>
      </c>
      <c r="D311" t="s">
        <v>92</v>
      </c>
      <c r="E311" t="s">
        <v>47</v>
      </c>
      <c r="F311" t="s">
        <v>93</v>
      </c>
      <c r="G311" t="s">
        <v>26</v>
      </c>
      <c r="H311" t="str">
        <f t="shared" si="8"/>
        <v>klerus</v>
      </c>
      <c r="I311" t="str" cm="1">
        <f t="array" ref="I311">_xlfn.SWITCH(A311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11" s="4">
        <f>IF(AND(B311=Werte!B311,LEFT(A311,5)=LEFT(Werte!A311,5)),Werte!C311,"not found")</f>
        <v>1.3333333333333299</v>
      </c>
      <c r="K311" s="4">
        <f>IF(AND(B311=Werte!B311,LEFT(A311,5)=LEFT(Werte!A311,5)),Werte!D311,"not found")</f>
        <v>0.51111111111111096</v>
      </c>
      <c r="L311" s="4">
        <f>IF(AND(B311=Werte!B311,LEFT(A311,5)=LEFT(Werte!A311,5)),Werte!E311,"not found")</f>
        <v>0.28571428571428598</v>
      </c>
      <c r="M311" s="4">
        <f>IF(AND(B311=Werte!B311,LEFT(A311,5)=LEFT(Werte!A311,5)),Werte!F311,"not found")</f>
        <v>9.4801868264653699E-2</v>
      </c>
      <c r="N311" s="4" t="str">
        <f t="shared" si="9"/>
        <v>betrogener</v>
      </c>
      <c r="O311" s="4" cm="1">
        <f t="array" ref="O311">_xlfn.SWITCH(A311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11" s="4" t="str">
        <f>IF(Nodes[[#This Row],[Bezeichnung2]] = "betrueger",1,"")</f>
        <v/>
      </c>
      <c r="Q311" s="4">
        <f>IF(Nodes[[#This Row],[Bezeichnung2]] = "betrogener",2,"")</f>
        <v>2</v>
      </c>
      <c r="R311" s="4" t="str">
        <f>IF(Nodes[[#This Row],[Bezeichnung2]] = "liebender",3,"")</f>
        <v/>
      </c>
      <c r="S311" s="4" t="str">
        <f>IF(Nodes[[#This Row],[Bezeichnung2]] = "liebende",4,"")</f>
        <v/>
      </c>
      <c r="T311" s="4" t="str">
        <f>IF(Nodes[[#This Row],[Bezeichnung2]] = "gegenspieler",5,"")</f>
        <v/>
      </c>
    </row>
    <row r="312" spans="1:20" x14ac:dyDescent="0.3">
      <c r="A312" t="s">
        <v>322</v>
      </c>
      <c r="B312" t="s">
        <v>115</v>
      </c>
      <c r="C312" t="s">
        <v>18</v>
      </c>
      <c r="D312" t="s">
        <v>148</v>
      </c>
      <c r="E312" t="s">
        <v>47</v>
      </c>
      <c r="F312" t="s">
        <v>21</v>
      </c>
      <c r="G312" t="s">
        <v>22</v>
      </c>
      <c r="H312" t="str">
        <f t="shared" si="8"/>
        <v>bauer</v>
      </c>
      <c r="I312" t="str" cm="1">
        <f t="array" ref="I312">_xlfn.SWITCH(A312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12" s="4">
        <f>IF(AND(B312=Werte!B312,LEFT(A312,5)=LEFT(Werte!A312,5)),Werte!C312,"not found")</f>
        <v>0</v>
      </c>
      <c r="K312" s="4">
        <f>IF(AND(B312=Werte!B312,LEFT(A312,5)=LEFT(Werte!A312,5)),Werte!D312,"not found")</f>
        <v>0</v>
      </c>
      <c r="L312" s="4">
        <f>IF(AND(B312=Werte!B312,LEFT(A312,5)=LEFT(Werte!A312,5)),Werte!E312,"not found")</f>
        <v>0</v>
      </c>
      <c r="M312" s="4">
        <f>IF(AND(B312=Werte!B312,LEFT(A312,5)=LEFT(Werte!A312,5)),Werte!F312,"not found")</f>
        <v>0</v>
      </c>
      <c r="N312" s="4" t="str">
        <f t="shared" si="9"/>
        <v>ehemann</v>
      </c>
      <c r="O312" s="4" cm="1">
        <f t="array" ref="O312">_xlfn.SWITCH(A312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12" s="4" t="str">
        <f>IF(Nodes[[#This Row],[Bezeichnung2]] = "betrueger",1,"")</f>
        <v/>
      </c>
      <c r="Q312" s="4" t="str">
        <f>IF(Nodes[[#This Row],[Bezeichnung2]] = "betrogener",2,"")</f>
        <v/>
      </c>
      <c r="R312" s="4" t="str">
        <f>IF(Nodes[[#This Row],[Bezeichnung2]] = "liebender",3,"")</f>
        <v/>
      </c>
      <c r="S312" s="4" t="str">
        <f>IF(Nodes[[#This Row],[Bezeichnung2]] = "liebende",4,"")</f>
        <v/>
      </c>
      <c r="T312" s="4" t="str">
        <f>IF(Nodes[[#This Row],[Bezeichnung2]] = "gegenspieler",5,"")</f>
        <v/>
      </c>
    </row>
    <row r="313" spans="1:20" x14ac:dyDescent="0.3">
      <c r="A313" t="s">
        <v>322</v>
      </c>
      <c r="B313" t="s">
        <v>323</v>
      </c>
      <c r="C313" t="s">
        <v>24</v>
      </c>
      <c r="D313" t="s">
        <v>148</v>
      </c>
      <c r="E313" t="s">
        <v>47</v>
      </c>
      <c r="F313" t="s">
        <v>324</v>
      </c>
      <c r="G313" t="s">
        <v>22</v>
      </c>
      <c r="H313" t="str">
        <f t="shared" si="8"/>
        <v>bauer</v>
      </c>
      <c r="I313" t="str" cm="1">
        <f t="array" ref="I313">_xlfn.SWITCH(A313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13" s="4">
        <f>IF(AND(B313=Werte!B313,LEFT(A313,5)=LEFT(Werte!A313,5)),Werte!C313,"not found")</f>
        <v>0</v>
      </c>
      <c r="K313" s="4">
        <f>IF(AND(B313=Werte!B313,LEFT(A313,5)=LEFT(Werte!A313,5)),Werte!D313,"not found")</f>
        <v>0</v>
      </c>
      <c r="L313" s="4">
        <f>IF(AND(B313=Werte!B313,LEFT(A313,5)=LEFT(Werte!A313,5)),Werte!E313,"not found")</f>
        <v>0</v>
      </c>
      <c r="M313" s="4">
        <f>IF(AND(B313=Werte!B313,LEFT(A313,5)=LEFT(Werte!A313,5)),Werte!F313,"not found")</f>
        <v>0</v>
      </c>
      <c r="N313" s="4" t="str">
        <f t="shared" si="9"/>
        <v>ehefrau/gegenspieler</v>
      </c>
      <c r="O313" s="4" cm="1">
        <f t="array" ref="O313">_xlfn.SWITCH(A313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13" s="4" t="str">
        <f>IF(Nodes[[#This Row],[Bezeichnung2]] = "betrueger",1,"")</f>
        <v/>
      </c>
      <c r="Q313" s="4" t="str">
        <f>IF(Nodes[[#This Row],[Bezeichnung2]] = "betrogener",2,"")</f>
        <v/>
      </c>
      <c r="R313" s="4" t="str">
        <f>IF(Nodes[[#This Row],[Bezeichnung2]] = "liebender",3,"")</f>
        <v/>
      </c>
      <c r="S313" s="4" t="str">
        <f>IF(Nodes[[#This Row],[Bezeichnung2]] = "liebende",4,"")</f>
        <v/>
      </c>
      <c r="T313" s="4" t="str">
        <f>IF(Nodes[[#This Row],[Bezeichnung2]] = "gegenspieler",5,"")</f>
        <v/>
      </c>
    </row>
    <row r="314" spans="1:20" x14ac:dyDescent="0.3">
      <c r="A314" t="s">
        <v>322</v>
      </c>
      <c r="B314" t="s">
        <v>325</v>
      </c>
      <c r="C314" t="s">
        <v>46</v>
      </c>
      <c r="D314" t="s">
        <v>47</v>
      </c>
      <c r="E314" t="s">
        <v>47</v>
      </c>
      <c r="F314" t="s">
        <v>53</v>
      </c>
      <c r="G314" t="s">
        <v>26</v>
      </c>
      <c r="H314" t="str">
        <f t="shared" si="8"/>
        <v>unbekannt</v>
      </c>
      <c r="I314" t="str" cm="1">
        <f t="array" ref="I314">_xlfn.SWITCH(A314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14" s="4">
        <f>IF(AND(B314=Werte!B314,LEFT(A314,5)=LEFT(Werte!A314,5)),Werte!C314,"not found")</f>
        <v>0</v>
      </c>
      <c r="K314" s="4">
        <f>IF(AND(B314=Werte!B314,LEFT(A314,5)=LEFT(Werte!A314,5)),Werte!D314,"not found")</f>
        <v>0</v>
      </c>
      <c r="L314" s="4">
        <f>IF(AND(B314=Werte!B314,LEFT(A314,5)=LEFT(Werte!A314,5)),Werte!E314,"not found")</f>
        <v>0</v>
      </c>
      <c r="M314" s="4">
        <f>IF(AND(B314=Werte!B314,LEFT(A314,5)=LEFT(Werte!A314,5)),Werte!F314,"not found")</f>
        <v>0</v>
      </c>
      <c r="N314" s="4" t="str">
        <f t="shared" si="9"/>
        <v>helfer</v>
      </c>
      <c r="O314" s="4" cm="1">
        <f t="array" ref="O314">_xlfn.SWITCH(A314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14" s="4" t="str">
        <f>IF(Nodes[[#This Row],[Bezeichnung2]] = "betrueger",1,"")</f>
        <v/>
      </c>
      <c r="Q314" s="4" t="str">
        <f>IF(Nodes[[#This Row],[Bezeichnung2]] = "betrogener",2,"")</f>
        <v/>
      </c>
      <c r="R314" s="4" t="str">
        <f>IF(Nodes[[#This Row],[Bezeichnung2]] = "liebender",3,"")</f>
        <v/>
      </c>
      <c r="S314" s="4" t="str">
        <f>IF(Nodes[[#This Row],[Bezeichnung2]] = "liebende",4,"")</f>
        <v/>
      </c>
      <c r="T314" s="4" t="str">
        <f>IF(Nodes[[#This Row],[Bezeichnung2]] = "gegenspieler",5,"")</f>
        <v/>
      </c>
    </row>
    <row r="315" spans="1:20" x14ac:dyDescent="0.3">
      <c r="A315" t="s">
        <v>326</v>
      </c>
      <c r="B315" t="s">
        <v>56</v>
      </c>
      <c r="C315" t="s">
        <v>18</v>
      </c>
      <c r="D315" t="s">
        <v>57</v>
      </c>
      <c r="E315" t="s">
        <v>47</v>
      </c>
      <c r="F315" t="s">
        <v>21</v>
      </c>
      <c r="G315" t="s">
        <v>22</v>
      </c>
      <c r="H315" t="str">
        <f t="shared" si="8"/>
        <v>adel</v>
      </c>
      <c r="I315" t="str" cm="1">
        <f t="array" ref="I315">_xlfn.SWITCH(A315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15" s="4">
        <f>IF(AND(B315=Werte!B315,LEFT(A315,5)=LEFT(Werte!A315,5)),Werte!C315,"not found")</f>
        <v>1.71428571428571</v>
      </c>
      <c r="K315" s="4">
        <f>IF(AND(B315=Werte!B315,LEFT(A315,5)=LEFT(Werte!A315,5)),Werte!D315,"not found")</f>
        <v>0.119047619047619</v>
      </c>
      <c r="L315" s="4">
        <f>IF(AND(B315=Werte!B315,LEFT(A315,5)=LEFT(Werte!A315,5)),Werte!E315,"not found")</f>
        <v>0.5</v>
      </c>
      <c r="M315" s="4">
        <f>IF(AND(B315=Werte!B315,LEFT(A315,5)=LEFT(Werte!A315,5)),Werte!F315,"not found")</f>
        <v>0.92679401514459703</v>
      </c>
      <c r="N315" s="4" t="str">
        <f t="shared" si="9"/>
        <v>ehemann</v>
      </c>
      <c r="O315" s="4" cm="1">
        <f t="array" ref="O315">_xlfn.SWITCH(A315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15" s="4" t="str">
        <f>IF(Nodes[[#This Row],[Bezeichnung2]] = "betrueger",1,"")</f>
        <v/>
      </c>
      <c r="Q315" s="4" t="str">
        <f>IF(Nodes[[#This Row],[Bezeichnung2]] = "betrogener",2,"")</f>
        <v/>
      </c>
      <c r="R315" s="4" t="str">
        <f>IF(Nodes[[#This Row],[Bezeichnung2]] = "liebender",3,"")</f>
        <v/>
      </c>
      <c r="S315" s="4" t="str">
        <f>IF(Nodes[[#This Row],[Bezeichnung2]] = "liebende",4,"")</f>
        <v/>
      </c>
      <c r="T315" s="4" t="str">
        <f>IF(Nodes[[#This Row],[Bezeichnung2]] = "gegenspieler",5,"")</f>
        <v/>
      </c>
    </row>
    <row r="316" spans="1:20" x14ac:dyDescent="0.3">
      <c r="A316" t="s">
        <v>326</v>
      </c>
      <c r="B316" t="s">
        <v>85</v>
      </c>
      <c r="C316" t="s">
        <v>24</v>
      </c>
      <c r="D316" t="s">
        <v>86</v>
      </c>
      <c r="E316" t="s">
        <v>47</v>
      </c>
      <c r="F316" t="s">
        <v>25</v>
      </c>
      <c r="G316" t="s">
        <v>22</v>
      </c>
      <c r="H316" t="str">
        <f t="shared" si="8"/>
        <v>adel</v>
      </c>
      <c r="I316" t="str" cm="1">
        <f t="array" ref="I316">_xlfn.SWITCH(A316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16" s="4">
        <f>IF(AND(B316=Werte!B316,LEFT(A316,5)=LEFT(Werte!A316,5)),Werte!C316,"not found")</f>
        <v>2</v>
      </c>
      <c r="K316" s="4">
        <f>IF(AND(B316=Werte!B316,LEFT(A316,5)=LEFT(Werte!A316,5)),Werte!D316,"not found")</f>
        <v>0.15079365079365101</v>
      </c>
      <c r="L316" s="4">
        <f>IF(AND(B316=Werte!B316,LEFT(A316,5)=LEFT(Werte!A316,5)),Werte!E316,"not found")</f>
        <v>0.53846153846153799</v>
      </c>
      <c r="M316" s="4">
        <f>IF(AND(B316=Werte!B316,LEFT(A316,5)=LEFT(Werte!A316,5)),Werte!F316,"not found")</f>
        <v>1</v>
      </c>
      <c r="N316" s="4" t="str">
        <f t="shared" si="9"/>
        <v>ehefrau</v>
      </c>
      <c r="O316" s="4" cm="1">
        <f t="array" ref="O316">_xlfn.SWITCH(A316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16" s="4" t="str">
        <f>IF(Nodes[[#This Row],[Bezeichnung2]] = "betrueger",1,"")</f>
        <v/>
      </c>
      <c r="Q316" s="4" t="str">
        <f>IF(Nodes[[#This Row],[Bezeichnung2]] = "betrogener",2,"")</f>
        <v/>
      </c>
      <c r="R316" s="4" t="str">
        <f>IF(Nodes[[#This Row],[Bezeichnung2]] = "liebender",3,"")</f>
        <v/>
      </c>
      <c r="S316" s="4" t="str">
        <f>IF(Nodes[[#This Row],[Bezeichnung2]] = "liebende",4,"")</f>
        <v/>
      </c>
      <c r="T316" s="4" t="str">
        <f>IF(Nodes[[#This Row],[Bezeichnung2]] = "gegenspieler",5,"")</f>
        <v/>
      </c>
    </row>
    <row r="317" spans="1:20" x14ac:dyDescent="0.3">
      <c r="A317" t="s">
        <v>326</v>
      </c>
      <c r="B317" t="s">
        <v>327</v>
      </c>
      <c r="C317" t="s">
        <v>24</v>
      </c>
      <c r="D317" t="s">
        <v>47</v>
      </c>
      <c r="E317" t="s">
        <v>47</v>
      </c>
      <c r="F317" t="s">
        <v>47</v>
      </c>
      <c r="G317" t="s">
        <v>26</v>
      </c>
      <c r="H317" t="str">
        <f t="shared" si="8"/>
        <v>unbekannt</v>
      </c>
      <c r="I317" t="str" cm="1">
        <f t="array" ref="I317">_xlfn.SWITCH(A317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17" s="4">
        <f>IF(AND(B317=Werte!B317,LEFT(A317,5)=LEFT(Werte!A317,5)),Werte!C317,"not found")</f>
        <v>0.57142857142857095</v>
      </c>
      <c r="K317" s="4">
        <f>IF(AND(B317=Werte!B317,LEFT(A317,5)=LEFT(Werte!A317,5)),Werte!D317,"not found")</f>
        <v>2.3809523809523801E-2</v>
      </c>
      <c r="L317" s="4">
        <f>IF(AND(B317=Werte!B317,LEFT(A317,5)=LEFT(Werte!A317,5)),Werte!E317,"not found")</f>
        <v>0.41176470588235298</v>
      </c>
      <c r="M317" s="4">
        <f>IF(AND(B317=Werte!B317,LEFT(A317,5)=LEFT(Werte!A317,5)),Werte!F317,"not found")</f>
        <v>0.102434267109328</v>
      </c>
      <c r="N317" s="4" t="str">
        <f t="shared" si="9"/>
        <v>unbekannt</v>
      </c>
      <c r="O317" s="4" cm="1">
        <f t="array" ref="O317">_xlfn.SWITCH(A317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17" s="4" t="str">
        <f>IF(Nodes[[#This Row],[Bezeichnung2]] = "betrueger",1,"")</f>
        <v/>
      </c>
      <c r="Q317" s="4" t="str">
        <f>IF(Nodes[[#This Row],[Bezeichnung2]] = "betrogener",2,"")</f>
        <v/>
      </c>
      <c r="R317" s="4" t="str">
        <f>IF(Nodes[[#This Row],[Bezeichnung2]] = "liebender",3,"")</f>
        <v/>
      </c>
      <c r="S317" s="4" t="str">
        <f>IF(Nodes[[#This Row],[Bezeichnung2]] = "liebende",4,"")</f>
        <v/>
      </c>
      <c r="T317" s="4" t="str">
        <f>IF(Nodes[[#This Row],[Bezeichnung2]] = "gegenspieler",5,"")</f>
        <v/>
      </c>
    </row>
    <row r="318" spans="1:20" x14ac:dyDescent="0.3">
      <c r="A318" t="s">
        <v>326</v>
      </c>
      <c r="B318" t="s">
        <v>328</v>
      </c>
      <c r="C318" t="s">
        <v>46</v>
      </c>
      <c r="D318" t="s">
        <v>47</v>
      </c>
      <c r="E318" t="s">
        <v>47</v>
      </c>
      <c r="F318" t="s">
        <v>47</v>
      </c>
      <c r="G318" t="s">
        <v>26</v>
      </c>
      <c r="H318" t="str">
        <f t="shared" si="8"/>
        <v>unbekannt</v>
      </c>
      <c r="I318" t="str" cm="1">
        <f t="array" ref="I318">_xlfn.SWITCH(A318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18" s="4">
        <f>IF(AND(B318=Werte!B318,LEFT(A318,5)=LEFT(Werte!A318,5)),Werte!C318,"not found")</f>
        <v>0.85714285714285698</v>
      </c>
      <c r="K318" s="4">
        <f>IF(AND(B318=Werte!B318,LEFT(A318,5)=LEFT(Werte!A318,5)),Werte!D318,"not found")</f>
        <v>0</v>
      </c>
      <c r="L318" s="4">
        <f>IF(AND(B318=Werte!B318,LEFT(A318,5)=LEFT(Werte!A318,5)),Werte!E318,"not found")</f>
        <v>0.38888888888888901</v>
      </c>
      <c r="M318" s="4">
        <f>IF(AND(B318=Werte!B318,LEFT(A318,5)=LEFT(Werte!A318,5)),Werte!F318,"not found")</f>
        <v>0.26679899506945498</v>
      </c>
      <c r="N318" s="4" t="str">
        <f t="shared" si="9"/>
        <v>unbekannt</v>
      </c>
      <c r="O318" s="4" cm="1">
        <f t="array" ref="O318">_xlfn.SWITCH(A318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18" s="4" t="str">
        <f>IF(Nodes[[#This Row],[Bezeichnung2]] = "betrueger",1,"")</f>
        <v/>
      </c>
      <c r="Q318" s="4" t="str">
        <f>IF(Nodes[[#This Row],[Bezeichnung2]] = "betrogener",2,"")</f>
        <v/>
      </c>
      <c r="R318" s="4" t="str">
        <f>IF(Nodes[[#This Row],[Bezeichnung2]] = "liebender",3,"")</f>
        <v/>
      </c>
      <c r="S318" s="4" t="str">
        <f>IF(Nodes[[#This Row],[Bezeichnung2]] = "liebende",4,"")</f>
        <v/>
      </c>
      <c r="T318" s="4" t="str">
        <f>IF(Nodes[[#This Row],[Bezeichnung2]] = "gegenspieler",5,"")</f>
        <v/>
      </c>
    </row>
    <row r="319" spans="1:20" x14ac:dyDescent="0.3">
      <c r="A319" t="s">
        <v>326</v>
      </c>
      <c r="B319" t="s">
        <v>329</v>
      </c>
      <c r="C319" t="s">
        <v>46</v>
      </c>
      <c r="D319" t="s">
        <v>47</v>
      </c>
      <c r="E319" t="s">
        <v>47</v>
      </c>
      <c r="F319" t="s">
        <v>47</v>
      </c>
      <c r="G319" t="s">
        <v>26</v>
      </c>
      <c r="H319" t="str">
        <f t="shared" si="8"/>
        <v>unbekannt</v>
      </c>
      <c r="I319" t="str" cm="1">
        <f t="array" ref="I319">_xlfn.SWITCH(A319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19" s="4">
        <f>IF(AND(B319=Werte!B319,LEFT(A319,5)=LEFT(Werte!A319,5)),Werte!C319,"not found")</f>
        <v>1.71428571428571</v>
      </c>
      <c r="K319" s="4">
        <f>IF(AND(B319=Werte!B319,LEFT(A319,5)=LEFT(Werte!A319,5)),Werte!D319,"not found")</f>
        <v>0.40476190476190499</v>
      </c>
      <c r="L319" s="4">
        <f>IF(AND(B319=Werte!B319,LEFT(A319,5)=LEFT(Werte!A319,5)),Werte!E319,"not found")</f>
        <v>0.58333333333333304</v>
      </c>
      <c r="M319" s="4">
        <f>IF(AND(B319=Werte!B319,LEFT(A319,5)=LEFT(Werte!A319,5)),Werte!F319,"not found")</f>
        <v>0.58245763204958501</v>
      </c>
      <c r="N319" s="4" t="str">
        <f t="shared" si="9"/>
        <v>unbekannt</v>
      </c>
      <c r="O319" s="4" cm="1">
        <f t="array" ref="O319">_xlfn.SWITCH(A319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19" s="4" t="str">
        <f>IF(Nodes[[#This Row],[Bezeichnung2]] = "betrueger",1,"")</f>
        <v/>
      </c>
      <c r="Q319" s="4" t="str">
        <f>IF(Nodes[[#This Row],[Bezeichnung2]] = "betrogener",2,"")</f>
        <v/>
      </c>
      <c r="R319" s="4" t="str">
        <f>IF(Nodes[[#This Row],[Bezeichnung2]] = "liebender",3,"")</f>
        <v/>
      </c>
      <c r="S319" s="4" t="str">
        <f>IF(Nodes[[#This Row],[Bezeichnung2]] = "liebende",4,"")</f>
        <v/>
      </c>
      <c r="T319" s="4" t="str">
        <f>IF(Nodes[[#This Row],[Bezeichnung2]] = "gegenspieler",5,"")</f>
        <v/>
      </c>
    </row>
    <row r="320" spans="1:20" x14ac:dyDescent="0.3">
      <c r="A320" t="s">
        <v>326</v>
      </c>
      <c r="B320" t="s">
        <v>330</v>
      </c>
      <c r="C320" t="s">
        <v>47</v>
      </c>
      <c r="D320" t="s">
        <v>47</v>
      </c>
      <c r="E320" t="s">
        <v>47</v>
      </c>
      <c r="F320" t="s">
        <v>47</v>
      </c>
      <c r="G320" t="s">
        <v>26</v>
      </c>
      <c r="H320" t="str">
        <f t="shared" si="8"/>
        <v>unbekannt</v>
      </c>
      <c r="I320" t="str" cm="1">
        <f t="array" ref="I320">_xlfn.SWITCH(A320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20" s="4">
        <f>IF(AND(B320=Werte!B320,LEFT(A320,5)=LEFT(Werte!A320,5)),Werte!C320,"not found")</f>
        <v>0.85714285714285698</v>
      </c>
      <c r="K320" s="4">
        <f>IF(AND(B320=Werte!B320,LEFT(A320,5)=LEFT(Werte!A320,5)),Werte!D320,"not found")</f>
        <v>0.317460317460317</v>
      </c>
      <c r="L320" s="4">
        <f>IF(AND(B320=Werte!B320,LEFT(A320,5)=LEFT(Werte!A320,5)),Werte!E320,"not found")</f>
        <v>0.58333333333333304</v>
      </c>
      <c r="M320" s="4">
        <f>IF(AND(B320=Werte!B320,LEFT(A320,5)=LEFT(Werte!A320,5)),Werte!F320,"not found")</f>
        <v>0.13339949753472699</v>
      </c>
      <c r="N320" s="4" t="str">
        <f t="shared" si="9"/>
        <v>unbekannt</v>
      </c>
      <c r="O320" s="4" cm="1">
        <f t="array" ref="O320">_xlfn.SWITCH(A320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20" s="4" t="str">
        <f>IF(Nodes[[#This Row],[Bezeichnung2]] = "betrueger",1,"")</f>
        <v/>
      </c>
      <c r="Q320" s="4" t="str">
        <f>IF(Nodes[[#This Row],[Bezeichnung2]] = "betrogener",2,"")</f>
        <v/>
      </c>
      <c r="R320" s="4" t="str">
        <f>IF(Nodes[[#This Row],[Bezeichnung2]] = "liebender",3,"")</f>
        <v/>
      </c>
      <c r="S320" s="4" t="str">
        <f>IF(Nodes[[#This Row],[Bezeichnung2]] = "liebende",4,"")</f>
        <v/>
      </c>
      <c r="T320" s="4" t="str">
        <f>IF(Nodes[[#This Row],[Bezeichnung2]] = "gegenspieler",5,"")</f>
        <v/>
      </c>
    </row>
    <row r="321" spans="1:20" x14ac:dyDescent="0.3">
      <c r="A321" t="s">
        <v>326</v>
      </c>
      <c r="B321" t="s">
        <v>152</v>
      </c>
      <c r="C321" t="s">
        <v>18</v>
      </c>
      <c r="D321" t="s">
        <v>153</v>
      </c>
      <c r="E321" t="s">
        <v>47</v>
      </c>
      <c r="F321" t="s">
        <v>53</v>
      </c>
      <c r="G321" t="s">
        <v>26</v>
      </c>
      <c r="H321" t="str">
        <f t="shared" si="8"/>
        <v>klerus</v>
      </c>
      <c r="I321" t="str" cm="1">
        <f t="array" ref="I321">_xlfn.SWITCH(A321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21" s="4">
        <f>IF(AND(B321=Werte!B321,LEFT(A321,5)=LEFT(Werte!A321,5)),Werte!C321,"not found")</f>
        <v>0.85714285714285698</v>
      </c>
      <c r="K321" s="4">
        <f>IF(AND(B321=Werte!B321,LEFT(A321,5)=LEFT(Werte!A321,5)),Werte!D321,"not found")</f>
        <v>0</v>
      </c>
      <c r="L321" s="4">
        <f>IF(AND(B321=Werte!B321,LEFT(A321,5)=LEFT(Werte!A321,5)),Werte!E321,"not found")</f>
        <v>0.38888888888888901</v>
      </c>
      <c r="M321" s="4">
        <f>IF(AND(B321=Werte!B321,LEFT(A321,5)=LEFT(Werte!A321,5)),Werte!F321,"not found")</f>
        <v>0.44459415307636202</v>
      </c>
      <c r="N321" s="4" t="str">
        <f t="shared" si="9"/>
        <v>helfer</v>
      </c>
      <c r="O321" s="4" cm="1">
        <f t="array" ref="O321">_xlfn.SWITCH(A321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21" s="4" t="str">
        <f>IF(Nodes[[#This Row],[Bezeichnung2]] = "betrueger",1,"")</f>
        <v/>
      </c>
      <c r="Q321" s="4" t="str">
        <f>IF(Nodes[[#This Row],[Bezeichnung2]] = "betrogener",2,"")</f>
        <v/>
      </c>
      <c r="R321" s="4" t="str">
        <f>IF(Nodes[[#This Row],[Bezeichnung2]] = "liebender",3,"")</f>
        <v/>
      </c>
      <c r="S321" s="4" t="str">
        <f>IF(Nodes[[#This Row],[Bezeichnung2]] = "liebende",4,"")</f>
        <v/>
      </c>
      <c r="T321" s="4" t="str">
        <f>IF(Nodes[[#This Row],[Bezeichnung2]] = "gegenspieler",5,"")</f>
        <v/>
      </c>
    </row>
    <row r="322" spans="1:20" x14ac:dyDescent="0.3">
      <c r="A322" t="s">
        <v>326</v>
      </c>
      <c r="B322" t="s">
        <v>331</v>
      </c>
      <c r="C322" t="s">
        <v>46</v>
      </c>
      <c r="D322" t="s">
        <v>47</v>
      </c>
      <c r="E322" t="s">
        <v>47</v>
      </c>
      <c r="F322" t="s">
        <v>47</v>
      </c>
      <c r="G322" t="s">
        <v>26</v>
      </c>
      <c r="H322" t="str">
        <f t="shared" ref="H322:H385" si="10">IF(LEFT(D322,4)="adel","adel",IF(LEFT(D322,11)="buergerlich","buergerlich",IF(LEFT(D322,6)="klerus","klerus",IF(D322="NA","NA",IF(LEFT(D322,9)="unbekannt","unbekannt",IF(LEFT(D322,5)="bauer","bauer","not found"))))))</f>
        <v>unbekannt</v>
      </c>
      <c r="I322" t="str" cm="1">
        <f t="array" ref="I322">_xlfn.SWITCH(A322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22" s="4">
        <f>IF(AND(B322=Werte!B322,LEFT(A322,5)=LEFT(Werte!A322,5)),Werte!C322,"not found")</f>
        <v>0.57142857142857095</v>
      </c>
      <c r="K322" s="4">
        <f>IF(AND(B322=Werte!B322,LEFT(A322,5)=LEFT(Werte!A322,5)),Werte!D322,"not found")</f>
        <v>0</v>
      </c>
      <c r="L322" s="4">
        <f>IF(AND(B322=Werte!B322,LEFT(A322,5)=LEFT(Werte!A322,5)),Werte!E322,"not found")</f>
        <v>0.4375</v>
      </c>
      <c r="M322" s="4">
        <f>IF(AND(B322=Werte!B322,LEFT(A322,5)=LEFT(Werte!A322,5)),Werte!F322,"not found")</f>
        <v>0.137291351748379</v>
      </c>
      <c r="N322" s="4" t="str">
        <f t="shared" ref="N322:N385" si="11">IF(RIGHT(F322,10)="betrogener","betrogener",IF(RIGHT(F322,9)="betrueger","betrueger",F322))</f>
        <v>unbekannt</v>
      </c>
      <c r="O322" s="4" cm="1">
        <f t="array" ref="O322">_xlfn.SWITCH(A322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22" s="4" t="str">
        <f>IF(Nodes[[#This Row],[Bezeichnung2]] = "betrueger",1,"")</f>
        <v/>
      </c>
      <c r="Q322" s="4" t="str">
        <f>IF(Nodes[[#This Row],[Bezeichnung2]] = "betrogener",2,"")</f>
        <v/>
      </c>
      <c r="R322" s="4" t="str">
        <f>IF(Nodes[[#This Row],[Bezeichnung2]] = "liebender",3,"")</f>
        <v/>
      </c>
      <c r="S322" s="4" t="str">
        <f>IF(Nodes[[#This Row],[Bezeichnung2]] = "liebende",4,"")</f>
        <v/>
      </c>
      <c r="T322" s="4" t="str">
        <f>IF(Nodes[[#This Row],[Bezeichnung2]] = "gegenspieler",5,"")</f>
        <v/>
      </c>
    </row>
    <row r="323" spans="1:20" x14ac:dyDescent="0.3">
      <c r="A323" t="s">
        <v>332</v>
      </c>
      <c r="B323" t="s">
        <v>333</v>
      </c>
      <c r="C323" t="s">
        <v>18</v>
      </c>
      <c r="D323" t="s">
        <v>31</v>
      </c>
      <c r="E323" t="s">
        <v>32</v>
      </c>
      <c r="F323" t="s">
        <v>33</v>
      </c>
      <c r="G323" t="s">
        <v>26</v>
      </c>
      <c r="H323" t="str">
        <f t="shared" si="10"/>
        <v>adel</v>
      </c>
      <c r="I323" t="str" cm="1">
        <f t="array" ref="I323">_xlfn.SWITCH(A323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323" s="4">
        <f>IF(AND(B323=Werte!B323,LEFT(A323,5)=LEFT(Werte!A323,5)),Werte!C323,"not found")</f>
        <v>0.72727272727272696</v>
      </c>
      <c r="K323" s="4">
        <f>IF(AND(B323=Werte!B323,LEFT(A323,5)=LEFT(Werte!A323,5)),Werte!D323,"not found")</f>
        <v>0.118181818181818</v>
      </c>
      <c r="L323" s="4">
        <f>IF(AND(B323=Werte!B323,LEFT(A323,5)=LEFT(Werte!A323,5)),Werte!E323,"not found")</f>
        <v>0.36666666666666697</v>
      </c>
      <c r="M323" s="4">
        <f>IF(AND(B323=Werte!B323,LEFT(A323,5)=LEFT(Werte!A323,5)),Werte!F323,"not found")</f>
        <v>0.11230244846644601</v>
      </c>
      <c r="N323" s="4" t="str">
        <f t="shared" si="11"/>
        <v>vater</v>
      </c>
      <c r="O323" s="4" cm="1">
        <f t="array" ref="O323">_xlfn.SWITCH(A323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23" s="4" t="str">
        <f>IF(Nodes[[#This Row],[Bezeichnung2]] = "betrueger",1,"")</f>
        <v/>
      </c>
      <c r="Q323" s="4" t="str">
        <f>IF(Nodes[[#This Row],[Bezeichnung2]] = "betrogener",2,"")</f>
        <v/>
      </c>
      <c r="R323" s="4" t="str">
        <f>IF(Nodes[[#This Row],[Bezeichnung2]] = "liebender",3,"")</f>
        <v/>
      </c>
      <c r="S323" s="4" t="str">
        <f>IF(Nodes[[#This Row],[Bezeichnung2]] = "liebende",4,"")</f>
        <v/>
      </c>
      <c r="T323" s="4" t="str">
        <f>IF(Nodes[[#This Row],[Bezeichnung2]] = "gegenspieler",5,"")</f>
        <v/>
      </c>
    </row>
    <row r="324" spans="1:20" x14ac:dyDescent="0.3">
      <c r="A324" t="s">
        <v>332</v>
      </c>
      <c r="B324" t="s">
        <v>334</v>
      </c>
      <c r="C324" t="s">
        <v>24</v>
      </c>
      <c r="D324" t="s">
        <v>35</v>
      </c>
      <c r="E324" t="s">
        <v>32</v>
      </c>
      <c r="F324" t="s">
        <v>36</v>
      </c>
      <c r="G324" t="s">
        <v>26</v>
      </c>
      <c r="H324" t="str">
        <f t="shared" si="10"/>
        <v>adel</v>
      </c>
      <c r="I324" t="str" cm="1">
        <f t="array" ref="I324">_xlfn.SWITCH(A324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324" s="4">
        <f>IF(AND(B324=Werte!B324,LEFT(A324,5)=LEFT(Werte!A324,5)),Werte!C324,"not found")</f>
        <v>0.36363636363636398</v>
      </c>
      <c r="K324" s="4">
        <f>IF(AND(B324=Werte!B324,LEFT(A324,5)=LEFT(Werte!A324,5)),Werte!D324,"not found")</f>
        <v>2.27272727272727E-2</v>
      </c>
      <c r="L324" s="4">
        <f>IF(AND(B324=Werte!B324,LEFT(A324,5)=LEFT(Werte!A324,5)),Werte!E324,"not found")</f>
        <v>0.35483870967741898</v>
      </c>
      <c r="M324" s="4">
        <f>IF(AND(B324=Werte!B324,LEFT(A324,5)=LEFT(Werte!A324,5)),Werte!F324,"not found")</f>
        <v>4.05085057459025E-2</v>
      </c>
      <c r="N324" s="4" t="str">
        <f t="shared" si="11"/>
        <v>mutter</v>
      </c>
      <c r="O324" s="4" cm="1">
        <f t="array" ref="O324">_xlfn.SWITCH(A324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24" s="4" t="str">
        <f>IF(Nodes[[#This Row],[Bezeichnung2]] = "betrueger",1,"")</f>
        <v/>
      </c>
      <c r="Q324" s="4" t="str">
        <f>IF(Nodes[[#This Row],[Bezeichnung2]] = "betrogener",2,"")</f>
        <v/>
      </c>
      <c r="R324" s="4" t="str">
        <f>IF(Nodes[[#This Row],[Bezeichnung2]] = "liebender",3,"")</f>
        <v/>
      </c>
      <c r="S324" s="4" t="str">
        <f>IF(Nodes[[#This Row],[Bezeichnung2]] = "liebende",4,"")</f>
        <v/>
      </c>
      <c r="T324" s="4" t="str">
        <f>IF(Nodes[[#This Row],[Bezeichnung2]] = "gegenspieler",5,"")</f>
        <v/>
      </c>
    </row>
    <row r="325" spans="1:20" x14ac:dyDescent="0.3">
      <c r="A325" t="s">
        <v>332</v>
      </c>
      <c r="B325" t="s">
        <v>335</v>
      </c>
      <c r="C325" t="s">
        <v>24</v>
      </c>
      <c r="D325" t="s">
        <v>336</v>
      </c>
      <c r="E325" t="s">
        <v>20</v>
      </c>
      <c r="F325" t="s">
        <v>340</v>
      </c>
      <c r="G325" t="s">
        <v>22</v>
      </c>
      <c r="H325" t="str">
        <f t="shared" si="10"/>
        <v>adel</v>
      </c>
      <c r="I325" t="str" cm="1">
        <f t="array" ref="I325">_xlfn.SWITCH(A325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325" s="4">
        <f>IF(AND(B325=Werte!B325,LEFT(A325,5)=LEFT(Werte!A325,5)),Werte!C325,"not found")</f>
        <v>1.8181818181818199</v>
      </c>
      <c r="K325" s="4">
        <f>IF(AND(B325=Werte!B325,LEFT(A325,5)=LEFT(Werte!A325,5)),Werte!D325,"not found")</f>
        <v>0.49545454545454498</v>
      </c>
      <c r="L325" s="4">
        <f>IF(AND(B325=Werte!B325,LEFT(A325,5)=LEFT(Werte!A325,5)),Werte!E325,"not found")</f>
        <v>0.44</v>
      </c>
      <c r="M325" s="4">
        <f>IF(AND(B325=Werte!B325,LEFT(A325,5)=LEFT(Werte!A325,5)),Werte!F325,"not found")</f>
        <v>0.99658329577265603</v>
      </c>
      <c r="N325" s="4" t="str">
        <f t="shared" si="11"/>
        <v>betrueger</v>
      </c>
      <c r="O325" s="4" cm="1">
        <f t="array" ref="O325">_xlfn.SWITCH(A325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25" s="4">
        <f>IF(Nodes[[#This Row],[Bezeichnung2]] = "betrueger",1,"")</f>
        <v>1</v>
      </c>
      <c r="Q325" s="4" t="str">
        <f>IF(Nodes[[#This Row],[Bezeichnung2]] = "betrogener",2,"")</f>
        <v/>
      </c>
      <c r="R325" s="4" t="str">
        <f>IF(Nodes[[#This Row],[Bezeichnung2]] = "liebender",3,"")</f>
        <v/>
      </c>
      <c r="S325" s="4" t="str">
        <f>IF(Nodes[[#This Row],[Bezeichnung2]] = "liebende",4,"")</f>
        <v/>
      </c>
      <c r="T325" s="4" t="str">
        <f>IF(Nodes[[#This Row],[Bezeichnung2]] = "gegenspieler",5,"")</f>
        <v/>
      </c>
    </row>
    <row r="326" spans="1:20" x14ac:dyDescent="0.3">
      <c r="A326" t="s">
        <v>332</v>
      </c>
      <c r="B326" t="s">
        <v>337</v>
      </c>
      <c r="C326" t="s">
        <v>18</v>
      </c>
      <c r="D326" t="s">
        <v>338</v>
      </c>
      <c r="E326" t="s">
        <v>47</v>
      </c>
      <c r="F326" t="s">
        <v>47</v>
      </c>
      <c r="G326" t="s">
        <v>26</v>
      </c>
      <c r="H326" t="str">
        <f t="shared" si="10"/>
        <v>adel</v>
      </c>
      <c r="I326" t="str" cm="1">
        <f t="array" ref="I326">_xlfn.SWITCH(A326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326" s="4">
        <f>IF(AND(B326=Werte!B326,LEFT(A326,5)=LEFT(Werte!A326,5)),Werte!C326,"not found")</f>
        <v>0.36363636363636398</v>
      </c>
      <c r="K326" s="4">
        <f>IF(AND(B326=Werte!B326,LEFT(A326,5)=LEFT(Werte!A326,5)),Werte!D326,"not found")</f>
        <v>2.27272727272727E-2</v>
      </c>
      <c r="L326" s="4">
        <f>IF(AND(B326=Werte!B326,LEFT(A326,5)=LEFT(Werte!A326,5)),Werte!E326,"not found")</f>
        <v>0.35483870967741898</v>
      </c>
      <c r="M326" s="4">
        <f>IF(AND(B326=Werte!B326,LEFT(A326,5)=LEFT(Werte!A326,5)),Werte!F326,"not found")</f>
        <v>4.05085057459025E-2</v>
      </c>
      <c r="N326" s="4" t="str">
        <f t="shared" si="11"/>
        <v>unbekannt</v>
      </c>
      <c r="O326" s="4" cm="1">
        <f t="array" ref="O326">_xlfn.SWITCH(A326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26" s="4" t="str">
        <f>IF(Nodes[[#This Row],[Bezeichnung2]] = "betrueger",1,"")</f>
        <v/>
      </c>
      <c r="Q326" s="4" t="str">
        <f>IF(Nodes[[#This Row],[Bezeichnung2]] = "betrogener",2,"")</f>
        <v/>
      </c>
      <c r="R326" s="4" t="str">
        <f>IF(Nodes[[#This Row],[Bezeichnung2]] = "liebender",3,"")</f>
        <v/>
      </c>
      <c r="S326" s="4" t="str">
        <f>IF(Nodes[[#This Row],[Bezeichnung2]] = "liebende",4,"")</f>
        <v/>
      </c>
      <c r="T326" s="4" t="str">
        <f>IF(Nodes[[#This Row],[Bezeichnung2]] = "gegenspieler",5,"")</f>
        <v/>
      </c>
    </row>
    <row r="327" spans="1:20" x14ac:dyDescent="0.3">
      <c r="A327" t="s">
        <v>332</v>
      </c>
      <c r="B327" t="s">
        <v>339</v>
      </c>
      <c r="C327" t="s">
        <v>18</v>
      </c>
      <c r="D327" t="s">
        <v>57</v>
      </c>
      <c r="E327" t="s">
        <v>47</v>
      </c>
      <c r="F327" t="s">
        <v>340</v>
      </c>
      <c r="G327" t="s">
        <v>22</v>
      </c>
      <c r="H327" t="str">
        <f t="shared" si="10"/>
        <v>adel</v>
      </c>
      <c r="I327" t="str" cm="1">
        <f t="array" ref="I327">_xlfn.SWITCH(A327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327" s="4">
        <f>IF(AND(B327=Werte!B327,LEFT(A327,5)=LEFT(Werte!A327,5)),Werte!C327,"not found")</f>
        <v>1.4545454545454499</v>
      </c>
      <c r="K327" s="4">
        <f>IF(AND(B327=Werte!B327,LEFT(A327,5)=LEFT(Werte!A327,5)),Werte!D327,"not found")</f>
        <v>0.35</v>
      </c>
      <c r="L327" s="4">
        <f>IF(AND(B327=Werte!B327,LEFT(A327,5)=LEFT(Werte!A327,5)),Werte!E327,"not found")</f>
        <v>0.407407407407407</v>
      </c>
      <c r="M327" s="4">
        <f>IF(AND(B327=Werte!B327,LEFT(A327,5)=LEFT(Werte!A327,5)),Werte!F327,"not found")</f>
        <v>1</v>
      </c>
      <c r="N327" s="4" t="str">
        <f t="shared" si="11"/>
        <v>betrueger</v>
      </c>
      <c r="O327" s="4" cm="1">
        <f t="array" ref="O327">_xlfn.SWITCH(A327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27" s="4">
        <f>IF(Nodes[[#This Row],[Bezeichnung2]] = "betrueger",1,"")</f>
        <v>1</v>
      </c>
      <c r="Q327" s="4" t="str">
        <f>IF(Nodes[[#This Row],[Bezeichnung2]] = "betrogener",2,"")</f>
        <v/>
      </c>
      <c r="R327" s="4" t="str">
        <f>IF(Nodes[[#This Row],[Bezeichnung2]] = "liebender",3,"")</f>
        <v/>
      </c>
      <c r="S327" s="4" t="str">
        <f>IF(Nodes[[#This Row],[Bezeichnung2]] = "liebende",4,"")</f>
        <v/>
      </c>
      <c r="T327" s="4" t="str">
        <f>IF(Nodes[[#This Row],[Bezeichnung2]] = "gegenspieler",5,"")</f>
        <v/>
      </c>
    </row>
    <row r="328" spans="1:20" x14ac:dyDescent="0.3">
      <c r="A328" t="s">
        <v>332</v>
      </c>
      <c r="B328" t="s">
        <v>341</v>
      </c>
      <c r="C328" t="s">
        <v>18</v>
      </c>
      <c r="D328" t="s">
        <v>119</v>
      </c>
      <c r="E328" t="s">
        <v>47</v>
      </c>
      <c r="F328" t="s">
        <v>53</v>
      </c>
      <c r="G328" t="s">
        <v>26</v>
      </c>
      <c r="H328" t="str">
        <f t="shared" si="10"/>
        <v>adel</v>
      </c>
      <c r="I328" t="str" cm="1">
        <f t="array" ref="I328">_xlfn.SWITCH(A328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328" s="4">
        <f>IF(AND(B328=Werte!B328,LEFT(A328,5)=LEFT(Werte!A328,5)),Werte!C328,"not found")</f>
        <v>0.36363636363636398</v>
      </c>
      <c r="K328" s="4">
        <f>IF(AND(B328=Werte!B328,LEFT(A328,5)=LEFT(Werte!A328,5)),Werte!D328,"not found")</f>
        <v>0</v>
      </c>
      <c r="L328" s="4">
        <f>IF(AND(B328=Werte!B328,LEFT(A328,5)=LEFT(Werte!A328,5)),Werte!E328,"not found")</f>
        <v>0.2</v>
      </c>
      <c r="M328" s="4">
        <f>IF(AND(B328=Werte!B328,LEFT(A328,5)=LEFT(Werte!A328,5)),Werte!F328,"not found")</f>
        <v>0.29187211658206402</v>
      </c>
      <c r="N328" s="4" t="str">
        <f t="shared" si="11"/>
        <v>helfer</v>
      </c>
      <c r="O328" s="4" cm="1">
        <f t="array" ref="O328">_xlfn.SWITCH(A328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28" s="4" t="str">
        <f>IF(Nodes[[#This Row],[Bezeichnung2]] = "betrueger",1,"")</f>
        <v/>
      </c>
      <c r="Q328" s="4" t="str">
        <f>IF(Nodes[[#This Row],[Bezeichnung2]] = "betrogener",2,"")</f>
        <v/>
      </c>
      <c r="R328" s="4" t="str">
        <f>IF(Nodes[[#This Row],[Bezeichnung2]] = "liebender",3,"")</f>
        <v/>
      </c>
      <c r="S328" s="4" t="str">
        <f>IF(Nodes[[#This Row],[Bezeichnung2]] = "liebende",4,"")</f>
        <v/>
      </c>
      <c r="T328" s="4" t="str">
        <f>IF(Nodes[[#This Row],[Bezeichnung2]] = "gegenspieler",5,"")</f>
        <v/>
      </c>
    </row>
    <row r="329" spans="1:20" x14ac:dyDescent="0.3">
      <c r="A329" t="s">
        <v>332</v>
      </c>
      <c r="B329" t="s">
        <v>309</v>
      </c>
      <c r="C329" t="s">
        <v>46</v>
      </c>
      <c r="D329" t="s">
        <v>47</v>
      </c>
      <c r="E329" t="s">
        <v>47</v>
      </c>
      <c r="F329" t="s">
        <v>47</v>
      </c>
      <c r="G329" t="s">
        <v>26</v>
      </c>
      <c r="H329" t="str">
        <f t="shared" si="10"/>
        <v>unbekannt</v>
      </c>
      <c r="I329" t="str" cm="1">
        <f t="array" ref="I329">_xlfn.SWITCH(A329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329" s="4">
        <f>IF(AND(B329=Werte!B329,LEFT(A329,5)=LEFT(Werte!A329,5)),Werte!C329,"not found")</f>
        <v>0.18181818181818199</v>
      </c>
      <c r="K329" s="4">
        <f>IF(AND(B329=Werte!B329,LEFT(A329,5)=LEFT(Werte!A329,5)),Werte!D329,"not found")</f>
        <v>0</v>
      </c>
      <c r="L329" s="4">
        <f>IF(AND(B329=Werte!B329,LEFT(A329,5)=LEFT(Werte!A329,5)),Werte!E329,"not found")</f>
        <v>0.23404255319148901</v>
      </c>
      <c r="M329" s="4">
        <f>IF(AND(B329=Werte!B329,LEFT(A329,5)=LEFT(Werte!A329,5)),Werte!F329,"not found")</f>
        <v>7.3061640401371905E-2</v>
      </c>
      <c r="N329" s="4" t="str">
        <f t="shared" si="11"/>
        <v>unbekannt</v>
      </c>
      <c r="O329" s="4" cm="1">
        <f t="array" ref="O329">_xlfn.SWITCH(A329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29" s="4" t="str">
        <f>IF(Nodes[[#This Row],[Bezeichnung2]] = "betrueger",1,"")</f>
        <v/>
      </c>
      <c r="Q329" s="4" t="str">
        <f>IF(Nodes[[#This Row],[Bezeichnung2]] = "betrogener",2,"")</f>
        <v/>
      </c>
      <c r="R329" s="4" t="str">
        <f>IF(Nodes[[#This Row],[Bezeichnung2]] = "liebender",3,"")</f>
        <v/>
      </c>
      <c r="S329" s="4" t="str">
        <f>IF(Nodes[[#This Row],[Bezeichnung2]] = "liebende",4,"")</f>
        <v/>
      </c>
      <c r="T329" s="4" t="str">
        <f>IF(Nodes[[#This Row],[Bezeichnung2]] = "gegenspieler",5,"")</f>
        <v/>
      </c>
    </row>
    <row r="330" spans="1:20" x14ac:dyDescent="0.3">
      <c r="A330" t="s">
        <v>332</v>
      </c>
      <c r="B330" t="s">
        <v>342</v>
      </c>
      <c r="C330" t="s">
        <v>46</v>
      </c>
      <c r="D330" t="s">
        <v>43</v>
      </c>
      <c r="E330" t="s">
        <v>47</v>
      </c>
      <c r="F330" t="s">
        <v>47</v>
      </c>
      <c r="G330" t="s">
        <v>26</v>
      </c>
      <c r="H330" t="str">
        <f t="shared" si="10"/>
        <v>adel</v>
      </c>
      <c r="I330" t="str" cm="1">
        <f t="array" ref="I330">_xlfn.SWITCH(A330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330" s="4">
        <f>IF(AND(B330=Werte!B330,LEFT(A330,5)=LEFT(Werte!A330,5)),Werte!C330,"not found")</f>
        <v>0.36363636363636398</v>
      </c>
      <c r="K330" s="4">
        <f>IF(AND(B330=Werte!B330,LEFT(A330,5)=LEFT(Werte!A330,5)),Werte!D330,"not found")</f>
        <v>0</v>
      </c>
      <c r="L330" s="4">
        <f>IF(AND(B330=Werte!B330,LEFT(A330,5)=LEFT(Werte!A330,5)),Werte!E330,"not found")</f>
        <v>0.25581395348837199</v>
      </c>
      <c r="M330" s="4">
        <f>IF(AND(B330=Werte!B330,LEFT(A330,5)=LEFT(Werte!A330,5)),Werte!F330,"not found")</f>
        <v>0.18240447098781401</v>
      </c>
      <c r="N330" s="4" t="str">
        <f t="shared" si="11"/>
        <v>unbekannt</v>
      </c>
      <c r="O330" s="4" cm="1">
        <f t="array" ref="O330">_xlfn.SWITCH(A330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30" s="4" t="str">
        <f>IF(Nodes[[#This Row],[Bezeichnung2]] = "betrueger",1,"")</f>
        <v/>
      </c>
      <c r="Q330" s="4" t="str">
        <f>IF(Nodes[[#This Row],[Bezeichnung2]] = "betrogener",2,"")</f>
        <v/>
      </c>
      <c r="R330" s="4" t="str">
        <f>IF(Nodes[[#This Row],[Bezeichnung2]] = "liebender",3,"")</f>
        <v/>
      </c>
      <c r="S330" s="4" t="str">
        <f>IF(Nodes[[#This Row],[Bezeichnung2]] = "liebende",4,"")</f>
        <v/>
      </c>
      <c r="T330" s="4" t="str">
        <f>IF(Nodes[[#This Row],[Bezeichnung2]] = "gegenspieler",5,"")</f>
        <v/>
      </c>
    </row>
    <row r="331" spans="1:20" x14ac:dyDescent="0.3">
      <c r="A331" t="s">
        <v>332</v>
      </c>
      <c r="B331" t="s">
        <v>343</v>
      </c>
      <c r="C331" t="s">
        <v>24</v>
      </c>
      <c r="D331" t="s">
        <v>43</v>
      </c>
      <c r="E331" t="s">
        <v>47</v>
      </c>
      <c r="F331" t="s">
        <v>53</v>
      </c>
      <c r="G331" t="s">
        <v>26</v>
      </c>
      <c r="H331" t="str">
        <f t="shared" si="10"/>
        <v>adel</v>
      </c>
      <c r="I331" t="str" cm="1">
        <f t="array" ref="I331">_xlfn.SWITCH(A331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331" s="4">
        <f>IF(AND(B331=Werte!B331,LEFT(A331,5)=LEFT(Werte!A331,5)),Werte!C331,"not found")</f>
        <v>0.36363636363636398</v>
      </c>
      <c r="K331" s="4">
        <f>IF(AND(B331=Werte!B331,LEFT(A331,5)=LEFT(Werte!A331,5)),Werte!D331,"not found")</f>
        <v>9.0909090909090898E-2</v>
      </c>
      <c r="L331" s="4">
        <f>IF(AND(B331=Werte!B331,LEFT(A331,5)=LEFT(Werte!A331,5)),Werte!E331,"not found")</f>
        <v>0.39285714285714302</v>
      </c>
      <c r="M331" s="4">
        <f>IF(AND(B331=Werte!B331,LEFT(A331,5)=LEFT(Werte!A331,5)),Werte!F331,"not found")</f>
        <v>7.2936825393563803E-2</v>
      </c>
      <c r="N331" s="4" t="str">
        <f t="shared" si="11"/>
        <v>helfer</v>
      </c>
      <c r="O331" s="4" cm="1">
        <f t="array" ref="O331">_xlfn.SWITCH(A331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31" s="4" t="str">
        <f>IF(Nodes[[#This Row],[Bezeichnung2]] = "betrueger",1,"")</f>
        <v/>
      </c>
      <c r="Q331" s="4" t="str">
        <f>IF(Nodes[[#This Row],[Bezeichnung2]] = "betrogener",2,"")</f>
        <v/>
      </c>
      <c r="R331" s="4" t="str">
        <f>IF(Nodes[[#This Row],[Bezeichnung2]] = "liebender",3,"")</f>
        <v/>
      </c>
      <c r="S331" s="4" t="str">
        <f>IF(Nodes[[#This Row],[Bezeichnung2]] = "liebende",4,"")</f>
        <v/>
      </c>
      <c r="T331" s="4" t="str">
        <f>IF(Nodes[[#This Row],[Bezeichnung2]] = "gegenspieler",5,"")</f>
        <v/>
      </c>
    </row>
    <row r="332" spans="1:20" x14ac:dyDescent="0.3">
      <c r="A332" t="s">
        <v>332</v>
      </c>
      <c r="B332" t="s">
        <v>344</v>
      </c>
      <c r="C332" t="s">
        <v>24</v>
      </c>
      <c r="D332" t="s">
        <v>345</v>
      </c>
      <c r="E332" t="s">
        <v>47</v>
      </c>
      <c r="F332" t="s">
        <v>47</v>
      </c>
      <c r="G332" t="s">
        <v>26</v>
      </c>
      <c r="H332" t="str">
        <f t="shared" si="10"/>
        <v>adel</v>
      </c>
      <c r="I332" t="str" cm="1">
        <f t="array" ref="I332">_xlfn.SWITCH(A332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332" s="4">
        <f>IF(AND(B332=Werte!B332,LEFT(A332,5)=LEFT(Werte!A332,5)),Werte!C332,"not found")</f>
        <v>0.18181818181818199</v>
      </c>
      <c r="K332" s="4">
        <f>IF(AND(B332=Werte!B332,LEFT(A332,5)=LEFT(Werte!A332,5)),Werte!D332,"not found")</f>
        <v>0</v>
      </c>
      <c r="L332" s="4">
        <f>IF(AND(B332=Werte!B332,LEFT(A332,5)=LEFT(Werte!A332,5)),Werte!E332,"not found")</f>
        <v>0.314285714285714</v>
      </c>
      <c r="M332" s="4">
        <f>IF(AND(B332=Werte!B332,LEFT(A332,5)=LEFT(Werte!A332,5)),Werte!F332,"not found")</f>
        <v>3.6406005192877899E-2</v>
      </c>
      <c r="N332" s="4" t="str">
        <f t="shared" si="11"/>
        <v>unbekannt</v>
      </c>
      <c r="O332" s="4" cm="1">
        <f t="array" ref="O332">_xlfn.SWITCH(A332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32" s="4" t="str">
        <f>IF(Nodes[[#This Row],[Bezeichnung2]] = "betrueger",1,"")</f>
        <v/>
      </c>
      <c r="Q332" s="4" t="str">
        <f>IF(Nodes[[#This Row],[Bezeichnung2]] = "betrogener",2,"")</f>
        <v/>
      </c>
      <c r="R332" s="4" t="str">
        <f>IF(Nodes[[#This Row],[Bezeichnung2]] = "liebender",3,"")</f>
        <v/>
      </c>
      <c r="S332" s="4" t="str">
        <f>IF(Nodes[[#This Row],[Bezeichnung2]] = "liebende",4,"")</f>
        <v/>
      </c>
      <c r="T332" s="4" t="str">
        <f>IF(Nodes[[#This Row],[Bezeichnung2]] = "gegenspieler",5,"")</f>
        <v/>
      </c>
    </row>
    <row r="333" spans="1:20" x14ac:dyDescent="0.3">
      <c r="A333" t="s">
        <v>332</v>
      </c>
      <c r="B333" t="s">
        <v>346</v>
      </c>
      <c r="C333" t="s">
        <v>46</v>
      </c>
      <c r="D333" t="s">
        <v>43</v>
      </c>
      <c r="E333" t="s">
        <v>47</v>
      </c>
      <c r="F333" t="s">
        <v>47</v>
      </c>
      <c r="G333" t="s">
        <v>26</v>
      </c>
      <c r="H333" t="str">
        <f t="shared" si="10"/>
        <v>adel</v>
      </c>
      <c r="I333" t="str" cm="1">
        <f t="array" ref="I333">_xlfn.SWITCH(A333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333" s="4">
        <f>IF(AND(B333=Werte!B333,LEFT(A333,5)=LEFT(Werte!A333,5)),Werte!C333,"not found")</f>
        <v>0.36363636363636398</v>
      </c>
      <c r="K333" s="4">
        <f>IF(AND(B333=Werte!B333,LEFT(A333,5)=LEFT(Werte!A333,5)),Werte!D333,"not found")</f>
        <v>0</v>
      </c>
      <c r="L333" s="4">
        <f>IF(AND(B333=Werte!B333,LEFT(A333,5)=LEFT(Werte!A333,5)),Werte!E333,"not found")</f>
        <v>0.32352941176470601</v>
      </c>
      <c r="M333" s="4">
        <f>IF(AND(B333=Werte!B333,LEFT(A333,5)=LEFT(Werte!A333,5)),Werte!F333,"not found")</f>
        <v>0.10934283058644199</v>
      </c>
      <c r="N333" s="4" t="str">
        <f t="shared" si="11"/>
        <v>unbekannt</v>
      </c>
      <c r="O333" s="4" cm="1">
        <f t="array" ref="O333">_xlfn.SWITCH(A333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33" s="4" t="str">
        <f>IF(Nodes[[#This Row],[Bezeichnung2]] = "betrueger",1,"")</f>
        <v/>
      </c>
      <c r="Q333" s="4" t="str">
        <f>IF(Nodes[[#This Row],[Bezeichnung2]] = "betrogener",2,"")</f>
        <v/>
      </c>
      <c r="R333" s="4" t="str">
        <f>IF(Nodes[[#This Row],[Bezeichnung2]] = "liebender",3,"")</f>
        <v/>
      </c>
      <c r="S333" s="4" t="str">
        <f>IF(Nodes[[#This Row],[Bezeichnung2]] = "liebende",4,"")</f>
        <v/>
      </c>
      <c r="T333" s="4" t="str">
        <f>IF(Nodes[[#This Row],[Bezeichnung2]] = "gegenspieler",5,"")</f>
        <v/>
      </c>
    </row>
    <row r="334" spans="1:20" x14ac:dyDescent="0.3">
      <c r="A334" t="s">
        <v>332</v>
      </c>
      <c r="B334" t="s">
        <v>347</v>
      </c>
      <c r="C334" t="s">
        <v>24</v>
      </c>
      <c r="D334" t="s">
        <v>345</v>
      </c>
      <c r="E334" t="s">
        <v>32</v>
      </c>
      <c r="F334" t="s">
        <v>53</v>
      </c>
      <c r="G334" t="s">
        <v>26</v>
      </c>
      <c r="H334" t="str">
        <f t="shared" si="10"/>
        <v>adel</v>
      </c>
      <c r="I334" t="str" cm="1">
        <f t="array" ref="I334">_xlfn.SWITCH(A334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334" s="4">
        <f>IF(AND(B334=Werte!B334,LEFT(A334,5)=LEFT(Werte!A334,5)),Werte!C334,"not found")</f>
        <v>0.36363636363636398</v>
      </c>
      <c r="K334" s="4">
        <f>IF(AND(B334=Werte!B334,LEFT(A334,5)=LEFT(Werte!A334,5)),Werte!D334,"not found")</f>
        <v>0</v>
      </c>
      <c r="L334" s="4">
        <f>IF(AND(B334=Werte!B334,LEFT(A334,5)=LEFT(Werte!A334,5)),Werte!E334,"not found")</f>
        <v>0.14864864864864899</v>
      </c>
      <c r="M334" s="4">
        <f>IF(AND(B334=Werte!B334,LEFT(A334,5)=LEFT(Werte!A334,5)),Werte!F334,"not found")</f>
        <v>0.401090132160697</v>
      </c>
      <c r="N334" s="4" t="str">
        <f t="shared" si="11"/>
        <v>helfer</v>
      </c>
      <c r="O334" s="4" cm="1">
        <f t="array" ref="O334">_xlfn.SWITCH(A334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34" s="4" t="str">
        <f>IF(Nodes[[#This Row],[Bezeichnung2]] = "betrueger",1,"")</f>
        <v/>
      </c>
      <c r="Q334" s="4" t="str">
        <f>IF(Nodes[[#This Row],[Bezeichnung2]] = "betrogener",2,"")</f>
        <v/>
      </c>
      <c r="R334" s="4" t="str">
        <f>IF(Nodes[[#This Row],[Bezeichnung2]] = "liebender",3,"")</f>
        <v/>
      </c>
      <c r="S334" s="4" t="str">
        <f>IF(Nodes[[#This Row],[Bezeichnung2]] = "liebende",4,"")</f>
        <v/>
      </c>
      <c r="T334" s="4" t="str">
        <f>IF(Nodes[[#This Row],[Bezeichnung2]] = "gegenspieler",5,"")</f>
        <v/>
      </c>
    </row>
    <row r="335" spans="1:20" x14ac:dyDescent="0.3">
      <c r="A335" t="s">
        <v>348</v>
      </c>
      <c r="B335" t="s">
        <v>349</v>
      </c>
      <c r="C335" t="s">
        <v>18</v>
      </c>
      <c r="D335" t="s">
        <v>108</v>
      </c>
      <c r="E335" t="s">
        <v>32</v>
      </c>
      <c r="F335" t="s">
        <v>93</v>
      </c>
      <c r="G335" t="s">
        <v>22</v>
      </c>
      <c r="H335" t="str">
        <f t="shared" si="10"/>
        <v>buergerlich</v>
      </c>
      <c r="I335" t="str" cm="1">
        <f t="array" ref="I335">_xlfn.SWITCH(A335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35" s="4">
        <f>IF(AND(B335=Werte!B335,LEFT(A335,5)=LEFT(Werte!A335,5)),Werte!C335,"not found")</f>
        <v>2</v>
      </c>
      <c r="K335" s="4">
        <f>IF(AND(B335=Werte!B335,LEFT(A335,5)=LEFT(Werte!A335,5)),Werte!D335,"not found")</f>
        <v>0.4</v>
      </c>
      <c r="L335" s="4">
        <f>IF(AND(B335=Werte!B335,LEFT(A335,5)=LEFT(Werte!A335,5)),Werte!E335,"not found")</f>
        <v>0.33333333333333298</v>
      </c>
      <c r="M335" s="4">
        <f>IF(AND(B335=Werte!B335,LEFT(A335,5)=LEFT(Werte!A335,5)),Werte!F335,"not found")</f>
        <v>1</v>
      </c>
      <c r="N335" s="4" t="str">
        <f t="shared" si="11"/>
        <v>betrogener</v>
      </c>
      <c r="O335" s="4" cm="1">
        <f t="array" ref="O335">_xlfn.SWITCH(A335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35" s="4" t="str">
        <f>IF(Nodes[[#This Row],[Bezeichnung2]] = "betrueger",1,"")</f>
        <v/>
      </c>
      <c r="Q335" s="4">
        <f>IF(Nodes[[#This Row],[Bezeichnung2]] = "betrogener",2,"")</f>
        <v>2</v>
      </c>
      <c r="R335" s="4" t="str">
        <f>IF(Nodes[[#This Row],[Bezeichnung2]] = "liebender",3,"")</f>
        <v/>
      </c>
      <c r="S335" s="4" t="str">
        <f>IF(Nodes[[#This Row],[Bezeichnung2]] = "liebende",4,"")</f>
        <v/>
      </c>
      <c r="T335" s="4" t="str">
        <f>IF(Nodes[[#This Row],[Bezeichnung2]] = "gegenspieler",5,"")</f>
        <v/>
      </c>
    </row>
    <row r="336" spans="1:20" x14ac:dyDescent="0.3">
      <c r="A336" t="s">
        <v>348</v>
      </c>
      <c r="B336" t="s">
        <v>350</v>
      </c>
      <c r="C336" t="s">
        <v>24</v>
      </c>
      <c r="D336" t="s">
        <v>124</v>
      </c>
      <c r="E336" t="s">
        <v>311</v>
      </c>
      <c r="F336" t="s">
        <v>25</v>
      </c>
      <c r="G336" t="s">
        <v>26</v>
      </c>
      <c r="H336" t="str">
        <f t="shared" si="10"/>
        <v>buergerlich</v>
      </c>
      <c r="I336" t="str" cm="1">
        <f t="array" ref="I336">_xlfn.SWITCH(A336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36" s="4">
        <f>IF(AND(B336=Werte!B336,LEFT(A336,5)=LEFT(Werte!A336,5)),Werte!C336,"not found")</f>
        <v>0.4</v>
      </c>
      <c r="K336" s="4">
        <f>IF(AND(B336=Werte!B336,LEFT(A336,5)=LEFT(Werte!A336,5)),Werte!D336,"not found")</f>
        <v>0</v>
      </c>
      <c r="L336" s="4">
        <f>IF(AND(B336=Werte!B336,LEFT(A336,5)=LEFT(Werte!A336,5)),Werte!E336,"not found")</f>
        <v>0.26315789473684198</v>
      </c>
      <c r="M336" s="4">
        <f>IF(AND(B336=Werte!B336,LEFT(A336,5)=LEFT(Werte!A336,5)),Werte!F336,"not found")</f>
        <v>5.3215731250487702E-2</v>
      </c>
      <c r="N336" s="4" t="str">
        <f t="shared" si="11"/>
        <v>ehefrau</v>
      </c>
      <c r="O336" s="4" cm="1">
        <f t="array" ref="O336">_xlfn.SWITCH(A336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36" s="4" t="str">
        <f>IF(Nodes[[#This Row],[Bezeichnung2]] = "betrueger",1,"")</f>
        <v/>
      </c>
      <c r="Q336" s="4" t="str">
        <f>IF(Nodes[[#This Row],[Bezeichnung2]] = "betrogener",2,"")</f>
        <v/>
      </c>
      <c r="R336" s="4" t="str">
        <f>IF(Nodes[[#This Row],[Bezeichnung2]] = "liebender",3,"")</f>
        <v/>
      </c>
      <c r="S336" s="4" t="str">
        <f>IF(Nodes[[#This Row],[Bezeichnung2]] = "liebende",4,"")</f>
        <v/>
      </c>
      <c r="T336" s="4" t="str">
        <f>IF(Nodes[[#This Row],[Bezeichnung2]] = "gegenspieler",5,"")</f>
        <v/>
      </c>
    </row>
    <row r="337" spans="1:20" x14ac:dyDescent="0.3">
      <c r="A337" t="s">
        <v>348</v>
      </c>
      <c r="B337" t="s">
        <v>351</v>
      </c>
      <c r="C337" t="s">
        <v>18</v>
      </c>
      <c r="D337" t="s">
        <v>108</v>
      </c>
      <c r="E337" t="s">
        <v>20</v>
      </c>
      <c r="F337" t="s">
        <v>96</v>
      </c>
      <c r="G337" t="s">
        <v>22</v>
      </c>
      <c r="H337" t="str">
        <f t="shared" si="10"/>
        <v>buergerlich</v>
      </c>
      <c r="I337" t="str" cm="1">
        <f t="array" ref="I337">_xlfn.SWITCH(A337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37" s="4">
        <f>IF(AND(B337=Werte!B337,LEFT(A337,5)=LEFT(Werte!A337,5)),Werte!C337,"not found")</f>
        <v>1.2</v>
      </c>
      <c r="K337" s="4">
        <f>IF(AND(B337=Werte!B337,LEFT(A337,5)=LEFT(Werte!A337,5)),Werte!D337,"not found")</f>
        <v>0</v>
      </c>
      <c r="L337" s="4">
        <f>IF(AND(B337=Werte!B337,LEFT(A337,5)=LEFT(Werte!A337,5)),Werte!E337,"not found")</f>
        <v>0.217391304347826</v>
      </c>
      <c r="M337" s="4">
        <f>IF(AND(B337=Werte!B337,LEFT(A337,5)=LEFT(Werte!A337,5)),Werte!F337,"not found")</f>
        <v>0.79493345639628898</v>
      </c>
      <c r="N337" s="4" t="str">
        <f t="shared" si="11"/>
        <v>betrueger</v>
      </c>
      <c r="O337" s="4" cm="1">
        <f t="array" ref="O337">_xlfn.SWITCH(A337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37" s="4">
        <f>IF(Nodes[[#This Row],[Bezeichnung2]] = "betrueger",1,"")</f>
        <v>1</v>
      </c>
      <c r="Q337" s="4" t="str">
        <f>IF(Nodes[[#This Row],[Bezeichnung2]] = "betrogener",2,"")</f>
        <v/>
      </c>
      <c r="R337" s="4" t="str">
        <f>IF(Nodes[[#This Row],[Bezeichnung2]] = "liebender",3,"")</f>
        <v/>
      </c>
      <c r="S337" s="4" t="str">
        <f>IF(Nodes[[#This Row],[Bezeichnung2]] = "liebende",4,"")</f>
        <v/>
      </c>
      <c r="T337" s="4" t="str">
        <f>IF(Nodes[[#This Row],[Bezeichnung2]] = "gegenspieler",5,"")</f>
        <v/>
      </c>
    </row>
    <row r="338" spans="1:20" x14ac:dyDescent="0.3">
      <c r="A338" t="s">
        <v>348</v>
      </c>
      <c r="B338" t="s">
        <v>352</v>
      </c>
      <c r="C338" t="s">
        <v>18</v>
      </c>
      <c r="D338" t="s">
        <v>135</v>
      </c>
      <c r="E338" t="s">
        <v>28</v>
      </c>
      <c r="F338" t="s">
        <v>53</v>
      </c>
      <c r="G338" t="s">
        <v>22</v>
      </c>
      <c r="H338" t="str">
        <f t="shared" si="10"/>
        <v>buergerlich</v>
      </c>
      <c r="I338" t="str" cm="1">
        <f t="array" ref="I338">_xlfn.SWITCH(A338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38" s="4">
        <f>IF(AND(B338=Werte!B338,LEFT(A338,5)=LEFT(Werte!A338,5)),Werte!C338,"not found")</f>
        <v>1.6</v>
      </c>
      <c r="K338" s="4">
        <f>IF(AND(B338=Werte!B338,LEFT(A338,5)=LEFT(Werte!A338,5)),Werte!D338,"not found")</f>
        <v>0.2</v>
      </c>
      <c r="L338" s="4">
        <f>IF(AND(B338=Werte!B338,LEFT(A338,5)=LEFT(Werte!A338,5)),Werte!E338,"not found")</f>
        <v>0.29411764705882398</v>
      </c>
      <c r="M338" s="4">
        <f>IF(AND(B338=Werte!B338,LEFT(A338,5)=LEFT(Werte!A338,5)),Werte!F338,"not found")</f>
        <v>0.85354916609651099</v>
      </c>
      <c r="N338" s="4" t="str">
        <f t="shared" si="11"/>
        <v>helfer</v>
      </c>
      <c r="O338" s="4" cm="1">
        <f t="array" ref="O338">_xlfn.SWITCH(A338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38" s="4" t="str">
        <f>IF(Nodes[[#This Row],[Bezeichnung2]] = "betrueger",1,"")</f>
        <v/>
      </c>
      <c r="Q338" s="4" t="str">
        <f>IF(Nodes[[#This Row],[Bezeichnung2]] = "betrogener",2,"")</f>
        <v/>
      </c>
      <c r="R338" s="4" t="str">
        <f>IF(Nodes[[#This Row],[Bezeichnung2]] = "liebender",3,"")</f>
        <v/>
      </c>
      <c r="S338" s="4" t="str">
        <f>IF(Nodes[[#This Row],[Bezeichnung2]] = "liebende",4,"")</f>
        <v/>
      </c>
      <c r="T338" s="4" t="str">
        <f>IF(Nodes[[#This Row],[Bezeichnung2]] = "gegenspieler",5,"")</f>
        <v/>
      </c>
    </row>
    <row r="339" spans="1:20" x14ac:dyDescent="0.3">
      <c r="A339" t="s">
        <v>348</v>
      </c>
      <c r="B339" t="s">
        <v>353</v>
      </c>
      <c r="C339" t="s">
        <v>24</v>
      </c>
      <c r="D339" t="s">
        <v>124</v>
      </c>
      <c r="E339" t="s">
        <v>20</v>
      </c>
      <c r="F339" t="s">
        <v>25</v>
      </c>
      <c r="G339" t="s">
        <v>26</v>
      </c>
      <c r="H339" t="str">
        <f t="shared" si="10"/>
        <v>buergerlich</v>
      </c>
      <c r="I339" t="str" cm="1">
        <f t="array" ref="I339">_xlfn.SWITCH(A339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39" s="4">
        <f>IF(AND(B339=Werte!B339,LEFT(A339,5)=LEFT(Werte!A339,5)),Werte!C339,"not found")</f>
        <v>1.2</v>
      </c>
      <c r="K339" s="4">
        <f>IF(AND(B339=Werte!B339,LEFT(A339,5)=LEFT(Werte!A339,5)),Werte!D339,"not found")</f>
        <v>0.4</v>
      </c>
      <c r="L339" s="4">
        <f>IF(AND(B339=Werte!B339,LEFT(A339,5)=LEFT(Werte!A339,5)),Werte!E339,"not found")</f>
        <v>0.33333333333333298</v>
      </c>
      <c r="M339" s="4">
        <f>IF(AND(B339=Werte!B339,LEFT(A339,5)=LEFT(Werte!A339,5)),Werte!F339,"not found")</f>
        <v>0.33509761017081602</v>
      </c>
      <c r="N339" s="4" t="str">
        <f t="shared" si="11"/>
        <v>ehefrau</v>
      </c>
      <c r="O339" s="4" cm="1">
        <f t="array" ref="O339">_xlfn.SWITCH(A339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39" s="4" t="str">
        <f>IF(Nodes[[#This Row],[Bezeichnung2]] = "betrueger",1,"")</f>
        <v/>
      </c>
      <c r="Q339" s="4" t="str">
        <f>IF(Nodes[[#This Row],[Bezeichnung2]] = "betrogener",2,"")</f>
        <v/>
      </c>
      <c r="R339" s="4" t="str">
        <f>IF(Nodes[[#This Row],[Bezeichnung2]] = "liebender",3,"")</f>
        <v/>
      </c>
      <c r="S339" s="4" t="str">
        <f>IF(Nodes[[#This Row],[Bezeichnung2]] = "liebende",4,"")</f>
        <v/>
      </c>
      <c r="T339" s="4" t="str">
        <f>IF(Nodes[[#This Row],[Bezeichnung2]] = "gegenspieler",5,"")</f>
        <v/>
      </c>
    </row>
    <row r="340" spans="1:20" x14ac:dyDescent="0.3">
      <c r="A340" t="s">
        <v>348</v>
      </c>
      <c r="B340" t="s">
        <v>354</v>
      </c>
      <c r="C340" t="s">
        <v>46</v>
      </c>
      <c r="D340" t="s">
        <v>138</v>
      </c>
      <c r="E340" t="s">
        <v>47</v>
      </c>
      <c r="F340" t="s">
        <v>47</v>
      </c>
      <c r="G340" t="s">
        <v>26</v>
      </c>
      <c r="H340" t="str">
        <f t="shared" si="10"/>
        <v>buergerlich</v>
      </c>
      <c r="I340" t="str" cm="1">
        <f t="array" ref="I340">_xlfn.SWITCH(A340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40" s="4">
        <f>IF(AND(B340=Werte!B340,LEFT(A340,5)=LEFT(Werte!A340,5)),Werte!C340,"not found")</f>
        <v>0.8</v>
      </c>
      <c r="K340" s="4">
        <f>IF(AND(B340=Werte!B340,LEFT(A340,5)=LEFT(Werte!A340,5)),Werte!D340,"not found")</f>
        <v>0.2</v>
      </c>
      <c r="L340" s="4">
        <f>IF(AND(B340=Werte!B340,LEFT(A340,5)=LEFT(Werte!A340,5)),Werte!E340,"not found")</f>
        <v>0.29411764705882398</v>
      </c>
      <c r="M340" s="4">
        <f>IF(AND(B340=Werte!B340,LEFT(A340,5)=LEFT(Werte!A340,5)),Werte!F340,"not found")</f>
        <v>0.19727594856511499</v>
      </c>
      <c r="N340" s="4" t="str">
        <f t="shared" si="11"/>
        <v>unbekannt</v>
      </c>
      <c r="O340" s="4" cm="1">
        <f t="array" ref="O340">_xlfn.SWITCH(A340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40" s="4" t="str">
        <f>IF(Nodes[[#This Row],[Bezeichnung2]] = "betrueger",1,"")</f>
        <v/>
      </c>
      <c r="Q340" s="4" t="str">
        <f>IF(Nodes[[#This Row],[Bezeichnung2]] = "betrogener",2,"")</f>
        <v/>
      </c>
      <c r="R340" s="4" t="str">
        <f>IF(Nodes[[#This Row],[Bezeichnung2]] = "liebender",3,"")</f>
        <v/>
      </c>
      <c r="S340" s="4" t="str">
        <f>IF(Nodes[[#This Row],[Bezeichnung2]] = "liebende",4,"")</f>
        <v/>
      </c>
      <c r="T340" s="4" t="str">
        <f>IF(Nodes[[#This Row],[Bezeichnung2]] = "gegenspieler",5,"")</f>
        <v/>
      </c>
    </row>
    <row r="341" spans="1:20" x14ac:dyDescent="0.3">
      <c r="A341" t="s">
        <v>355</v>
      </c>
      <c r="B341" t="s">
        <v>356</v>
      </c>
      <c r="C341" t="s">
        <v>18</v>
      </c>
      <c r="D341" t="s">
        <v>31</v>
      </c>
      <c r="E341" t="s">
        <v>47</v>
      </c>
      <c r="F341" t="s">
        <v>50</v>
      </c>
      <c r="G341" t="s">
        <v>22</v>
      </c>
      <c r="H341" t="str">
        <f t="shared" si="10"/>
        <v>adel</v>
      </c>
      <c r="I341" t="str" cm="1">
        <f t="array" ref="I341">_xlfn.SWITCH(A341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41" s="4">
        <f>IF(AND(B341=Werte!B341,LEFT(A341,5)=LEFT(Werte!A341,5)),Werte!C341,"not found")</f>
        <v>0.91666666666666696</v>
      </c>
      <c r="K341" s="4">
        <f>IF(AND(B341=Werte!B341,LEFT(A341,5)=LEFT(Werte!A341,5)),Werte!D341,"not found")</f>
        <v>8.4194559466298599E-2</v>
      </c>
      <c r="L341" s="4">
        <f>IF(AND(B341=Werte!B341,LEFT(A341,5)=LEFT(Werte!A341,5)),Werte!E341,"not found")</f>
        <v>0.42857142857142899</v>
      </c>
      <c r="M341" s="4">
        <f>IF(AND(B341=Werte!B341,LEFT(A341,5)=LEFT(Werte!A341,5)),Werte!F341,"not found")</f>
        <v>0.63811100899106199</v>
      </c>
      <c r="N341" s="4" t="str">
        <f t="shared" si="11"/>
        <v>betrogener</v>
      </c>
      <c r="O341" s="4" cm="1">
        <f t="array" ref="O341">_xlfn.SWITCH(A341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41" s="4" t="str">
        <f>IF(Nodes[[#This Row],[Bezeichnung2]] = "betrueger",1,"")</f>
        <v/>
      </c>
      <c r="Q341" s="4">
        <f>IF(Nodes[[#This Row],[Bezeichnung2]] = "betrogener",2,"")</f>
        <v>2</v>
      </c>
      <c r="R341" s="4" t="str">
        <f>IF(Nodes[[#This Row],[Bezeichnung2]] = "liebender",3,"")</f>
        <v/>
      </c>
      <c r="S341" s="4" t="str">
        <f>IF(Nodes[[#This Row],[Bezeichnung2]] = "liebende",4,"")</f>
        <v/>
      </c>
      <c r="T341" s="4" t="str">
        <f>IF(Nodes[[#This Row],[Bezeichnung2]] = "gegenspieler",5,"")</f>
        <v/>
      </c>
    </row>
    <row r="342" spans="1:20" x14ac:dyDescent="0.3">
      <c r="A342" t="s">
        <v>355</v>
      </c>
      <c r="B342" t="s">
        <v>594</v>
      </c>
      <c r="C342" t="s">
        <v>24</v>
      </c>
      <c r="D342" t="s">
        <v>35</v>
      </c>
      <c r="E342" t="s">
        <v>20</v>
      </c>
      <c r="F342" t="s">
        <v>55</v>
      </c>
      <c r="G342" t="s">
        <v>22</v>
      </c>
      <c r="H342" t="str">
        <f t="shared" si="10"/>
        <v>adel</v>
      </c>
      <c r="I342" t="str" cm="1">
        <f t="array" ref="I342">_xlfn.SWITCH(A342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42" s="4">
        <f>IF(AND(B342=Werte!B342,LEFT(A342,5)=LEFT(Werte!A342,5)),Werte!C342,"not found")</f>
        <v>1.0833333333333299</v>
      </c>
      <c r="K342" s="4">
        <f>IF(AND(B342=Werte!B342,LEFT(A342,5)=LEFT(Werte!A342,5)),Werte!D342,"not found")</f>
        <v>0.14272271106510201</v>
      </c>
      <c r="L342" s="4">
        <f>IF(AND(B342=Werte!B342,LEFT(A342,5)=LEFT(Werte!A342,5)),Werte!E342,"not found")</f>
        <v>0.46153846153846201</v>
      </c>
      <c r="M342" s="4">
        <f>IF(AND(B342=Werte!B342,LEFT(A342,5)=LEFT(Werte!A342,5)),Werte!F342,"not found")</f>
        <v>0.96755371858738204</v>
      </c>
      <c r="N342" s="4" t="str">
        <f t="shared" si="11"/>
        <v>betrueger</v>
      </c>
      <c r="O342" s="4" cm="1">
        <f t="array" ref="O342">_xlfn.SWITCH(A342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42" s="4">
        <f>IF(Nodes[[#This Row],[Bezeichnung2]] = "betrueger",1,"")</f>
        <v>1</v>
      </c>
      <c r="Q342" s="4" t="str">
        <f>IF(Nodes[[#This Row],[Bezeichnung2]] = "betrogener",2,"")</f>
        <v/>
      </c>
      <c r="R342" s="4" t="str">
        <f>IF(Nodes[[#This Row],[Bezeichnung2]] = "liebender",3,"")</f>
        <v/>
      </c>
      <c r="S342" s="4" t="str">
        <f>IF(Nodes[[#This Row],[Bezeichnung2]] = "liebende",4,"")</f>
        <v/>
      </c>
      <c r="T342" s="4" t="str">
        <f>IF(Nodes[[#This Row],[Bezeichnung2]] = "gegenspieler",5,"")</f>
        <v/>
      </c>
    </row>
    <row r="343" spans="1:20" x14ac:dyDescent="0.3">
      <c r="A343" t="s">
        <v>355</v>
      </c>
      <c r="B343" t="s">
        <v>595</v>
      </c>
      <c r="C343" t="s">
        <v>18</v>
      </c>
      <c r="D343" t="s">
        <v>357</v>
      </c>
      <c r="E343" t="s">
        <v>47</v>
      </c>
      <c r="F343" t="s">
        <v>96</v>
      </c>
      <c r="G343" t="s">
        <v>22</v>
      </c>
      <c r="H343" t="str">
        <f t="shared" si="10"/>
        <v>adel</v>
      </c>
      <c r="I343" t="str" cm="1">
        <f t="array" ref="I343">_xlfn.SWITCH(A343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43" s="4">
        <f>IF(AND(B343=Werte!B343,LEFT(A343,5)=LEFT(Werte!A343,5)),Werte!C343,"not found")</f>
        <v>1.5833333333333299</v>
      </c>
      <c r="K343" s="4">
        <f>IF(AND(B343=Werte!B343,LEFT(A343,5)=LEFT(Werte!A343,5)),Werte!D343,"not found")</f>
        <v>0.51665947780078203</v>
      </c>
      <c r="L343" s="4">
        <f>IF(AND(B343=Werte!B343,LEFT(A343,5)=LEFT(Werte!A343,5)),Werte!E343,"not found")</f>
        <v>0.57142857142857095</v>
      </c>
      <c r="M343" s="4">
        <f>IF(AND(B343=Werte!B343,LEFT(A343,5)=LEFT(Werte!A343,5)),Werte!F343,"not found")</f>
        <v>1</v>
      </c>
      <c r="N343" s="4" t="str">
        <f t="shared" si="11"/>
        <v>betrueger</v>
      </c>
      <c r="O343" s="4" cm="1">
        <f t="array" ref="O343">_xlfn.SWITCH(A343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43" s="4">
        <f>IF(Nodes[[#This Row],[Bezeichnung2]] = "betrueger",1,"")</f>
        <v>1</v>
      </c>
      <c r="Q343" s="4" t="str">
        <f>IF(Nodes[[#This Row],[Bezeichnung2]] = "betrogener",2,"")</f>
        <v/>
      </c>
      <c r="R343" s="4" t="str">
        <f>IF(Nodes[[#This Row],[Bezeichnung2]] = "liebender",3,"")</f>
        <v/>
      </c>
      <c r="S343" s="4" t="str">
        <f>IF(Nodes[[#This Row],[Bezeichnung2]] = "liebende",4,"")</f>
        <v/>
      </c>
      <c r="T343" s="4" t="str">
        <f>IF(Nodes[[#This Row],[Bezeichnung2]] = "gegenspieler",5,"")</f>
        <v/>
      </c>
    </row>
    <row r="344" spans="1:20" x14ac:dyDescent="0.3">
      <c r="A344" t="s">
        <v>355</v>
      </c>
      <c r="B344" t="s">
        <v>358</v>
      </c>
      <c r="C344" t="s">
        <v>46</v>
      </c>
      <c r="D344" t="s">
        <v>57</v>
      </c>
      <c r="E344" t="s">
        <v>47</v>
      </c>
      <c r="F344" t="s">
        <v>147</v>
      </c>
      <c r="G344" t="s">
        <v>26</v>
      </c>
      <c r="H344" t="str">
        <f t="shared" si="10"/>
        <v>adel</v>
      </c>
      <c r="I344" t="str" cm="1">
        <f t="array" ref="I344">_xlfn.SWITCH(A344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44" s="4">
        <f>IF(AND(B344=Werte!B344,LEFT(A344,5)=LEFT(Werte!A344,5)),Werte!C344,"not found")</f>
        <v>0.58333333333333304</v>
      </c>
      <c r="K344" s="4">
        <f>IF(AND(B344=Werte!B344,LEFT(A344,5)=LEFT(Werte!A344,5)),Werte!D344,"not found")</f>
        <v>6.9760754543363196E-2</v>
      </c>
      <c r="L344" s="4">
        <f>IF(AND(B344=Werte!B344,LEFT(A344,5)=LEFT(Werte!A344,5)),Werte!E344,"not found")</f>
        <v>0.34782608695652201</v>
      </c>
      <c r="M344" s="4">
        <f>IF(AND(B344=Werte!B344,LEFT(A344,5)=LEFT(Werte!A344,5)),Werte!F344,"not found")</f>
        <v>0.265179101006282</v>
      </c>
      <c r="N344" s="4" t="str">
        <f t="shared" si="11"/>
        <v>begleiter</v>
      </c>
      <c r="O344" s="4" cm="1">
        <f t="array" ref="O344">_xlfn.SWITCH(A344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44" s="4" t="str">
        <f>IF(Nodes[[#This Row],[Bezeichnung2]] = "betrueger",1,"")</f>
        <v/>
      </c>
      <c r="Q344" s="4" t="str">
        <f>IF(Nodes[[#This Row],[Bezeichnung2]] = "betrogener",2,"")</f>
        <v/>
      </c>
      <c r="R344" s="4" t="str">
        <f>IF(Nodes[[#This Row],[Bezeichnung2]] = "liebender",3,"")</f>
        <v/>
      </c>
      <c r="S344" s="4" t="str">
        <f>IF(Nodes[[#This Row],[Bezeichnung2]] = "liebende",4,"")</f>
        <v/>
      </c>
      <c r="T344" s="4" t="str">
        <f>IF(Nodes[[#This Row],[Bezeichnung2]] = "gegenspieler",5,"")</f>
        <v/>
      </c>
    </row>
    <row r="345" spans="1:20" x14ac:dyDescent="0.3">
      <c r="A345" t="s">
        <v>355</v>
      </c>
      <c r="B345" t="s">
        <v>359</v>
      </c>
      <c r="C345" t="s">
        <v>46</v>
      </c>
      <c r="D345" t="s">
        <v>119</v>
      </c>
      <c r="E345" t="s">
        <v>47</v>
      </c>
      <c r="F345" t="s">
        <v>147</v>
      </c>
      <c r="G345" t="s">
        <v>26</v>
      </c>
      <c r="H345" t="str">
        <f t="shared" si="10"/>
        <v>adel</v>
      </c>
      <c r="I345" t="str" cm="1">
        <f t="array" ref="I345">_xlfn.SWITCH(A345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45" s="4">
        <f>IF(AND(B345=Werte!B345,LEFT(A345,5)=LEFT(Werte!A345,5)),Werte!C345,"not found")</f>
        <v>0.5</v>
      </c>
      <c r="K345" s="4">
        <f>IF(AND(B345=Werte!B345,LEFT(A345,5)=LEFT(Werte!A345,5)),Werte!D345,"not found")</f>
        <v>2.1128076834598601E-2</v>
      </c>
      <c r="L345" s="4">
        <f>IF(AND(B345=Werte!B345,LEFT(A345,5)=LEFT(Werte!A345,5)),Werte!E345,"not found")</f>
        <v>0.28571428571428598</v>
      </c>
      <c r="M345" s="4">
        <f>IF(AND(B345=Werte!B345,LEFT(A345,5)=LEFT(Werte!A345,5)),Werte!F345,"not found")</f>
        <v>0.25548775811783703</v>
      </c>
      <c r="N345" s="4" t="str">
        <f t="shared" si="11"/>
        <v>begleiter</v>
      </c>
      <c r="O345" s="4" cm="1">
        <f t="array" ref="O345">_xlfn.SWITCH(A345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45" s="4" t="str">
        <f>IF(Nodes[[#This Row],[Bezeichnung2]] = "betrueger",1,"")</f>
        <v/>
      </c>
      <c r="Q345" s="4" t="str">
        <f>IF(Nodes[[#This Row],[Bezeichnung2]] = "betrogener",2,"")</f>
        <v/>
      </c>
      <c r="R345" s="4" t="str">
        <f>IF(Nodes[[#This Row],[Bezeichnung2]] = "liebender",3,"")</f>
        <v/>
      </c>
      <c r="S345" s="4" t="str">
        <f>IF(Nodes[[#This Row],[Bezeichnung2]] = "liebende",4,"")</f>
        <v/>
      </c>
      <c r="T345" s="4" t="str">
        <f>IF(Nodes[[#This Row],[Bezeichnung2]] = "gegenspieler",5,"")</f>
        <v/>
      </c>
    </row>
    <row r="346" spans="1:20" x14ac:dyDescent="0.3">
      <c r="A346" t="s">
        <v>355</v>
      </c>
      <c r="B346" t="s">
        <v>360</v>
      </c>
      <c r="C346" t="s">
        <v>18</v>
      </c>
      <c r="D346" t="s">
        <v>361</v>
      </c>
      <c r="E346" t="s">
        <v>47</v>
      </c>
      <c r="F346" t="s">
        <v>47</v>
      </c>
      <c r="G346" t="s">
        <v>26</v>
      </c>
      <c r="H346" t="str">
        <f t="shared" si="10"/>
        <v>adel</v>
      </c>
      <c r="I346" t="str" cm="1">
        <f t="array" ref="I346">_xlfn.SWITCH(A346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46" s="4">
        <f>IF(AND(B346=Werte!B346,LEFT(A346,5)=LEFT(Werte!A346,5)),Werte!C346,"not found")</f>
        <v>0.16666666666666699</v>
      </c>
      <c r="K346" s="4">
        <f>IF(AND(B346=Werte!B346,LEFT(A346,5)=LEFT(Werte!A346,5)),Werte!D346,"not found")</f>
        <v>8.6697722567287798E-3</v>
      </c>
      <c r="L346" s="4">
        <f>IF(AND(B346=Werte!B346,LEFT(A346,5)=LEFT(Werte!A346,5)),Werte!E346,"not found")</f>
        <v>0.266666666666667</v>
      </c>
      <c r="M346" s="4">
        <f>IF(AND(B346=Werte!B346,LEFT(A346,5)=LEFT(Werte!A346,5)),Werte!F346,"not found")</f>
        <v>6.0060240748399099E-3</v>
      </c>
      <c r="N346" s="4" t="str">
        <f t="shared" si="11"/>
        <v>unbekannt</v>
      </c>
      <c r="O346" s="4" cm="1">
        <f t="array" ref="O346">_xlfn.SWITCH(A346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46" s="4" t="str">
        <f>IF(Nodes[[#This Row],[Bezeichnung2]] = "betrueger",1,"")</f>
        <v/>
      </c>
      <c r="Q346" s="4" t="str">
        <f>IF(Nodes[[#This Row],[Bezeichnung2]] = "betrogener",2,"")</f>
        <v/>
      </c>
      <c r="R346" s="4" t="str">
        <f>IF(Nodes[[#This Row],[Bezeichnung2]] = "liebender",3,"")</f>
        <v/>
      </c>
      <c r="S346" s="4" t="str">
        <f>IF(Nodes[[#This Row],[Bezeichnung2]] = "liebende",4,"")</f>
        <v/>
      </c>
      <c r="T346" s="4" t="str">
        <f>IF(Nodes[[#This Row],[Bezeichnung2]] = "gegenspieler",5,"")</f>
        <v/>
      </c>
    </row>
    <row r="347" spans="1:20" x14ac:dyDescent="0.3">
      <c r="A347" t="s">
        <v>355</v>
      </c>
      <c r="B347" t="s">
        <v>608</v>
      </c>
      <c r="C347" t="s">
        <v>18</v>
      </c>
      <c r="D347" t="s">
        <v>166</v>
      </c>
      <c r="E347" t="s">
        <v>47</v>
      </c>
      <c r="F347" t="s">
        <v>47</v>
      </c>
      <c r="G347" t="s">
        <v>26</v>
      </c>
      <c r="H347" t="str">
        <f t="shared" si="10"/>
        <v>adel</v>
      </c>
      <c r="I347" t="str" cm="1">
        <f t="array" ref="I347">_xlfn.SWITCH(A347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47" s="4">
        <f>IF(AND(B347=Werte!B347,LEFT(A347,5)=LEFT(Werte!A347,5)),Werte!C347,"not found")</f>
        <v>0.16666666666666699</v>
      </c>
      <c r="K347" s="4">
        <f>IF(AND(B347=Werte!B347,LEFT(A347,5)=LEFT(Werte!A347,5)),Werte!D347,"not found")</f>
        <v>7.8821601104209799E-2</v>
      </c>
      <c r="L347" s="4">
        <f>IF(AND(B347=Werte!B347,LEFT(A347,5)=LEFT(Werte!A347,5)),Werte!E347,"not found")</f>
        <v>0.40677966101694901</v>
      </c>
      <c r="M347" s="4">
        <f>IF(AND(B347=Werte!B347,LEFT(A347,5)=LEFT(Werte!A347,5)),Werte!F347,"not found")</f>
        <v>1.4594161326900701E-2</v>
      </c>
      <c r="N347" s="4" t="str">
        <f t="shared" si="11"/>
        <v>unbekannt</v>
      </c>
      <c r="O347" s="4" cm="1">
        <f t="array" ref="O347">_xlfn.SWITCH(A347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47" s="4" t="str">
        <f>IF(Nodes[[#This Row],[Bezeichnung2]] = "betrueger",1,"")</f>
        <v/>
      </c>
      <c r="Q347" s="4" t="str">
        <f>IF(Nodes[[#This Row],[Bezeichnung2]] = "betrogener",2,"")</f>
        <v/>
      </c>
      <c r="R347" s="4" t="str">
        <f>IF(Nodes[[#This Row],[Bezeichnung2]] = "liebender",3,"")</f>
        <v/>
      </c>
      <c r="S347" s="4" t="str">
        <f>IF(Nodes[[#This Row],[Bezeichnung2]] = "liebende",4,"")</f>
        <v/>
      </c>
      <c r="T347" s="4" t="str">
        <f>IF(Nodes[[#This Row],[Bezeichnung2]] = "gegenspieler",5,"")</f>
        <v/>
      </c>
    </row>
    <row r="348" spans="1:20" x14ac:dyDescent="0.3">
      <c r="A348" t="s">
        <v>355</v>
      </c>
      <c r="B348" t="s">
        <v>596</v>
      </c>
      <c r="C348" t="s">
        <v>18</v>
      </c>
      <c r="D348" t="s">
        <v>362</v>
      </c>
      <c r="E348" t="s">
        <v>47</v>
      </c>
      <c r="F348" t="s">
        <v>104</v>
      </c>
      <c r="G348" t="s">
        <v>26</v>
      </c>
      <c r="H348" t="str">
        <f t="shared" si="10"/>
        <v>buergerlich</v>
      </c>
      <c r="I348" t="str" cm="1">
        <f t="array" ref="I348">_xlfn.SWITCH(A348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48" s="4">
        <f>IF(AND(B348=Werte!B348,LEFT(A348,5)=LEFT(Werte!A348,5)),Werte!C348,"not found")</f>
        <v>8.3333333333333301E-2</v>
      </c>
      <c r="K348" s="4">
        <f>IF(AND(B348=Werte!B348,LEFT(A348,5)=LEFT(Werte!A348,5)),Werte!D348,"not found")</f>
        <v>0</v>
      </c>
      <c r="L348" s="4">
        <f>IF(AND(B348=Werte!B348,LEFT(A348,5)=LEFT(Werte!A348,5)),Werte!E348,"not found")</f>
        <v>0.36923076923076897</v>
      </c>
      <c r="M348" s="4">
        <f>IF(AND(B348=Werte!B348,LEFT(A348,5)=LEFT(Werte!A348,5)),Werte!F348,"not found")</f>
        <v>1.15352532422429E-2</v>
      </c>
      <c r="N348" s="4" t="str">
        <f t="shared" si="11"/>
        <v>bote</v>
      </c>
      <c r="O348" s="4" cm="1">
        <f t="array" ref="O348">_xlfn.SWITCH(A348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48" s="4" t="str">
        <f>IF(Nodes[[#This Row],[Bezeichnung2]] = "betrueger",1,"")</f>
        <v/>
      </c>
      <c r="Q348" s="4" t="str">
        <f>IF(Nodes[[#This Row],[Bezeichnung2]] = "betrogener",2,"")</f>
        <v/>
      </c>
      <c r="R348" s="4" t="str">
        <f>IF(Nodes[[#This Row],[Bezeichnung2]] = "liebender",3,"")</f>
        <v/>
      </c>
      <c r="S348" s="4" t="str">
        <f>IF(Nodes[[#This Row],[Bezeichnung2]] = "liebende",4,"")</f>
        <v/>
      </c>
      <c r="T348" s="4" t="str">
        <f>IF(Nodes[[#This Row],[Bezeichnung2]] = "gegenspieler",5,"")</f>
        <v/>
      </c>
    </row>
    <row r="349" spans="1:20" x14ac:dyDescent="0.3">
      <c r="A349" t="s">
        <v>355</v>
      </c>
      <c r="B349" t="s">
        <v>363</v>
      </c>
      <c r="C349" t="s">
        <v>46</v>
      </c>
      <c r="D349" t="s">
        <v>47</v>
      </c>
      <c r="E349" t="s">
        <v>47</v>
      </c>
      <c r="F349" t="s">
        <v>47</v>
      </c>
      <c r="G349" t="s">
        <v>26</v>
      </c>
      <c r="H349" t="str">
        <f t="shared" si="10"/>
        <v>unbekannt</v>
      </c>
      <c r="I349" t="str" cm="1">
        <f t="array" ref="I349">_xlfn.SWITCH(A349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49" s="4">
        <f>IF(AND(B349=Werte!B349,LEFT(A349,5)=LEFT(Werte!A349,5)),Werte!C349,"not found")</f>
        <v>0.25</v>
      </c>
      <c r="K349" s="4">
        <f>IF(AND(B349=Werte!B349,LEFT(A349,5)=LEFT(Werte!A349,5)),Werte!D349,"not found")</f>
        <v>0</v>
      </c>
      <c r="L349" s="4">
        <f>IF(AND(B349=Werte!B349,LEFT(A349,5)=LEFT(Werte!A349,5)),Werte!E349,"not found")</f>
        <v>0.233009708737864</v>
      </c>
      <c r="M349" s="4">
        <f>IF(AND(B349=Werte!B349,LEFT(A349,5)=LEFT(Werte!A349,5)),Werte!F349,"not found")</f>
        <v>5.2623831951248597E-2</v>
      </c>
      <c r="N349" s="4" t="str">
        <f t="shared" si="11"/>
        <v>unbekannt</v>
      </c>
      <c r="O349" s="4" cm="1">
        <f t="array" ref="O349">_xlfn.SWITCH(A349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49" s="4" t="str">
        <f>IF(Nodes[[#This Row],[Bezeichnung2]] = "betrueger",1,"")</f>
        <v/>
      </c>
      <c r="Q349" s="4" t="str">
        <f>IF(Nodes[[#This Row],[Bezeichnung2]] = "betrogener",2,"")</f>
        <v/>
      </c>
      <c r="R349" s="4" t="str">
        <f>IF(Nodes[[#This Row],[Bezeichnung2]] = "liebender",3,"")</f>
        <v/>
      </c>
      <c r="S349" s="4" t="str">
        <f>IF(Nodes[[#This Row],[Bezeichnung2]] = "liebende",4,"")</f>
        <v/>
      </c>
      <c r="T349" s="4" t="str">
        <f>IF(Nodes[[#This Row],[Bezeichnung2]] = "gegenspieler",5,"")</f>
        <v/>
      </c>
    </row>
    <row r="350" spans="1:20" x14ac:dyDescent="0.3">
      <c r="A350" t="s">
        <v>355</v>
      </c>
      <c r="B350" t="s">
        <v>364</v>
      </c>
      <c r="C350" t="s">
        <v>18</v>
      </c>
      <c r="D350" t="s">
        <v>362</v>
      </c>
      <c r="E350" t="s">
        <v>47</v>
      </c>
      <c r="F350" t="s">
        <v>104</v>
      </c>
      <c r="G350" t="s">
        <v>26</v>
      </c>
      <c r="H350" t="str">
        <f t="shared" si="10"/>
        <v>buergerlich</v>
      </c>
      <c r="I350" t="str" cm="1">
        <f t="array" ref="I350">_xlfn.SWITCH(A350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50" s="4">
        <f>IF(AND(B350=Werte!B350,LEFT(A350,5)=LEFT(Werte!A350,5)),Werte!C350,"not found")</f>
        <v>0.25</v>
      </c>
      <c r="K350" s="4">
        <f>IF(AND(B350=Werte!B350,LEFT(A350,5)=LEFT(Werte!A350,5)),Werte!D350,"not found")</f>
        <v>1.1214630779848201E-3</v>
      </c>
      <c r="L350" s="4">
        <f>IF(AND(B350=Werte!B350,LEFT(A350,5)=LEFT(Werte!A350,5)),Werte!E350,"not found")</f>
        <v>0.36363636363636398</v>
      </c>
      <c r="M350" s="4">
        <f>IF(AND(B350=Werte!B350,LEFT(A350,5)=LEFT(Werte!A350,5)),Werte!F350,"not found")</f>
        <v>4.1592255739240198E-2</v>
      </c>
      <c r="N350" s="4" t="str">
        <f t="shared" si="11"/>
        <v>bote</v>
      </c>
      <c r="O350" s="4" cm="1">
        <f t="array" ref="O350">_xlfn.SWITCH(A350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50" s="4" t="str">
        <f>IF(Nodes[[#This Row],[Bezeichnung2]] = "betrueger",1,"")</f>
        <v/>
      </c>
      <c r="Q350" s="4" t="str">
        <f>IF(Nodes[[#This Row],[Bezeichnung2]] = "betrogener",2,"")</f>
        <v/>
      </c>
      <c r="R350" s="4" t="str">
        <f>IF(Nodes[[#This Row],[Bezeichnung2]] = "liebender",3,"")</f>
        <v/>
      </c>
      <c r="S350" s="4" t="str">
        <f>IF(Nodes[[#This Row],[Bezeichnung2]] = "liebende",4,"")</f>
        <v/>
      </c>
      <c r="T350" s="4" t="str">
        <f>IF(Nodes[[#This Row],[Bezeichnung2]] = "gegenspieler",5,"")</f>
        <v/>
      </c>
    </row>
    <row r="351" spans="1:20" x14ac:dyDescent="0.3">
      <c r="A351" t="s">
        <v>355</v>
      </c>
      <c r="B351" t="s">
        <v>365</v>
      </c>
      <c r="C351" t="s">
        <v>46</v>
      </c>
      <c r="D351" t="s">
        <v>47</v>
      </c>
      <c r="E351" t="s">
        <v>47</v>
      </c>
      <c r="F351" t="s">
        <v>47</v>
      </c>
      <c r="G351" t="s">
        <v>26</v>
      </c>
      <c r="H351" t="str">
        <f t="shared" si="10"/>
        <v>unbekannt</v>
      </c>
      <c r="I351" t="str" cm="1">
        <f t="array" ref="I351">_xlfn.SWITCH(A351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51" s="4">
        <f>IF(AND(B351=Werte!B351,LEFT(A351,5)=LEFT(Werte!A351,5)),Werte!C351,"not found")</f>
        <v>0.25</v>
      </c>
      <c r="K351" s="4">
        <f>IF(AND(B351=Werte!B351,LEFT(A351,5)=LEFT(Werte!A351,5)),Werte!D351,"not found")</f>
        <v>7.1325051759834293E-2</v>
      </c>
      <c r="L351" s="4">
        <f>IF(AND(B351=Werte!B351,LEFT(A351,5)=LEFT(Werte!A351,5)),Werte!E351,"not found")</f>
        <v>0.4</v>
      </c>
      <c r="M351" s="4">
        <f>IF(AND(B351=Werte!B351,LEFT(A351,5)=LEFT(Werte!A351,5)),Werte!F351,"not found")</f>
        <v>1.8796943947652502E-2</v>
      </c>
      <c r="N351" s="4" t="str">
        <f t="shared" si="11"/>
        <v>unbekannt</v>
      </c>
      <c r="O351" s="4" cm="1">
        <f t="array" ref="O351">_xlfn.SWITCH(A351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51" s="4" t="str">
        <f>IF(Nodes[[#This Row],[Bezeichnung2]] = "betrueger",1,"")</f>
        <v/>
      </c>
      <c r="Q351" s="4" t="str">
        <f>IF(Nodes[[#This Row],[Bezeichnung2]] = "betrogener",2,"")</f>
        <v/>
      </c>
      <c r="R351" s="4" t="str">
        <f>IF(Nodes[[#This Row],[Bezeichnung2]] = "liebender",3,"")</f>
        <v/>
      </c>
      <c r="S351" s="4" t="str">
        <f>IF(Nodes[[#This Row],[Bezeichnung2]] = "liebende",4,"")</f>
        <v/>
      </c>
      <c r="T351" s="4" t="str">
        <f>IF(Nodes[[#This Row],[Bezeichnung2]] = "gegenspieler",5,"")</f>
        <v/>
      </c>
    </row>
    <row r="352" spans="1:20" x14ac:dyDescent="0.3">
      <c r="A352" t="s">
        <v>355</v>
      </c>
      <c r="B352" t="s">
        <v>366</v>
      </c>
      <c r="C352" t="s">
        <v>18</v>
      </c>
      <c r="D352" t="s">
        <v>57</v>
      </c>
      <c r="E352" t="s">
        <v>47</v>
      </c>
      <c r="F352" t="s">
        <v>71</v>
      </c>
      <c r="G352" t="s">
        <v>26</v>
      </c>
      <c r="H352" t="str">
        <f t="shared" si="10"/>
        <v>adel</v>
      </c>
      <c r="I352" t="str" cm="1">
        <f t="array" ref="I352">_xlfn.SWITCH(A352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52" s="4">
        <f>IF(AND(B352=Werte!B352,LEFT(A352,5)=LEFT(Werte!A352,5)),Werte!C352,"not found")</f>
        <v>0.66666666666666696</v>
      </c>
      <c r="K352" s="4">
        <f>IF(AND(B352=Werte!B352,LEFT(A352,5)=LEFT(Werte!A352,5)),Werte!D352,"not found")</f>
        <v>8.9447463768115895E-2</v>
      </c>
      <c r="L352" s="4">
        <f>IF(AND(B352=Werte!B352,LEFT(A352,5)=LEFT(Werte!A352,5)),Werte!E352,"not found")</f>
        <v>0.38095238095238099</v>
      </c>
      <c r="M352" s="4">
        <f>IF(AND(B352=Werte!B352,LEFT(A352,5)=LEFT(Werte!A352,5)),Werte!F352,"not found")</f>
        <v>2.38568401680475E-2</v>
      </c>
      <c r="N352" s="4" t="str">
        <f t="shared" si="11"/>
        <v>gegner</v>
      </c>
      <c r="O352" s="4" cm="1">
        <f t="array" ref="O352">_xlfn.SWITCH(A352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52" s="4" t="str">
        <f>IF(Nodes[[#This Row],[Bezeichnung2]] = "betrueger",1,"")</f>
        <v/>
      </c>
      <c r="Q352" s="4" t="str">
        <f>IF(Nodes[[#This Row],[Bezeichnung2]] = "betrogener",2,"")</f>
        <v/>
      </c>
      <c r="R352" s="4" t="str">
        <f>IF(Nodes[[#This Row],[Bezeichnung2]] = "liebender",3,"")</f>
        <v/>
      </c>
      <c r="S352" s="4" t="str">
        <f>IF(Nodes[[#This Row],[Bezeichnung2]] = "liebende",4,"")</f>
        <v/>
      </c>
      <c r="T352" s="4" t="str">
        <f>IF(Nodes[[#This Row],[Bezeichnung2]] = "gegenspieler",5,"")</f>
        <v/>
      </c>
    </row>
    <row r="353" spans="1:20" x14ac:dyDescent="0.3">
      <c r="A353" t="s">
        <v>355</v>
      </c>
      <c r="B353" t="s">
        <v>367</v>
      </c>
      <c r="C353" t="s">
        <v>46</v>
      </c>
      <c r="D353" t="s">
        <v>57</v>
      </c>
      <c r="E353" t="s">
        <v>47</v>
      </c>
      <c r="F353" t="s">
        <v>71</v>
      </c>
      <c r="G353" t="s">
        <v>26</v>
      </c>
      <c r="H353" t="str">
        <f t="shared" si="10"/>
        <v>adel</v>
      </c>
      <c r="I353" t="str" cm="1">
        <f t="array" ref="I353">_xlfn.SWITCH(A353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53" s="4">
        <f>IF(AND(B353=Werte!B353,LEFT(A353,5)=LEFT(Werte!A353,5)),Werte!C353,"not found")</f>
        <v>0.33333333333333298</v>
      </c>
      <c r="K353" s="4">
        <f>IF(AND(B353=Werte!B353,LEFT(A353,5)=LEFT(Werte!A353,5)),Werte!D353,"not found")</f>
        <v>1.8115942028985501E-3</v>
      </c>
      <c r="L353" s="4">
        <f>IF(AND(B353=Werte!B353,LEFT(A353,5)=LEFT(Werte!A353,5)),Werte!E353,"not found")</f>
        <v>0.34782608695652201</v>
      </c>
      <c r="M353" s="4">
        <f>IF(AND(B353=Werte!B353,LEFT(A353,5)=LEFT(Werte!A353,5)),Werte!F353,"not found")</f>
        <v>4.2457017268458401E-4</v>
      </c>
      <c r="N353" s="4" t="str">
        <f t="shared" si="11"/>
        <v>gegner</v>
      </c>
      <c r="O353" s="4" cm="1">
        <f t="array" ref="O353">_xlfn.SWITCH(A353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53" s="4" t="str">
        <f>IF(Nodes[[#This Row],[Bezeichnung2]] = "betrueger",1,"")</f>
        <v/>
      </c>
      <c r="Q353" s="4" t="str">
        <f>IF(Nodes[[#This Row],[Bezeichnung2]] = "betrogener",2,"")</f>
        <v/>
      </c>
      <c r="R353" s="4" t="str">
        <f>IF(Nodes[[#This Row],[Bezeichnung2]] = "liebender",3,"")</f>
        <v/>
      </c>
      <c r="S353" s="4" t="str">
        <f>IF(Nodes[[#This Row],[Bezeichnung2]] = "liebende",4,"")</f>
        <v/>
      </c>
      <c r="T353" s="4" t="str">
        <f>IF(Nodes[[#This Row],[Bezeichnung2]] = "gegenspieler",5,"")</f>
        <v/>
      </c>
    </row>
    <row r="354" spans="1:20" x14ac:dyDescent="0.3">
      <c r="A354" t="s">
        <v>355</v>
      </c>
      <c r="B354" t="s">
        <v>368</v>
      </c>
      <c r="C354" t="s">
        <v>18</v>
      </c>
      <c r="D354" t="s">
        <v>57</v>
      </c>
      <c r="E354" t="s">
        <v>47</v>
      </c>
      <c r="F354" t="s">
        <v>71</v>
      </c>
      <c r="G354" t="s">
        <v>26</v>
      </c>
      <c r="H354" t="str">
        <f t="shared" si="10"/>
        <v>adel</v>
      </c>
      <c r="I354" t="str" cm="1">
        <f t="array" ref="I354">_xlfn.SWITCH(A354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54" s="4">
        <f>IF(AND(B354=Werte!B354,LEFT(A354,5)=LEFT(Werte!A354,5)),Werte!C354,"not found")</f>
        <v>0.33333333333333298</v>
      </c>
      <c r="K354" s="4">
        <f>IF(AND(B354=Werte!B354,LEFT(A354,5)=LEFT(Werte!A354,5)),Werte!D354,"not found")</f>
        <v>1.8115942028985501E-3</v>
      </c>
      <c r="L354" s="4">
        <f>IF(AND(B354=Werte!B354,LEFT(A354,5)=LEFT(Werte!A354,5)),Werte!E354,"not found")</f>
        <v>0.34782608695652201</v>
      </c>
      <c r="M354" s="4">
        <f>IF(AND(B354=Werte!B354,LEFT(A354,5)=LEFT(Werte!A354,5)),Werte!F354,"not found")</f>
        <v>4.2457017268464998E-4</v>
      </c>
      <c r="N354" s="4" t="str">
        <f t="shared" si="11"/>
        <v>gegner</v>
      </c>
      <c r="O354" s="4" cm="1">
        <f t="array" ref="O354">_xlfn.SWITCH(A354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54" s="4" t="str">
        <f>IF(Nodes[[#This Row],[Bezeichnung2]] = "betrueger",1,"")</f>
        <v/>
      </c>
      <c r="Q354" s="4" t="str">
        <f>IF(Nodes[[#This Row],[Bezeichnung2]] = "betrogener",2,"")</f>
        <v/>
      </c>
      <c r="R354" s="4" t="str">
        <f>IF(Nodes[[#This Row],[Bezeichnung2]] = "liebender",3,"")</f>
        <v/>
      </c>
      <c r="S354" s="4" t="str">
        <f>IF(Nodes[[#This Row],[Bezeichnung2]] = "liebende",4,"")</f>
        <v/>
      </c>
      <c r="T354" s="4" t="str">
        <f>IF(Nodes[[#This Row],[Bezeichnung2]] = "gegenspieler",5,"")</f>
        <v/>
      </c>
    </row>
    <row r="355" spans="1:20" x14ac:dyDescent="0.3">
      <c r="A355" t="s">
        <v>355</v>
      </c>
      <c r="B355" t="s">
        <v>369</v>
      </c>
      <c r="C355" t="s">
        <v>18</v>
      </c>
      <c r="D355" t="s">
        <v>57</v>
      </c>
      <c r="E355" t="s">
        <v>47</v>
      </c>
      <c r="F355" t="s">
        <v>71</v>
      </c>
      <c r="G355" t="s">
        <v>26</v>
      </c>
      <c r="H355" t="str">
        <f t="shared" si="10"/>
        <v>adel</v>
      </c>
      <c r="I355" t="str" cm="1">
        <f t="array" ref="I355">_xlfn.SWITCH(A355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55" s="4">
        <f>IF(AND(B355=Werte!B355,LEFT(A355,5)=LEFT(Werte!A355,5)),Werte!C355,"not found")</f>
        <v>0.33333333333333298</v>
      </c>
      <c r="K355" s="4">
        <f>IF(AND(B355=Werte!B355,LEFT(A355,5)=LEFT(Werte!A355,5)),Werte!D355,"not found")</f>
        <v>1.8115942028985501E-3</v>
      </c>
      <c r="L355" s="4">
        <f>IF(AND(B355=Werte!B355,LEFT(A355,5)=LEFT(Werte!A355,5)),Werte!E355,"not found")</f>
        <v>0.34782608695652201</v>
      </c>
      <c r="M355" s="4">
        <f>IF(AND(B355=Werte!B355,LEFT(A355,5)=LEFT(Werte!A355,5)),Werte!F355,"not found")</f>
        <v>4.24570172684562E-4</v>
      </c>
      <c r="N355" s="4" t="str">
        <f t="shared" si="11"/>
        <v>gegner</v>
      </c>
      <c r="O355" s="4" cm="1">
        <f t="array" ref="O355">_xlfn.SWITCH(A355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55" s="4" t="str">
        <f>IF(Nodes[[#This Row],[Bezeichnung2]] = "betrueger",1,"")</f>
        <v/>
      </c>
      <c r="Q355" s="4" t="str">
        <f>IF(Nodes[[#This Row],[Bezeichnung2]] = "betrogener",2,"")</f>
        <v/>
      </c>
      <c r="R355" s="4" t="str">
        <f>IF(Nodes[[#This Row],[Bezeichnung2]] = "liebender",3,"")</f>
        <v/>
      </c>
      <c r="S355" s="4" t="str">
        <f>IF(Nodes[[#This Row],[Bezeichnung2]] = "liebende",4,"")</f>
        <v/>
      </c>
      <c r="T355" s="4" t="str">
        <f>IF(Nodes[[#This Row],[Bezeichnung2]] = "gegenspieler",5,"")</f>
        <v/>
      </c>
    </row>
    <row r="356" spans="1:20" x14ac:dyDescent="0.3">
      <c r="A356" t="s">
        <v>355</v>
      </c>
      <c r="B356" t="s">
        <v>370</v>
      </c>
      <c r="C356" t="s">
        <v>18</v>
      </c>
      <c r="D356" t="s">
        <v>57</v>
      </c>
      <c r="E356" t="s">
        <v>47</v>
      </c>
      <c r="F356" t="s">
        <v>71</v>
      </c>
      <c r="G356" t="s">
        <v>26</v>
      </c>
      <c r="H356" t="str">
        <f t="shared" si="10"/>
        <v>adel</v>
      </c>
      <c r="I356" t="str" cm="1">
        <f t="array" ref="I356">_xlfn.SWITCH(A356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56" s="4">
        <f>IF(AND(B356=Werte!B356,LEFT(A356,5)=LEFT(Werte!A356,5)),Werte!C356,"not found")</f>
        <v>0.41666666666666702</v>
      </c>
      <c r="K356" s="4">
        <f>IF(AND(B356=Werte!B356,LEFT(A356,5)=LEFT(Werte!A356,5)),Werte!D356,"not found")</f>
        <v>0.14492753623188401</v>
      </c>
      <c r="L356" s="4">
        <f>IF(AND(B356=Werte!B356,LEFT(A356,5)=LEFT(Werte!A356,5)),Werte!E356,"not found")</f>
        <v>0.42105263157894701</v>
      </c>
      <c r="M356" s="4">
        <f>IF(AND(B356=Werte!B356,LEFT(A356,5)=LEFT(Werte!A356,5)),Werte!F356,"not found")</f>
        <v>1.21003352014222E-2</v>
      </c>
      <c r="N356" s="4" t="str">
        <f t="shared" si="11"/>
        <v>gegner</v>
      </c>
      <c r="O356" s="4" cm="1">
        <f t="array" ref="O356">_xlfn.SWITCH(A356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56" s="4" t="str">
        <f>IF(Nodes[[#This Row],[Bezeichnung2]] = "betrueger",1,"")</f>
        <v/>
      </c>
      <c r="Q356" s="4" t="str">
        <f>IF(Nodes[[#This Row],[Bezeichnung2]] = "betrogener",2,"")</f>
        <v/>
      </c>
      <c r="R356" s="4" t="str">
        <f>IF(Nodes[[#This Row],[Bezeichnung2]] = "liebender",3,"")</f>
        <v/>
      </c>
      <c r="S356" s="4" t="str">
        <f>IF(Nodes[[#This Row],[Bezeichnung2]] = "liebende",4,"")</f>
        <v/>
      </c>
      <c r="T356" s="4" t="str">
        <f>IF(Nodes[[#This Row],[Bezeichnung2]] = "gegenspieler",5,"")</f>
        <v/>
      </c>
    </row>
    <row r="357" spans="1:20" x14ac:dyDescent="0.3">
      <c r="A357" t="s">
        <v>355</v>
      </c>
      <c r="B357" t="s">
        <v>371</v>
      </c>
      <c r="C357" t="s">
        <v>18</v>
      </c>
      <c r="D357" t="s">
        <v>57</v>
      </c>
      <c r="E357" t="s">
        <v>47</v>
      </c>
      <c r="F357" t="s">
        <v>71</v>
      </c>
      <c r="G357" t="s">
        <v>26</v>
      </c>
      <c r="H357" t="str">
        <f t="shared" si="10"/>
        <v>adel</v>
      </c>
      <c r="I357" t="str" cm="1">
        <f t="array" ref="I357">_xlfn.SWITCH(A357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57" s="4">
        <f>IF(AND(B357=Werte!B357,LEFT(A357,5)=LEFT(Werte!A357,5)),Werte!C357,"not found")</f>
        <v>0.25</v>
      </c>
      <c r="K357" s="4">
        <f>IF(AND(B357=Werte!B357,LEFT(A357,5)=LEFT(Werte!A357,5)),Werte!D357,"not found")</f>
        <v>1.24532723717506E-2</v>
      </c>
      <c r="L357" s="4">
        <f>IF(AND(B357=Werte!B357,LEFT(A357,5)=LEFT(Werte!A357,5)),Werte!E357,"not found")</f>
        <v>0.42105263157894701</v>
      </c>
      <c r="M357" s="4">
        <f>IF(AND(B357=Werte!B357,LEFT(A357,5)=LEFT(Werte!A357,5)),Werte!F357,"not found")</f>
        <v>1.19482743050577E-2</v>
      </c>
      <c r="N357" s="4" t="str">
        <f t="shared" si="11"/>
        <v>gegner</v>
      </c>
      <c r="O357" s="4" cm="1">
        <f t="array" ref="O357">_xlfn.SWITCH(A357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57" s="4" t="str">
        <f>IF(Nodes[[#This Row],[Bezeichnung2]] = "betrueger",1,"")</f>
        <v/>
      </c>
      <c r="Q357" s="4" t="str">
        <f>IF(Nodes[[#This Row],[Bezeichnung2]] = "betrogener",2,"")</f>
        <v/>
      </c>
      <c r="R357" s="4" t="str">
        <f>IF(Nodes[[#This Row],[Bezeichnung2]] = "liebender",3,"")</f>
        <v/>
      </c>
      <c r="S357" s="4" t="str">
        <f>IF(Nodes[[#This Row],[Bezeichnung2]] = "liebende",4,"")</f>
        <v/>
      </c>
      <c r="T357" s="4" t="str">
        <f>IF(Nodes[[#This Row],[Bezeichnung2]] = "gegenspieler",5,"")</f>
        <v/>
      </c>
    </row>
    <row r="358" spans="1:20" x14ac:dyDescent="0.3">
      <c r="A358" t="s">
        <v>355</v>
      </c>
      <c r="B358" t="s">
        <v>372</v>
      </c>
      <c r="C358" t="s">
        <v>18</v>
      </c>
      <c r="D358" t="s">
        <v>57</v>
      </c>
      <c r="E358" t="s">
        <v>47</v>
      </c>
      <c r="F358" t="s">
        <v>71</v>
      </c>
      <c r="G358" t="s">
        <v>26</v>
      </c>
      <c r="H358" t="str">
        <f t="shared" si="10"/>
        <v>adel</v>
      </c>
      <c r="I358" t="str" cm="1">
        <f t="array" ref="I358">_xlfn.SWITCH(A358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58" s="4">
        <f>IF(AND(B358=Werte!B358,LEFT(A358,5)=LEFT(Werte!A358,5)),Werte!C358,"not found")</f>
        <v>0.25</v>
      </c>
      <c r="K358" s="4">
        <f>IF(AND(B358=Werte!B358,LEFT(A358,5)=LEFT(Werte!A358,5)),Werte!D358,"not found")</f>
        <v>1.24532723717506E-2</v>
      </c>
      <c r="L358" s="4">
        <f>IF(AND(B358=Werte!B358,LEFT(A358,5)=LEFT(Werte!A358,5)),Werte!E358,"not found")</f>
        <v>0.42105263157894701</v>
      </c>
      <c r="M358" s="4">
        <f>IF(AND(B358=Werte!B358,LEFT(A358,5)=LEFT(Werte!A358,5)),Werte!F358,"not found")</f>
        <v>1.19482743050577E-2</v>
      </c>
      <c r="N358" s="4" t="str">
        <f t="shared" si="11"/>
        <v>gegner</v>
      </c>
      <c r="O358" s="4" cm="1">
        <f t="array" ref="O358">_xlfn.SWITCH(A358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58" s="4" t="str">
        <f>IF(Nodes[[#This Row],[Bezeichnung2]] = "betrueger",1,"")</f>
        <v/>
      </c>
      <c r="Q358" s="4" t="str">
        <f>IF(Nodes[[#This Row],[Bezeichnung2]] = "betrogener",2,"")</f>
        <v/>
      </c>
      <c r="R358" s="4" t="str">
        <f>IF(Nodes[[#This Row],[Bezeichnung2]] = "liebender",3,"")</f>
        <v/>
      </c>
      <c r="S358" s="4" t="str">
        <f>IF(Nodes[[#This Row],[Bezeichnung2]] = "liebende",4,"")</f>
        <v/>
      </c>
      <c r="T358" s="4" t="str">
        <f>IF(Nodes[[#This Row],[Bezeichnung2]] = "gegenspieler",5,"")</f>
        <v/>
      </c>
    </row>
    <row r="359" spans="1:20" x14ac:dyDescent="0.3">
      <c r="A359" t="s">
        <v>355</v>
      </c>
      <c r="B359" t="s">
        <v>373</v>
      </c>
      <c r="C359" t="s">
        <v>18</v>
      </c>
      <c r="D359" t="s">
        <v>57</v>
      </c>
      <c r="E359" t="s">
        <v>47</v>
      </c>
      <c r="F359" t="s">
        <v>71</v>
      </c>
      <c r="G359" t="s">
        <v>26</v>
      </c>
      <c r="H359" t="str">
        <f t="shared" si="10"/>
        <v>adel</v>
      </c>
      <c r="I359" t="str" cm="1">
        <f t="array" ref="I359">_xlfn.SWITCH(A359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59" s="4">
        <f>IF(AND(B359=Werte!B359,LEFT(A359,5)=LEFT(Werte!A359,5)),Werte!C359,"not found")</f>
        <v>0.58333333333333304</v>
      </c>
      <c r="K359" s="4">
        <f>IF(AND(B359=Werte!B359,LEFT(A359,5)=LEFT(Werte!A359,5)),Werte!D359,"not found")</f>
        <v>1.4783183804922899E-2</v>
      </c>
      <c r="L359" s="4">
        <f>IF(AND(B359=Werte!B359,LEFT(A359,5)=LEFT(Werte!A359,5)),Werte!E359,"not found")</f>
        <v>0.46153846153846201</v>
      </c>
      <c r="M359" s="4">
        <f>IF(AND(B359=Werte!B359,LEFT(A359,5)=LEFT(Werte!A359,5)),Werte!F359,"not found")</f>
        <v>3.1510949632662502E-2</v>
      </c>
      <c r="N359" s="4" t="str">
        <f t="shared" si="11"/>
        <v>gegner</v>
      </c>
      <c r="O359" s="4" cm="1">
        <f t="array" ref="O359">_xlfn.SWITCH(A359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59" s="4" t="str">
        <f>IF(Nodes[[#This Row],[Bezeichnung2]] = "betrueger",1,"")</f>
        <v/>
      </c>
      <c r="Q359" s="4" t="str">
        <f>IF(Nodes[[#This Row],[Bezeichnung2]] = "betrogener",2,"")</f>
        <v/>
      </c>
      <c r="R359" s="4" t="str">
        <f>IF(Nodes[[#This Row],[Bezeichnung2]] = "liebender",3,"")</f>
        <v/>
      </c>
      <c r="S359" s="4" t="str">
        <f>IF(Nodes[[#This Row],[Bezeichnung2]] = "liebende",4,"")</f>
        <v/>
      </c>
      <c r="T359" s="4" t="str">
        <f>IF(Nodes[[#This Row],[Bezeichnung2]] = "gegenspieler",5,"")</f>
        <v/>
      </c>
    </row>
    <row r="360" spans="1:20" x14ac:dyDescent="0.3">
      <c r="A360" t="s">
        <v>355</v>
      </c>
      <c r="B360" t="s">
        <v>374</v>
      </c>
      <c r="C360" t="s">
        <v>18</v>
      </c>
      <c r="D360" t="s">
        <v>57</v>
      </c>
      <c r="E360" t="s">
        <v>47</v>
      </c>
      <c r="F360" t="s">
        <v>71</v>
      </c>
      <c r="G360" t="s">
        <v>26</v>
      </c>
      <c r="H360" t="str">
        <f t="shared" si="10"/>
        <v>adel</v>
      </c>
      <c r="I360" t="str" cm="1">
        <f t="array" ref="I360">_xlfn.SWITCH(A360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60" s="4">
        <f>IF(AND(B360=Werte!B360,LEFT(A360,5)=LEFT(Werte!A360,5)),Werte!C360,"not found")</f>
        <v>0.58333333333333304</v>
      </c>
      <c r="K360" s="4">
        <f>IF(AND(B360=Werte!B360,LEFT(A360,5)=LEFT(Werte!A360,5)),Werte!D360,"not found")</f>
        <v>1.4783183804922899E-2</v>
      </c>
      <c r="L360" s="4">
        <f>IF(AND(B360=Werte!B360,LEFT(A360,5)=LEFT(Werte!A360,5)),Werte!E360,"not found")</f>
        <v>0.46153846153846201</v>
      </c>
      <c r="M360" s="4">
        <f>IF(AND(B360=Werte!B360,LEFT(A360,5)=LEFT(Werte!A360,5)),Werte!F360,"not found")</f>
        <v>3.1510949632662599E-2</v>
      </c>
      <c r="N360" s="4" t="str">
        <f t="shared" si="11"/>
        <v>gegner</v>
      </c>
      <c r="O360" s="4" cm="1">
        <f t="array" ref="O360">_xlfn.SWITCH(A360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60" s="4" t="str">
        <f>IF(Nodes[[#This Row],[Bezeichnung2]] = "betrueger",1,"")</f>
        <v/>
      </c>
      <c r="Q360" s="4" t="str">
        <f>IF(Nodes[[#This Row],[Bezeichnung2]] = "betrogener",2,"")</f>
        <v/>
      </c>
      <c r="R360" s="4" t="str">
        <f>IF(Nodes[[#This Row],[Bezeichnung2]] = "liebender",3,"")</f>
        <v/>
      </c>
      <c r="S360" s="4" t="str">
        <f>IF(Nodes[[#This Row],[Bezeichnung2]] = "liebende",4,"")</f>
        <v/>
      </c>
      <c r="T360" s="4" t="str">
        <f>IF(Nodes[[#This Row],[Bezeichnung2]] = "gegenspieler",5,"")</f>
        <v/>
      </c>
    </row>
    <row r="361" spans="1:20" x14ac:dyDescent="0.3">
      <c r="A361" t="s">
        <v>355</v>
      </c>
      <c r="B361" t="s">
        <v>375</v>
      </c>
      <c r="C361" t="s">
        <v>18</v>
      </c>
      <c r="D361" t="s">
        <v>57</v>
      </c>
      <c r="E361" t="s">
        <v>47</v>
      </c>
      <c r="F361" t="s">
        <v>71</v>
      </c>
      <c r="G361" t="s">
        <v>26</v>
      </c>
      <c r="H361" t="str">
        <f t="shared" si="10"/>
        <v>adel</v>
      </c>
      <c r="I361" t="str" cm="1">
        <f t="array" ref="I361">_xlfn.SWITCH(A361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61" s="4">
        <f>IF(AND(B361=Werte!B361,LEFT(A361,5)=LEFT(Werte!A361,5)),Werte!C361,"not found")</f>
        <v>0.58333333333333304</v>
      </c>
      <c r="K361" s="4">
        <f>IF(AND(B361=Werte!B361,LEFT(A361,5)=LEFT(Werte!A361,5)),Werte!D361,"not found")</f>
        <v>1.4783183804922899E-2</v>
      </c>
      <c r="L361" s="4">
        <f>IF(AND(B361=Werte!B361,LEFT(A361,5)=LEFT(Werte!A361,5)),Werte!E361,"not found")</f>
        <v>0.46153846153846201</v>
      </c>
      <c r="M361" s="4">
        <f>IF(AND(B361=Werte!B361,LEFT(A361,5)=LEFT(Werte!A361,5)),Werte!F361,"not found")</f>
        <v>3.1510949632662599E-2</v>
      </c>
      <c r="N361" s="4" t="str">
        <f t="shared" si="11"/>
        <v>gegner</v>
      </c>
      <c r="O361" s="4" cm="1">
        <f t="array" ref="O361">_xlfn.SWITCH(A361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61" s="4" t="str">
        <f>IF(Nodes[[#This Row],[Bezeichnung2]] = "betrueger",1,"")</f>
        <v/>
      </c>
      <c r="Q361" s="4" t="str">
        <f>IF(Nodes[[#This Row],[Bezeichnung2]] = "betrogener",2,"")</f>
        <v/>
      </c>
      <c r="R361" s="4" t="str">
        <f>IF(Nodes[[#This Row],[Bezeichnung2]] = "liebender",3,"")</f>
        <v/>
      </c>
      <c r="S361" s="4" t="str">
        <f>IF(Nodes[[#This Row],[Bezeichnung2]] = "liebende",4,"")</f>
        <v/>
      </c>
      <c r="T361" s="4" t="str">
        <f>IF(Nodes[[#This Row],[Bezeichnung2]] = "gegenspieler",5,"")</f>
        <v/>
      </c>
    </row>
    <row r="362" spans="1:20" x14ac:dyDescent="0.3">
      <c r="A362" t="s">
        <v>355</v>
      </c>
      <c r="B362" t="s">
        <v>376</v>
      </c>
      <c r="C362" t="s">
        <v>18</v>
      </c>
      <c r="D362" t="s">
        <v>57</v>
      </c>
      <c r="E362" t="s">
        <v>47</v>
      </c>
      <c r="F362" t="s">
        <v>71</v>
      </c>
      <c r="G362" t="s">
        <v>26</v>
      </c>
      <c r="H362" t="str">
        <f t="shared" si="10"/>
        <v>adel</v>
      </c>
      <c r="I362" t="str" cm="1">
        <f t="array" ref="I362">_xlfn.SWITCH(A362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62" s="4">
        <f>IF(AND(B362=Werte!B362,LEFT(A362,5)=LEFT(Werte!A362,5)),Werte!C362,"not found")</f>
        <v>0.58333333333333304</v>
      </c>
      <c r="K362" s="4">
        <f>IF(AND(B362=Werte!B362,LEFT(A362,5)=LEFT(Werte!A362,5)),Werte!D362,"not found")</f>
        <v>1.4783183804922899E-2</v>
      </c>
      <c r="L362" s="4">
        <f>IF(AND(B362=Werte!B362,LEFT(A362,5)=LEFT(Werte!A362,5)),Werte!E362,"not found")</f>
        <v>0.46153846153846201</v>
      </c>
      <c r="M362" s="4">
        <f>IF(AND(B362=Werte!B362,LEFT(A362,5)=LEFT(Werte!A362,5)),Werte!F362,"not found")</f>
        <v>3.1510949632662502E-2</v>
      </c>
      <c r="N362" s="4" t="str">
        <f t="shared" si="11"/>
        <v>gegner</v>
      </c>
      <c r="O362" s="4" cm="1">
        <f t="array" ref="O362">_xlfn.SWITCH(A362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62" s="4" t="str">
        <f>IF(Nodes[[#This Row],[Bezeichnung2]] = "betrueger",1,"")</f>
        <v/>
      </c>
      <c r="Q362" s="4" t="str">
        <f>IF(Nodes[[#This Row],[Bezeichnung2]] = "betrogener",2,"")</f>
        <v/>
      </c>
      <c r="R362" s="4" t="str">
        <f>IF(Nodes[[#This Row],[Bezeichnung2]] = "liebender",3,"")</f>
        <v/>
      </c>
      <c r="S362" s="4" t="str">
        <f>IF(Nodes[[#This Row],[Bezeichnung2]] = "liebende",4,"")</f>
        <v/>
      </c>
      <c r="T362" s="4" t="str">
        <f>IF(Nodes[[#This Row],[Bezeichnung2]] = "gegenspieler",5,"")</f>
        <v/>
      </c>
    </row>
    <row r="363" spans="1:20" x14ac:dyDescent="0.3">
      <c r="A363" t="s">
        <v>355</v>
      </c>
      <c r="B363" t="s">
        <v>377</v>
      </c>
      <c r="C363" t="s">
        <v>18</v>
      </c>
      <c r="D363" t="s">
        <v>57</v>
      </c>
      <c r="E363" t="s">
        <v>47</v>
      </c>
      <c r="F363" t="s">
        <v>71</v>
      </c>
      <c r="G363" t="s">
        <v>26</v>
      </c>
      <c r="H363" t="str">
        <f t="shared" si="10"/>
        <v>adel</v>
      </c>
      <c r="I363" t="str" cm="1">
        <f t="array" ref="I363">_xlfn.SWITCH(A363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63" s="4">
        <f>IF(AND(B363=Werte!B363,LEFT(A363,5)=LEFT(Werte!A363,5)),Werte!C363,"not found")</f>
        <v>0.58333333333333304</v>
      </c>
      <c r="K363" s="4">
        <f>IF(AND(B363=Werte!B363,LEFT(A363,5)=LEFT(Werte!A363,5)),Werte!D363,"not found")</f>
        <v>1.4783183804922899E-2</v>
      </c>
      <c r="L363" s="4">
        <f>IF(AND(B363=Werte!B363,LEFT(A363,5)=LEFT(Werte!A363,5)),Werte!E363,"not found")</f>
        <v>0.46153846153846201</v>
      </c>
      <c r="M363" s="4">
        <f>IF(AND(B363=Werte!B363,LEFT(A363,5)=LEFT(Werte!A363,5)),Werte!F363,"not found")</f>
        <v>3.1510949632662599E-2</v>
      </c>
      <c r="N363" s="4" t="str">
        <f t="shared" si="11"/>
        <v>gegner</v>
      </c>
      <c r="O363" s="4" cm="1">
        <f t="array" ref="O363">_xlfn.SWITCH(A363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63" s="4" t="str">
        <f>IF(Nodes[[#This Row],[Bezeichnung2]] = "betrueger",1,"")</f>
        <v/>
      </c>
      <c r="Q363" s="4" t="str">
        <f>IF(Nodes[[#This Row],[Bezeichnung2]] = "betrogener",2,"")</f>
        <v/>
      </c>
      <c r="R363" s="4" t="str">
        <f>IF(Nodes[[#This Row],[Bezeichnung2]] = "liebender",3,"")</f>
        <v/>
      </c>
      <c r="S363" s="4" t="str">
        <f>IF(Nodes[[#This Row],[Bezeichnung2]] = "liebende",4,"")</f>
        <v/>
      </c>
      <c r="T363" s="4" t="str">
        <f>IF(Nodes[[#This Row],[Bezeichnung2]] = "gegenspieler",5,"")</f>
        <v/>
      </c>
    </row>
    <row r="364" spans="1:20" x14ac:dyDescent="0.3">
      <c r="A364" t="s">
        <v>355</v>
      </c>
      <c r="B364" t="s">
        <v>378</v>
      </c>
      <c r="C364" t="s">
        <v>46</v>
      </c>
      <c r="D364" t="s">
        <v>47</v>
      </c>
      <c r="E364" t="s">
        <v>47</v>
      </c>
      <c r="F364" t="s">
        <v>47</v>
      </c>
      <c r="G364" t="s">
        <v>26</v>
      </c>
      <c r="H364" t="str">
        <f t="shared" si="10"/>
        <v>unbekannt</v>
      </c>
      <c r="I364" t="str" cm="1">
        <f t="array" ref="I364">_xlfn.SWITCH(A364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64" s="4">
        <f>IF(AND(B364=Werte!B364,LEFT(A364,5)=LEFT(Werte!A364,5)),Werte!C364,"not found")</f>
        <v>0.16666666666666699</v>
      </c>
      <c r="K364" s="4">
        <f>IF(AND(B364=Werte!B364,LEFT(A364,5)=LEFT(Werte!A364,5)),Werte!D364,"not found")</f>
        <v>6.1860190936277896E-3</v>
      </c>
      <c r="L364" s="4">
        <f>IF(AND(B364=Werte!B364,LEFT(A364,5)=LEFT(Werte!A364,5)),Werte!E364,"not found")</f>
        <v>0.41379310344827602</v>
      </c>
      <c r="M364" s="4">
        <f>IF(AND(B364=Werte!B364,LEFT(A364,5)=LEFT(Werte!A364,5)),Werte!F364,"not found")</f>
        <v>2.2696230411622199E-2</v>
      </c>
      <c r="N364" s="4" t="str">
        <f t="shared" si="11"/>
        <v>unbekannt</v>
      </c>
      <c r="O364" s="4" cm="1">
        <f t="array" ref="O364">_xlfn.SWITCH(A364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64" s="4" t="str">
        <f>IF(Nodes[[#This Row],[Bezeichnung2]] = "betrueger",1,"")</f>
        <v/>
      </c>
      <c r="Q364" s="4" t="str">
        <f>IF(Nodes[[#This Row],[Bezeichnung2]] = "betrogener",2,"")</f>
        <v/>
      </c>
      <c r="R364" s="4" t="str">
        <f>IF(Nodes[[#This Row],[Bezeichnung2]] = "liebender",3,"")</f>
        <v/>
      </c>
      <c r="S364" s="4" t="str">
        <f>IF(Nodes[[#This Row],[Bezeichnung2]] = "liebende",4,"")</f>
        <v/>
      </c>
      <c r="T364" s="4" t="str">
        <f>IF(Nodes[[#This Row],[Bezeichnung2]] = "gegenspieler",5,"")</f>
        <v/>
      </c>
    </row>
    <row r="365" spans="1:20" x14ac:dyDescent="0.3">
      <c r="A365" t="s">
        <v>355</v>
      </c>
      <c r="B365" t="s">
        <v>379</v>
      </c>
      <c r="C365" t="s">
        <v>18</v>
      </c>
      <c r="D365" t="s">
        <v>362</v>
      </c>
      <c r="E365" t="s">
        <v>47</v>
      </c>
      <c r="F365" t="s">
        <v>104</v>
      </c>
      <c r="G365" t="s">
        <v>26</v>
      </c>
      <c r="H365" t="str">
        <f t="shared" si="10"/>
        <v>buergerlich</v>
      </c>
      <c r="I365" t="str" cm="1">
        <f t="array" ref="I365">_xlfn.SWITCH(A365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65" s="4">
        <f>IF(AND(B365=Werte!B365,LEFT(A365,5)=LEFT(Werte!A365,5)),Werte!C365,"not found")</f>
        <v>0.16666666666666699</v>
      </c>
      <c r="K365" s="4">
        <f>IF(AND(B365=Werte!B365,LEFT(A365,5)=LEFT(Werte!A365,5)),Werte!D365,"not found")</f>
        <v>0</v>
      </c>
      <c r="L365" s="4">
        <f>IF(AND(B365=Werte!B365,LEFT(A365,5)=LEFT(Werte!A365,5)),Werte!E365,"not found")</f>
        <v>0.296296296296296</v>
      </c>
      <c r="M365" s="4">
        <f>IF(AND(B365=Werte!B365,LEFT(A365,5)=LEFT(Werte!A365,5)),Werte!F365,"not found")</f>
        <v>4.5392460823244503E-2</v>
      </c>
      <c r="N365" s="4" t="str">
        <f t="shared" si="11"/>
        <v>bote</v>
      </c>
      <c r="O365" s="4" cm="1">
        <f t="array" ref="O365">_xlfn.SWITCH(A365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65" s="4" t="str">
        <f>IF(Nodes[[#This Row],[Bezeichnung2]] = "betrueger",1,"")</f>
        <v/>
      </c>
      <c r="Q365" s="4" t="str">
        <f>IF(Nodes[[#This Row],[Bezeichnung2]] = "betrogener",2,"")</f>
        <v/>
      </c>
      <c r="R365" s="4" t="str">
        <f>IF(Nodes[[#This Row],[Bezeichnung2]] = "liebender",3,"")</f>
        <v/>
      </c>
      <c r="S365" s="4" t="str">
        <f>IF(Nodes[[#This Row],[Bezeichnung2]] = "liebende",4,"")</f>
        <v/>
      </c>
      <c r="T365" s="4" t="str">
        <f>IF(Nodes[[#This Row],[Bezeichnung2]] = "gegenspieler",5,"")</f>
        <v/>
      </c>
    </row>
    <row r="366" spans="1:20" x14ac:dyDescent="0.3">
      <c r="A366" t="s">
        <v>597</v>
      </c>
      <c r="B366" t="s">
        <v>598</v>
      </c>
      <c r="C366" t="s">
        <v>145</v>
      </c>
      <c r="D366" t="s">
        <v>19</v>
      </c>
      <c r="E366" t="s">
        <v>19</v>
      </c>
      <c r="F366" t="s">
        <v>47</v>
      </c>
      <c r="G366" t="s">
        <v>22</v>
      </c>
      <c r="H366" t="str">
        <f t="shared" si="10"/>
        <v>NA</v>
      </c>
      <c r="I366" t="str" cm="1">
        <f t="array" ref="I366">_xlfn.SWITCH(A366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66" s="4">
        <f>IF(AND(B366=Werte!B366,LEFT(A366,5)=LEFT(Werte!A366,5)),Werte!C366,"not found")</f>
        <v>0</v>
      </c>
      <c r="K366" s="4">
        <f>IF(AND(B366=Werte!B366,LEFT(A366,5)=LEFT(Werte!A366,5)),Werte!D366,"not found")</f>
        <v>0</v>
      </c>
      <c r="L366" s="4">
        <f>IF(AND(B366=Werte!B366,LEFT(A366,5)=LEFT(Werte!A366,5)),Werte!E366,"not found")</f>
        <v>0</v>
      </c>
      <c r="M366" s="4">
        <f>IF(AND(B366=Werte!B366,LEFT(A366,5)=LEFT(Werte!A366,5)),Werte!F366,"not found")</f>
        <v>0</v>
      </c>
      <c r="N366" s="4" t="str">
        <f t="shared" si="11"/>
        <v>unbekannt</v>
      </c>
      <c r="O366" s="4" cm="1">
        <f t="array" ref="O366">_xlfn.SWITCH(A366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366" s="4" t="str">
        <f>IF(Nodes[[#This Row],[Bezeichnung2]] = "betrueger",1,"")</f>
        <v/>
      </c>
      <c r="Q366" s="4" t="str">
        <f>IF(Nodes[[#This Row],[Bezeichnung2]] = "betrogener",2,"")</f>
        <v/>
      </c>
      <c r="R366" s="4" t="str">
        <f>IF(Nodes[[#This Row],[Bezeichnung2]] = "liebender",3,"")</f>
        <v/>
      </c>
      <c r="S366" s="4" t="str">
        <f>IF(Nodes[[#This Row],[Bezeichnung2]] = "liebende",4,"")</f>
        <v/>
      </c>
      <c r="T366" s="4" t="str">
        <f>IF(Nodes[[#This Row],[Bezeichnung2]] = "gegenspieler",5,"")</f>
        <v/>
      </c>
    </row>
    <row r="367" spans="1:20" x14ac:dyDescent="0.3">
      <c r="A367" t="s">
        <v>597</v>
      </c>
      <c r="B367" t="s">
        <v>599</v>
      </c>
      <c r="C367" t="s">
        <v>145</v>
      </c>
      <c r="D367" t="s">
        <v>19</v>
      </c>
      <c r="E367" t="s">
        <v>19</v>
      </c>
      <c r="F367" t="s">
        <v>71</v>
      </c>
      <c r="G367" t="s">
        <v>26</v>
      </c>
      <c r="H367" t="str">
        <f t="shared" si="10"/>
        <v>NA</v>
      </c>
      <c r="I367" t="str" cm="1">
        <f t="array" ref="I367">_xlfn.SWITCH(A367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67" s="4">
        <f>IF(AND(B367=Werte!B367,LEFT(A367,5)=LEFT(Werte!A367,5)),Werte!C367,"not found")</f>
        <v>0</v>
      </c>
      <c r="K367" s="4">
        <f>IF(AND(B367=Werte!B367,LEFT(A367,5)=LEFT(Werte!A367,5)),Werte!D367,"not found")</f>
        <v>0</v>
      </c>
      <c r="L367" s="4">
        <f>IF(AND(B367=Werte!B367,LEFT(A367,5)=LEFT(Werte!A367,5)),Werte!E367,"not found")</f>
        <v>0</v>
      </c>
      <c r="M367" s="4">
        <f>IF(AND(B367=Werte!B367,LEFT(A367,5)=LEFT(Werte!A367,5)),Werte!F367,"not found")</f>
        <v>0</v>
      </c>
      <c r="N367" s="4" t="str">
        <f t="shared" si="11"/>
        <v>gegner</v>
      </c>
      <c r="O367" s="4" cm="1">
        <f t="array" ref="O367">_xlfn.SWITCH(A367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367" s="4" t="str">
        <f>IF(Nodes[[#This Row],[Bezeichnung2]] = "betrueger",1,"")</f>
        <v/>
      </c>
      <c r="Q367" s="4" t="str">
        <f>IF(Nodes[[#This Row],[Bezeichnung2]] = "betrogener",2,"")</f>
        <v/>
      </c>
      <c r="R367" s="4" t="str">
        <f>IF(Nodes[[#This Row],[Bezeichnung2]] = "liebender",3,"")</f>
        <v/>
      </c>
      <c r="S367" s="4" t="str">
        <f>IF(Nodes[[#This Row],[Bezeichnung2]] = "liebende",4,"")</f>
        <v/>
      </c>
      <c r="T367" s="4" t="str">
        <f>IF(Nodes[[#This Row],[Bezeichnung2]] = "gegenspieler",5,"")</f>
        <v/>
      </c>
    </row>
    <row r="368" spans="1:20" x14ac:dyDescent="0.3">
      <c r="A368" t="s">
        <v>597</v>
      </c>
      <c r="B368" t="s">
        <v>60</v>
      </c>
      <c r="C368" t="s">
        <v>46</v>
      </c>
      <c r="D368" t="s">
        <v>61</v>
      </c>
      <c r="E368" t="s">
        <v>47</v>
      </c>
      <c r="F368" t="s">
        <v>87</v>
      </c>
      <c r="G368" t="s">
        <v>26</v>
      </c>
      <c r="H368" t="str">
        <f t="shared" si="10"/>
        <v>klerus</v>
      </c>
      <c r="I368" t="str" cm="1">
        <f t="array" ref="I368">_xlfn.SWITCH(A368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368" s="4">
        <f>IF(AND(B368=Werte!B368,LEFT(A368,5)=LEFT(Werte!A368,5)),Werte!C368,"not found")</f>
        <v>0</v>
      </c>
      <c r="K368" s="4">
        <f>IF(AND(B368=Werte!B368,LEFT(A368,5)=LEFT(Werte!A368,5)),Werte!D368,"not found")</f>
        <v>0</v>
      </c>
      <c r="L368" s="4">
        <f>IF(AND(B368=Werte!B368,LEFT(A368,5)=LEFT(Werte!A368,5)),Werte!E368,"not found")</f>
        <v>0</v>
      </c>
      <c r="M368" s="4">
        <f>IF(AND(B368=Werte!B368,LEFT(A368,5)=LEFT(Werte!A368,5)),Werte!F368,"not found")</f>
        <v>0</v>
      </c>
      <c r="N368" s="4" t="str">
        <f t="shared" si="11"/>
        <v>gegenspieler</v>
      </c>
      <c r="O368" s="4" cm="1">
        <f t="array" ref="O368">_xlfn.SWITCH(A368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368" s="4" t="str">
        <f>IF(Nodes[[#This Row],[Bezeichnung2]] = "betrueger",1,"")</f>
        <v/>
      </c>
      <c r="Q368" s="4" t="str">
        <f>IF(Nodes[[#This Row],[Bezeichnung2]] = "betrogener",2,"")</f>
        <v/>
      </c>
      <c r="R368" s="4" t="str">
        <f>IF(Nodes[[#This Row],[Bezeichnung2]] = "liebender",3,"")</f>
        <v/>
      </c>
      <c r="S368" s="4" t="str">
        <f>IF(Nodes[[#This Row],[Bezeichnung2]] = "liebende",4,"")</f>
        <v/>
      </c>
      <c r="T368" s="4">
        <f>IF(Nodes[[#This Row],[Bezeichnung2]] = "gegenspieler",5,"")</f>
        <v>5</v>
      </c>
    </row>
    <row r="369" spans="1:20" x14ac:dyDescent="0.3">
      <c r="A369" t="s">
        <v>380</v>
      </c>
      <c r="B369" t="s">
        <v>381</v>
      </c>
      <c r="C369" t="s">
        <v>18</v>
      </c>
      <c r="D369" t="s">
        <v>31</v>
      </c>
      <c r="E369" t="s">
        <v>20</v>
      </c>
      <c r="F369" t="s">
        <v>50</v>
      </c>
      <c r="G369" t="s">
        <v>22</v>
      </c>
      <c r="H369" t="str">
        <f t="shared" si="10"/>
        <v>adel</v>
      </c>
      <c r="I369" t="str" cm="1">
        <f t="array" ref="I369">_xlfn.SWITCH(A369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69" s="4">
        <f>IF(AND(B369=Werte!B369,LEFT(A369,5)=LEFT(Werte!A369,5)),Werte!C369,"not found")</f>
        <v>2</v>
      </c>
      <c r="K369" s="4">
        <f>IF(AND(B369=Werte!B369,LEFT(A369,5)=LEFT(Werte!A369,5)),Werte!D369,"not found")</f>
        <v>0.52752525252525295</v>
      </c>
      <c r="L369" s="4">
        <f>IF(AND(B369=Werte!B369,LEFT(A369,5)=LEFT(Werte!A369,5)),Werte!E369,"not found")</f>
        <v>0.375</v>
      </c>
      <c r="M369" s="4">
        <f>IF(AND(B369=Werte!B369,LEFT(A369,5)=LEFT(Werte!A369,5)),Werte!F369,"not found")</f>
        <v>1</v>
      </c>
      <c r="N369" s="4" t="str">
        <f t="shared" si="11"/>
        <v>betrogener</v>
      </c>
      <c r="O369" s="4" cm="1">
        <f t="array" ref="O369">_xlfn.SWITCH(A369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69" s="4" t="str">
        <f>IF(Nodes[[#This Row],[Bezeichnung2]] = "betrueger",1,"")</f>
        <v/>
      </c>
      <c r="Q369" s="4">
        <f>IF(Nodes[[#This Row],[Bezeichnung2]] = "betrogener",2,"")</f>
        <v>2</v>
      </c>
      <c r="R369" s="4" t="str">
        <f>IF(Nodes[[#This Row],[Bezeichnung2]] = "liebender",3,"")</f>
        <v/>
      </c>
      <c r="S369" s="4" t="str">
        <f>IF(Nodes[[#This Row],[Bezeichnung2]] = "liebende",4,"")</f>
        <v/>
      </c>
      <c r="T369" s="4" t="str">
        <f>IF(Nodes[[#This Row],[Bezeichnung2]] = "gegenspieler",5,"")</f>
        <v/>
      </c>
    </row>
    <row r="370" spans="1:20" x14ac:dyDescent="0.3">
      <c r="A370" t="s">
        <v>380</v>
      </c>
      <c r="B370" t="s">
        <v>382</v>
      </c>
      <c r="C370" t="s">
        <v>24</v>
      </c>
      <c r="D370" t="s">
        <v>35</v>
      </c>
      <c r="E370" t="s">
        <v>20</v>
      </c>
      <c r="F370" t="s">
        <v>162</v>
      </c>
      <c r="G370" t="s">
        <v>22</v>
      </c>
      <c r="H370" t="str">
        <f t="shared" si="10"/>
        <v>adel</v>
      </c>
      <c r="I370" t="str" cm="1">
        <f t="array" ref="I370">_xlfn.SWITCH(A370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70" s="4">
        <f>IF(AND(B370=Werte!B370,LEFT(A370,5)=LEFT(Werte!A370,5)),Werte!C370,"not found")</f>
        <v>1.5</v>
      </c>
      <c r="K370" s="4">
        <f>IF(AND(B370=Werte!B370,LEFT(A370,5)=LEFT(Werte!A370,5)),Werte!D370,"not found")</f>
        <v>5.5303030303030298E-2</v>
      </c>
      <c r="L370" s="4">
        <f>IF(AND(B370=Werte!B370,LEFT(A370,5)=LEFT(Werte!A370,5)),Werte!E370,"not found")</f>
        <v>0.22222222222222199</v>
      </c>
      <c r="M370" s="4">
        <f>IF(AND(B370=Werte!B370,LEFT(A370,5)=LEFT(Werte!A370,5)),Werte!F370,"not found")</f>
        <v>0.99170278756153496</v>
      </c>
      <c r="N370" s="4" t="str">
        <f t="shared" si="11"/>
        <v>betrogener</v>
      </c>
      <c r="O370" s="4" cm="1">
        <f t="array" ref="O370">_xlfn.SWITCH(A370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70" s="4" t="str">
        <f>IF(Nodes[[#This Row],[Bezeichnung2]] = "betrueger",1,"")</f>
        <v/>
      </c>
      <c r="Q370" s="4">
        <f>IF(Nodes[[#This Row],[Bezeichnung2]] = "betrogener",2,"")</f>
        <v>2</v>
      </c>
      <c r="R370" s="4" t="str">
        <f>IF(Nodes[[#This Row],[Bezeichnung2]] = "liebender",3,"")</f>
        <v/>
      </c>
      <c r="S370" s="4" t="str">
        <f>IF(Nodes[[#This Row],[Bezeichnung2]] = "liebende",4,"")</f>
        <v/>
      </c>
      <c r="T370" s="4" t="str">
        <f>IF(Nodes[[#This Row],[Bezeichnung2]] = "gegenspieler",5,"")</f>
        <v/>
      </c>
    </row>
    <row r="371" spans="1:20" x14ac:dyDescent="0.3">
      <c r="A371" t="s">
        <v>380</v>
      </c>
      <c r="B371" t="s">
        <v>383</v>
      </c>
      <c r="C371" t="s">
        <v>18</v>
      </c>
      <c r="D371" t="s">
        <v>384</v>
      </c>
      <c r="E371" t="s">
        <v>47</v>
      </c>
      <c r="F371" t="s">
        <v>96</v>
      </c>
      <c r="G371" t="s">
        <v>22</v>
      </c>
      <c r="H371" t="str">
        <f t="shared" si="10"/>
        <v>adel</v>
      </c>
      <c r="I371" t="str" cm="1">
        <f t="array" ref="I371">_xlfn.SWITCH(A371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71" s="4">
        <f>IF(AND(B371=Werte!B371,LEFT(A371,5)=LEFT(Werte!A371,5)),Werte!C371,"not found")</f>
        <v>1.3333333333333299</v>
      </c>
      <c r="K371" s="4">
        <f>IF(AND(B371=Werte!B371,LEFT(A371,5)=LEFT(Werte!A371,5)),Werte!D371,"not found")</f>
        <v>0.117676767676768</v>
      </c>
      <c r="L371" s="4">
        <f>IF(AND(B371=Werte!B371,LEFT(A371,5)=LEFT(Werte!A371,5)),Werte!E371,"not found")</f>
        <v>0.27906976744186002</v>
      </c>
      <c r="M371" s="4">
        <f>IF(AND(B371=Werte!B371,LEFT(A371,5)=LEFT(Werte!A371,5)),Werte!F371,"not found")</f>
        <v>0.70018176391376896</v>
      </c>
      <c r="N371" s="4" t="str">
        <f t="shared" si="11"/>
        <v>betrueger</v>
      </c>
      <c r="O371" s="4" cm="1">
        <f t="array" ref="O371">_xlfn.SWITCH(A371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71" s="4">
        <f>IF(Nodes[[#This Row],[Bezeichnung2]] = "betrueger",1,"")</f>
        <v>1</v>
      </c>
      <c r="Q371" s="4" t="str">
        <f>IF(Nodes[[#This Row],[Bezeichnung2]] = "betrogener",2,"")</f>
        <v/>
      </c>
      <c r="R371" s="4" t="str">
        <f>IF(Nodes[[#This Row],[Bezeichnung2]] = "liebender",3,"")</f>
        <v/>
      </c>
      <c r="S371" s="4" t="str">
        <f>IF(Nodes[[#This Row],[Bezeichnung2]] = "liebende",4,"")</f>
        <v/>
      </c>
      <c r="T371" s="4" t="str">
        <f>IF(Nodes[[#This Row],[Bezeichnung2]] = "gegenspieler",5,"")</f>
        <v/>
      </c>
    </row>
    <row r="372" spans="1:20" x14ac:dyDescent="0.3">
      <c r="A372" t="s">
        <v>380</v>
      </c>
      <c r="B372" t="s">
        <v>385</v>
      </c>
      <c r="C372" t="s">
        <v>386</v>
      </c>
      <c r="D372" t="s">
        <v>47</v>
      </c>
      <c r="E372" t="s">
        <v>47</v>
      </c>
      <c r="F372" t="s">
        <v>93</v>
      </c>
      <c r="G372" t="s">
        <v>26</v>
      </c>
      <c r="H372" t="str">
        <f t="shared" si="10"/>
        <v>unbekannt</v>
      </c>
      <c r="I372" t="str" cm="1">
        <f t="array" ref="I372">_xlfn.SWITCH(A372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72" s="4">
        <f>IF(AND(B372=Werte!B372,LEFT(A372,5)=LEFT(Werte!A372,5)),Werte!C372,"not found")</f>
        <v>0.5</v>
      </c>
      <c r="K372" s="4">
        <f>IF(AND(B372=Werte!B372,LEFT(A372,5)=LEFT(Werte!A372,5)),Werte!D372,"not found")</f>
        <v>2.5757575757575799E-2</v>
      </c>
      <c r="L372" s="4">
        <f>IF(AND(B372=Werte!B372,LEFT(A372,5)=LEFT(Werte!A372,5)),Werte!E372,"not found")</f>
        <v>0.21052631578947401</v>
      </c>
      <c r="M372" s="4">
        <f>IF(AND(B372=Werte!B372,LEFT(A372,5)=LEFT(Werte!A372,5)),Werte!F372,"not found")</f>
        <v>0.22666581876425701</v>
      </c>
      <c r="N372" s="4" t="str">
        <f t="shared" si="11"/>
        <v>betrogener</v>
      </c>
      <c r="O372" s="4" cm="1">
        <f t="array" ref="O372">_xlfn.SWITCH(A372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72" s="4" t="str">
        <f>IF(Nodes[[#This Row],[Bezeichnung2]] = "betrueger",1,"")</f>
        <v/>
      </c>
      <c r="Q372" s="4">
        <f>IF(Nodes[[#This Row],[Bezeichnung2]] = "betrogener",2,"")</f>
        <v>2</v>
      </c>
      <c r="R372" s="4" t="str">
        <f>IF(Nodes[[#This Row],[Bezeichnung2]] = "liebender",3,"")</f>
        <v/>
      </c>
      <c r="S372" s="4" t="str">
        <f>IF(Nodes[[#This Row],[Bezeichnung2]] = "liebende",4,"")</f>
        <v/>
      </c>
      <c r="T372" s="4" t="str">
        <f>IF(Nodes[[#This Row],[Bezeichnung2]] = "gegenspieler",5,"")</f>
        <v/>
      </c>
    </row>
    <row r="373" spans="1:20" x14ac:dyDescent="0.3">
      <c r="A373" t="s">
        <v>380</v>
      </c>
      <c r="B373" t="s">
        <v>387</v>
      </c>
      <c r="C373" t="s">
        <v>18</v>
      </c>
      <c r="D373" t="s">
        <v>182</v>
      </c>
      <c r="E373" t="s">
        <v>47</v>
      </c>
      <c r="F373" t="s">
        <v>53</v>
      </c>
      <c r="G373" t="s">
        <v>26</v>
      </c>
      <c r="H373" t="str">
        <f t="shared" si="10"/>
        <v>adel</v>
      </c>
      <c r="I373" t="str" cm="1">
        <f t="array" ref="I373">_xlfn.SWITCH(A373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73" s="4">
        <f>IF(AND(B373=Werte!B373,LEFT(A373,5)=LEFT(Werte!A373,5)),Werte!C373,"not found")</f>
        <v>1.1666666666666701</v>
      </c>
      <c r="K373" s="4">
        <f>IF(AND(B373=Werte!B373,LEFT(A373,5)=LEFT(Werte!A373,5)),Werte!D373,"not found")</f>
        <v>3.8383838383838402E-2</v>
      </c>
      <c r="L373" s="4">
        <f>IF(AND(B373=Werte!B373,LEFT(A373,5)=LEFT(Werte!A373,5)),Werte!E373,"not found")</f>
        <v>0.27906976744186002</v>
      </c>
      <c r="M373" s="4">
        <f>IF(AND(B373=Werte!B373,LEFT(A373,5)=LEFT(Werte!A373,5)),Werte!F373,"not found")</f>
        <v>0.48045950198083498</v>
      </c>
      <c r="N373" s="4" t="str">
        <f t="shared" si="11"/>
        <v>helfer</v>
      </c>
      <c r="O373" s="4" cm="1">
        <f t="array" ref="O373">_xlfn.SWITCH(A373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73" s="4" t="str">
        <f>IF(Nodes[[#This Row],[Bezeichnung2]] = "betrueger",1,"")</f>
        <v/>
      </c>
      <c r="Q373" s="4" t="str">
        <f>IF(Nodes[[#This Row],[Bezeichnung2]] = "betrogener",2,"")</f>
        <v/>
      </c>
      <c r="R373" s="4" t="str">
        <f>IF(Nodes[[#This Row],[Bezeichnung2]] = "liebender",3,"")</f>
        <v/>
      </c>
      <c r="S373" s="4" t="str">
        <f>IF(Nodes[[#This Row],[Bezeichnung2]] = "liebende",4,"")</f>
        <v/>
      </c>
      <c r="T373" s="4" t="str">
        <f>IF(Nodes[[#This Row],[Bezeichnung2]] = "gegenspieler",5,"")</f>
        <v/>
      </c>
    </row>
    <row r="374" spans="1:20" x14ac:dyDescent="0.3">
      <c r="A374" t="s">
        <v>380</v>
      </c>
      <c r="B374" t="s">
        <v>56</v>
      </c>
      <c r="C374" t="s">
        <v>18</v>
      </c>
      <c r="D374" t="s">
        <v>57</v>
      </c>
      <c r="E374" t="s">
        <v>47</v>
      </c>
      <c r="F374" t="s">
        <v>47</v>
      </c>
      <c r="G374" t="s">
        <v>26</v>
      </c>
      <c r="H374" t="str">
        <f t="shared" si="10"/>
        <v>adel</v>
      </c>
      <c r="I374" t="str" cm="1">
        <f t="array" ref="I374">_xlfn.SWITCH(A374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74" s="4">
        <f>IF(AND(B374=Werte!B374,LEFT(A374,5)=LEFT(Werte!A374,5)),Werte!C374,"not found")</f>
        <v>0.83333333333333304</v>
      </c>
      <c r="K374" s="4">
        <f>IF(AND(B374=Werte!B374,LEFT(A374,5)=LEFT(Werte!A374,5)),Werte!D374,"not found")</f>
        <v>0.114646464646465</v>
      </c>
      <c r="L374" s="4">
        <f>IF(AND(B374=Werte!B374,LEFT(A374,5)=LEFT(Werte!A374,5)),Werte!E374,"not found")</f>
        <v>0.33333333333333298</v>
      </c>
      <c r="M374" s="4">
        <f>IF(AND(B374=Werte!B374,LEFT(A374,5)=LEFT(Werte!A374,5)),Werte!F374,"not found")</f>
        <v>0.28987206203439903</v>
      </c>
      <c r="N374" s="4" t="str">
        <f t="shared" si="11"/>
        <v>unbekannt</v>
      </c>
      <c r="O374" s="4" cm="1">
        <f t="array" ref="O374">_xlfn.SWITCH(A374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74" s="4" t="str">
        <f>IF(Nodes[[#This Row],[Bezeichnung2]] = "betrueger",1,"")</f>
        <v/>
      </c>
      <c r="Q374" s="4" t="str">
        <f>IF(Nodes[[#This Row],[Bezeichnung2]] = "betrogener",2,"")</f>
        <v/>
      </c>
      <c r="R374" s="4" t="str">
        <f>IF(Nodes[[#This Row],[Bezeichnung2]] = "liebender",3,"")</f>
        <v/>
      </c>
      <c r="S374" s="4" t="str">
        <f>IF(Nodes[[#This Row],[Bezeichnung2]] = "liebende",4,"")</f>
        <v/>
      </c>
      <c r="T374" s="4" t="str">
        <f>IF(Nodes[[#This Row],[Bezeichnung2]] = "gegenspieler",5,"")</f>
        <v/>
      </c>
    </row>
    <row r="375" spans="1:20" x14ac:dyDescent="0.3">
      <c r="A375" t="s">
        <v>380</v>
      </c>
      <c r="B375" t="s">
        <v>388</v>
      </c>
      <c r="C375" t="s">
        <v>18</v>
      </c>
      <c r="D375" t="s">
        <v>389</v>
      </c>
      <c r="E375" t="s">
        <v>47</v>
      </c>
      <c r="F375" t="s">
        <v>53</v>
      </c>
      <c r="G375" t="s">
        <v>26</v>
      </c>
      <c r="H375" t="str">
        <f t="shared" si="10"/>
        <v>buergerlich</v>
      </c>
      <c r="I375" t="str" cm="1">
        <f t="array" ref="I375">_xlfn.SWITCH(A375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75" s="4">
        <f>IF(AND(B375=Werte!B375,LEFT(A375,5)=LEFT(Werte!A375,5)),Werte!C375,"not found")</f>
        <v>0.83333333333333304</v>
      </c>
      <c r="K375" s="4">
        <f>IF(AND(B375=Werte!B375,LEFT(A375,5)=LEFT(Werte!A375,5)),Werte!D375,"not found")</f>
        <v>3.03030303030303E-2</v>
      </c>
      <c r="L375" s="4">
        <f>IF(AND(B375=Werte!B375,LEFT(A375,5)=LEFT(Werte!A375,5)),Werte!E375,"not found")</f>
        <v>0.22222222222222199</v>
      </c>
      <c r="M375" s="4">
        <f>IF(AND(B375=Werte!B375,LEFT(A375,5)=LEFT(Werte!A375,5)),Werte!F375,"not found")</f>
        <v>0.51888118596430899</v>
      </c>
      <c r="N375" s="4" t="str">
        <f t="shared" si="11"/>
        <v>helfer</v>
      </c>
      <c r="O375" s="4" cm="1">
        <f t="array" ref="O375">_xlfn.SWITCH(A375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75" s="4" t="str">
        <f>IF(Nodes[[#This Row],[Bezeichnung2]] = "betrueger",1,"")</f>
        <v/>
      </c>
      <c r="Q375" s="4" t="str">
        <f>IF(Nodes[[#This Row],[Bezeichnung2]] = "betrogener",2,"")</f>
        <v/>
      </c>
      <c r="R375" s="4" t="str">
        <f>IF(Nodes[[#This Row],[Bezeichnung2]] = "liebender",3,"")</f>
        <v/>
      </c>
      <c r="S375" s="4" t="str">
        <f>IF(Nodes[[#This Row],[Bezeichnung2]] = "liebende",4,"")</f>
        <v/>
      </c>
      <c r="T375" s="4" t="str">
        <f>IF(Nodes[[#This Row],[Bezeichnung2]] = "gegenspieler",5,"")</f>
        <v/>
      </c>
    </row>
    <row r="376" spans="1:20" x14ac:dyDescent="0.3">
      <c r="A376" t="s">
        <v>380</v>
      </c>
      <c r="B376" t="s">
        <v>149</v>
      </c>
      <c r="C376" t="s">
        <v>18</v>
      </c>
      <c r="D376" t="s">
        <v>38</v>
      </c>
      <c r="E376" t="s">
        <v>28</v>
      </c>
      <c r="F376" t="s">
        <v>47</v>
      </c>
      <c r="G376" t="s">
        <v>26</v>
      </c>
      <c r="H376" t="str">
        <f t="shared" si="10"/>
        <v>adel</v>
      </c>
      <c r="I376" t="str" cm="1">
        <f t="array" ref="I376">_xlfn.SWITCH(A376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76" s="4">
        <f>IF(AND(B376=Werte!B376,LEFT(A376,5)=LEFT(Werte!A376,5)),Werte!C376,"not found")</f>
        <v>0.5</v>
      </c>
      <c r="K376" s="4">
        <f>IF(AND(B376=Werte!B376,LEFT(A376,5)=LEFT(Werte!A376,5)),Werte!D376,"not found")</f>
        <v>0</v>
      </c>
      <c r="L376" s="4">
        <f>IF(AND(B376=Werte!B376,LEFT(A376,5)=LEFT(Werte!A376,5)),Werte!E376,"not found")</f>
        <v>0.1875</v>
      </c>
      <c r="M376" s="4">
        <f>IF(AND(B376=Werte!B376,LEFT(A376,5)=LEFT(Werte!A376,5)),Werte!F376,"not found")</f>
        <v>0.31141074098357902</v>
      </c>
      <c r="N376" s="4" t="str">
        <f t="shared" si="11"/>
        <v>unbekannt</v>
      </c>
      <c r="O376" s="4" cm="1">
        <f t="array" ref="O376">_xlfn.SWITCH(A376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76" s="4" t="str">
        <f>IF(Nodes[[#This Row],[Bezeichnung2]] = "betrueger",1,"")</f>
        <v/>
      </c>
      <c r="Q376" s="4" t="str">
        <f>IF(Nodes[[#This Row],[Bezeichnung2]] = "betrogener",2,"")</f>
        <v/>
      </c>
      <c r="R376" s="4" t="str">
        <f>IF(Nodes[[#This Row],[Bezeichnung2]] = "liebender",3,"")</f>
        <v/>
      </c>
      <c r="S376" s="4" t="str">
        <f>IF(Nodes[[#This Row],[Bezeichnung2]] = "liebende",4,"")</f>
        <v/>
      </c>
      <c r="T376" s="4" t="str">
        <f>IF(Nodes[[#This Row],[Bezeichnung2]] = "gegenspieler",5,"")</f>
        <v/>
      </c>
    </row>
    <row r="377" spans="1:20" x14ac:dyDescent="0.3">
      <c r="A377" t="s">
        <v>380</v>
      </c>
      <c r="B377" t="s">
        <v>390</v>
      </c>
      <c r="C377" t="s">
        <v>145</v>
      </c>
      <c r="D377" t="s">
        <v>19</v>
      </c>
      <c r="E377" t="s">
        <v>19</v>
      </c>
      <c r="F377" t="s">
        <v>53</v>
      </c>
      <c r="G377" t="s">
        <v>26</v>
      </c>
      <c r="H377" t="str">
        <f t="shared" si="10"/>
        <v>NA</v>
      </c>
      <c r="I377" t="str" cm="1">
        <f t="array" ref="I377">_xlfn.SWITCH(A377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77" s="4">
        <f>IF(AND(B377=Werte!B377,LEFT(A377,5)=LEFT(Werte!A377,5)),Werte!C377,"not found")</f>
        <v>0.83333333333333304</v>
      </c>
      <c r="K377" s="4">
        <f>IF(AND(B377=Werte!B377,LEFT(A377,5)=LEFT(Werte!A377,5)),Werte!D377,"not found")</f>
        <v>5.8080808080808101E-2</v>
      </c>
      <c r="L377" s="4">
        <f>IF(AND(B377=Werte!B377,LEFT(A377,5)=LEFT(Werte!A377,5)),Werte!E377,"not found")</f>
        <v>0.230769230769231</v>
      </c>
      <c r="M377" s="4">
        <f>IF(AND(B377=Werte!B377,LEFT(A377,5)=LEFT(Werte!A377,5)),Werte!F377,"not found")</f>
        <v>0.33027665177238302</v>
      </c>
      <c r="N377" s="4" t="str">
        <f t="shared" si="11"/>
        <v>helfer</v>
      </c>
      <c r="O377" s="4" cm="1">
        <f t="array" ref="O377">_xlfn.SWITCH(A377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77" s="4" t="str">
        <f>IF(Nodes[[#This Row],[Bezeichnung2]] = "betrueger",1,"")</f>
        <v/>
      </c>
      <c r="Q377" s="4" t="str">
        <f>IF(Nodes[[#This Row],[Bezeichnung2]] = "betrogener",2,"")</f>
        <v/>
      </c>
      <c r="R377" s="4" t="str">
        <f>IF(Nodes[[#This Row],[Bezeichnung2]] = "liebender",3,"")</f>
        <v/>
      </c>
      <c r="S377" s="4" t="str">
        <f>IF(Nodes[[#This Row],[Bezeichnung2]] = "liebende",4,"")</f>
        <v/>
      </c>
      <c r="T377" s="4" t="str">
        <f>IF(Nodes[[#This Row],[Bezeichnung2]] = "gegenspieler",5,"")</f>
        <v/>
      </c>
    </row>
    <row r="378" spans="1:20" x14ac:dyDescent="0.3">
      <c r="A378" t="s">
        <v>380</v>
      </c>
      <c r="B378" t="s">
        <v>391</v>
      </c>
      <c r="C378" t="s">
        <v>18</v>
      </c>
      <c r="D378" t="s">
        <v>57</v>
      </c>
      <c r="E378" t="s">
        <v>32</v>
      </c>
      <c r="F378" t="s">
        <v>47</v>
      </c>
      <c r="G378" t="s">
        <v>26</v>
      </c>
      <c r="H378" t="str">
        <f t="shared" si="10"/>
        <v>adel</v>
      </c>
      <c r="I378" t="str" cm="1">
        <f t="array" ref="I378">_xlfn.SWITCH(A378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78" s="4">
        <f>IF(AND(B378=Werte!B378,LEFT(A378,5)=LEFT(Werte!A378,5)),Werte!C378,"not found")</f>
        <v>0.33333333333333298</v>
      </c>
      <c r="K378" s="4">
        <f>IF(AND(B378=Werte!B378,LEFT(A378,5)=LEFT(Werte!A378,5)),Werte!D378,"not found")</f>
        <v>7.6010101010101E-2</v>
      </c>
      <c r="L378" s="4">
        <f>IF(AND(B378=Werte!B378,LEFT(A378,5)=LEFT(Werte!A378,5)),Werte!E378,"not found")</f>
        <v>0.30769230769230799</v>
      </c>
      <c r="M378" s="4">
        <f>IF(AND(B378=Werte!B378,LEFT(A378,5)=LEFT(Werte!A378,5)),Werte!F378,"not found")</f>
        <v>4.6012104942066603E-2</v>
      </c>
      <c r="N378" s="4" t="str">
        <f t="shared" si="11"/>
        <v>unbekannt</v>
      </c>
      <c r="O378" s="4" cm="1">
        <f t="array" ref="O378">_xlfn.SWITCH(A378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78" s="4" t="str">
        <f>IF(Nodes[[#This Row],[Bezeichnung2]] = "betrueger",1,"")</f>
        <v/>
      </c>
      <c r="Q378" s="4" t="str">
        <f>IF(Nodes[[#This Row],[Bezeichnung2]] = "betrogener",2,"")</f>
        <v/>
      </c>
      <c r="R378" s="4" t="str">
        <f>IF(Nodes[[#This Row],[Bezeichnung2]] = "liebender",3,"")</f>
        <v/>
      </c>
      <c r="S378" s="4" t="str">
        <f>IF(Nodes[[#This Row],[Bezeichnung2]] = "liebende",4,"")</f>
        <v/>
      </c>
      <c r="T378" s="4" t="str">
        <f>IF(Nodes[[#This Row],[Bezeichnung2]] = "gegenspieler",5,"")</f>
        <v/>
      </c>
    </row>
    <row r="379" spans="1:20" x14ac:dyDescent="0.3">
      <c r="A379" t="s">
        <v>380</v>
      </c>
      <c r="B379" t="s">
        <v>392</v>
      </c>
      <c r="C379" t="s">
        <v>18</v>
      </c>
      <c r="D379" t="s">
        <v>393</v>
      </c>
      <c r="E379" t="s">
        <v>47</v>
      </c>
      <c r="F379" t="s">
        <v>47</v>
      </c>
      <c r="G379" t="s">
        <v>26</v>
      </c>
      <c r="H379" t="str">
        <f t="shared" si="10"/>
        <v>buergerlich</v>
      </c>
      <c r="I379" t="str" cm="1">
        <f t="array" ref="I379">_xlfn.SWITCH(A379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79" s="4">
        <f>IF(AND(B379=Werte!B379,LEFT(A379,5)=LEFT(Werte!A379,5)),Werte!C379,"not found")</f>
        <v>0.33333333333333298</v>
      </c>
      <c r="K379" s="4">
        <f>IF(AND(B379=Werte!B379,LEFT(A379,5)=LEFT(Werte!A379,5)),Werte!D379,"not found")</f>
        <v>7.6010101010101E-2</v>
      </c>
      <c r="L379" s="4">
        <f>IF(AND(B379=Werte!B379,LEFT(A379,5)=LEFT(Werte!A379,5)),Werte!E379,"not found")</f>
        <v>0.30769230769230799</v>
      </c>
      <c r="M379" s="4">
        <f>IF(AND(B379=Werte!B379,LEFT(A379,5)=LEFT(Werte!A379,5)),Werte!F379,"not found")</f>
        <v>4.6012104942066499E-2</v>
      </c>
      <c r="N379" s="4" t="str">
        <f t="shared" si="11"/>
        <v>unbekannt</v>
      </c>
      <c r="O379" s="4" cm="1">
        <f t="array" ref="O379">_xlfn.SWITCH(A379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79" s="4" t="str">
        <f>IF(Nodes[[#This Row],[Bezeichnung2]] = "betrueger",1,"")</f>
        <v/>
      </c>
      <c r="Q379" s="4" t="str">
        <f>IF(Nodes[[#This Row],[Bezeichnung2]] = "betrogener",2,"")</f>
        <v/>
      </c>
      <c r="R379" s="4" t="str">
        <f>IF(Nodes[[#This Row],[Bezeichnung2]] = "liebender",3,"")</f>
        <v/>
      </c>
      <c r="S379" s="4" t="str">
        <f>IF(Nodes[[#This Row],[Bezeichnung2]] = "liebende",4,"")</f>
        <v/>
      </c>
      <c r="T379" s="4" t="str">
        <f>IF(Nodes[[#This Row],[Bezeichnung2]] = "gegenspieler",5,"")</f>
        <v/>
      </c>
    </row>
    <row r="380" spans="1:20" x14ac:dyDescent="0.3">
      <c r="A380" t="s">
        <v>380</v>
      </c>
      <c r="B380" t="s">
        <v>394</v>
      </c>
      <c r="C380" t="s">
        <v>24</v>
      </c>
      <c r="D380" t="s">
        <v>395</v>
      </c>
      <c r="E380" t="s">
        <v>47</v>
      </c>
      <c r="F380" t="s">
        <v>104</v>
      </c>
      <c r="G380" t="s">
        <v>26</v>
      </c>
      <c r="H380" t="str">
        <f t="shared" si="10"/>
        <v>buergerlich</v>
      </c>
      <c r="I380" t="str" cm="1">
        <f t="array" ref="I380">_xlfn.SWITCH(A380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80" s="4">
        <f>IF(AND(B380=Werte!B380,LEFT(A380,5)=LEFT(Werte!A380,5)),Werte!C380,"not found")</f>
        <v>0.66666666666666696</v>
      </c>
      <c r="K380" s="4">
        <f>IF(AND(B380=Werte!B380,LEFT(A380,5)=LEFT(Werte!A380,5)),Werte!D380,"not found")</f>
        <v>0.115656565656566</v>
      </c>
      <c r="L380" s="4">
        <f>IF(AND(B380=Werte!B380,LEFT(A380,5)=LEFT(Werte!A380,5)),Werte!E380,"not found")</f>
        <v>0.3</v>
      </c>
      <c r="M380" s="4">
        <f>IF(AND(B380=Werte!B380,LEFT(A380,5)=LEFT(Werte!A380,5)),Werte!F380,"not found")</f>
        <v>0.18873202389641</v>
      </c>
      <c r="N380" s="4" t="str">
        <f t="shared" si="11"/>
        <v>bote</v>
      </c>
      <c r="O380" s="4" cm="1">
        <f t="array" ref="O380">_xlfn.SWITCH(A380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80" s="4" t="str">
        <f>IF(Nodes[[#This Row],[Bezeichnung2]] = "betrueger",1,"")</f>
        <v/>
      </c>
      <c r="Q380" s="4" t="str">
        <f>IF(Nodes[[#This Row],[Bezeichnung2]] = "betrogener",2,"")</f>
        <v/>
      </c>
      <c r="R380" s="4" t="str">
        <f>IF(Nodes[[#This Row],[Bezeichnung2]] = "liebender",3,"")</f>
        <v/>
      </c>
      <c r="S380" s="4" t="str">
        <f>IF(Nodes[[#This Row],[Bezeichnung2]] = "liebende",4,"")</f>
        <v/>
      </c>
      <c r="T380" s="4" t="str">
        <f>IF(Nodes[[#This Row],[Bezeichnung2]] = "gegenspieler",5,"")</f>
        <v/>
      </c>
    </row>
    <row r="381" spans="1:20" x14ac:dyDescent="0.3">
      <c r="A381" t="s">
        <v>380</v>
      </c>
      <c r="B381" t="s">
        <v>396</v>
      </c>
      <c r="C381" t="s">
        <v>46</v>
      </c>
      <c r="D381" t="s">
        <v>47</v>
      </c>
      <c r="E381" t="s">
        <v>47</v>
      </c>
      <c r="F381" t="s">
        <v>47</v>
      </c>
      <c r="G381" t="s">
        <v>26</v>
      </c>
      <c r="H381" t="str">
        <f t="shared" si="10"/>
        <v>unbekannt</v>
      </c>
      <c r="I381" t="str" cm="1">
        <f t="array" ref="I381">_xlfn.SWITCH(A381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81" s="4">
        <f>IF(AND(B381=Werte!B381,LEFT(A381,5)=LEFT(Werte!A381,5)),Werte!C381,"not found")</f>
        <v>0.16666666666666699</v>
      </c>
      <c r="K381" s="4">
        <f>IF(AND(B381=Werte!B381,LEFT(A381,5)=LEFT(Werte!A381,5)),Werte!D381,"not found")</f>
        <v>0</v>
      </c>
      <c r="L381" s="4">
        <f>IF(AND(B381=Werte!B381,LEFT(A381,5)=LEFT(Werte!A381,5)),Werte!E381,"not found")</f>
        <v>0.27906976744186002</v>
      </c>
      <c r="M381" s="4">
        <f>IF(AND(B381=Werte!B381,LEFT(A381,5)=LEFT(Werte!A381,5)),Werte!F381,"not found")</f>
        <v>2.7063050503581501E-2</v>
      </c>
      <c r="N381" s="4" t="str">
        <f t="shared" si="11"/>
        <v>unbekannt</v>
      </c>
      <c r="O381" s="4" cm="1">
        <f t="array" ref="O381">_xlfn.SWITCH(A381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81" s="4" t="str">
        <f>IF(Nodes[[#This Row],[Bezeichnung2]] = "betrueger",1,"")</f>
        <v/>
      </c>
      <c r="Q381" s="4" t="str">
        <f>IF(Nodes[[#This Row],[Bezeichnung2]] = "betrogener",2,"")</f>
        <v/>
      </c>
      <c r="R381" s="4" t="str">
        <f>IF(Nodes[[#This Row],[Bezeichnung2]] = "liebender",3,"")</f>
        <v/>
      </c>
      <c r="S381" s="4" t="str">
        <f>IF(Nodes[[#This Row],[Bezeichnung2]] = "liebende",4,"")</f>
        <v/>
      </c>
      <c r="T381" s="4" t="str">
        <f>IF(Nodes[[#This Row],[Bezeichnung2]] = "gegenspieler",5,"")</f>
        <v/>
      </c>
    </row>
    <row r="382" spans="1:20" x14ac:dyDescent="0.3">
      <c r="A382" t="s">
        <v>397</v>
      </c>
      <c r="B382" t="s">
        <v>398</v>
      </c>
      <c r="C382" t="s">
        <v>18</v>
      </c>
      <c r="D382" t="s">
        <v>228</v>
      </c>
      <c r="E382" t="s">
        <v>47</v>
      </c>
      <c r="F382" t="s">
        <v>50</v>
      </c>
      <c r="G382" t="s">
        <v>22</v>
      </c>
      <c r="H382" t="str">
        <f t="shared" si="10"/>
        <v>bauer</v>
      </c>
      <c r="I382" t="str" cm="1">
        <f t="array" ref="I382">_xlfn.SWITCH(A382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82" s="4">
        <f>IF(AND(B382=Werte!B382,LEFT(A382,5)=LEFT(Werte!A382,5)),Werte!C382,"not found")</f>
        <v>1.1428571428571399</v>
      </c>
      <c r="K382" s="4">
        <f>IF(AND(B382=Werte!B382,LEFT(A382,5)=LEFT(Werte!A382,5)),Werte!D382,"not found")</f>
        <v>4.7619047619047603E-2</v>
      </c>
      <c r="L382" s="4">
        <f>IF(AND(B382=Werte!B382,LEFT(A382,5)=LEFT(Werte!A382,5)),Werte!E382,"not found")</f>
        <v>0.41176470588235298</v>
      </c>
      <c r="M382" s="4">
        <f>IF(AND(B382=Werte!B382,LEFT(A382,5)=LEFT(Werte!A382,5)),Werte!F382,"not found")</f>
        <v>0.47837768827359201</v>
      </c>
      <c r="N382" s="4" t="str">
        <f t="shared" si="11"/>
        <v>betrogener</v>
      </c>
      <c r="O382" s="4" cm="1">
        <f t="array" ref="O382">_xlfn.SWITCH(A382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82" s="4" t="str">
        <f>IF(Nodes[[#This Row],[Bezeichnung2]] = "betrueger",1,"")</f>
        <v/>
      </c>
      <c r="Q382" s="4">
        <f>IF(Nodes[[#This Row],[Bezeichnung2]] = "betrogener",2,"")</f>
        <v>2</v>
      </c>
      <c r="R382" s="4" t="str">
        <f>IF(Nodes[[#This Row],[Bezeichnung2]] = "liebender",3,"")</f>
        <v/>
      </c>
      <c r="S382" s="4" t="str">
        <f>IF(Nodes[[#This Row],[Bezeichnung2]] = "liebende",4,"")</f>
        <v/>
      </c>
      <c r="T382" s="4" t="str">
        <f>IF(Nodes[[#This Row],[Bezeichnung2]] = "gegenspieler",5,"")</f>
        <v/>
      </c>
    </row>
    <row r="383" spans="1:20" x14ac:dyDescent="0.3">
      <c r="A383" t="s">
        <v>397</v>
      </c>
      <c r="B383" t="s">
        <v>85</v>
      </c>
      <c r="C383" t="s">
        <v>24</v>
      </c>
      <c r="D383" t="s">
        <v>228</v>
      </c>
      <c r="E383" t="s">
        <v>20</v>
      </c>
      <c r="F383" t="s">
        <v>55</v>
      </c>
      <c r="G383" t="s">
        <v>22</v>
      </c>
      <c r="H383" t="str">
        <f t="shared" si="10"/>
        <v>bauer</v>
      </c>
      <c r="I383" t="str" cm="1">
        <f t="array" ref="I383">_xlfn.SWITCH(A383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83" s="4">
        <f>IF(AND(B383=Werte!B383,LEFT(A383,5)=LEFT(Werte!A383,5)),Werte!C383,"not found")</f>
        <v>2</v>
      </c>
      <c r="K383" s="4">
        <f>IF(AND(B383=Werte!B383,LEFT(A383,5)=LEFT(Werte!A383,5)),Werte!D383,"not found")</f>
        <v>0.22222222222222199</v>
      </c>
      <c r="L383" s="4">
        <f>IF(AND(B383=Werte!B383,LEFT(A383,5)=LEFT(Werte!A383,5)),Werte!E383,"not found")</f>
        <v>0.53846153846153799</v>
      </c>
      <c r="M383" s="4">
        <f>IF(AND(B383=Werte!B383,LEFT(A383,5)=LEFT(Werte!A383,5)),Werte!F383,"not found")</f>
        <v>1</v>
      </c>
      <c r="N383" s="4" t="str">
        <f t="shared" si="11"/>
        <v>betrueger</v>
      </c>
      <c r="O383" s="4" cm="1">
        <f t="array" ref="O383">_xlfn.SWITCH(A383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83" s="4">
        <f>IF(Nodes[[#This Row],[Bezeichnung2]] = "betrueger",1,"")</f>
        <v>1</v>
      </c>
      <c r="Q383" s="4" t="str">
        <f>IF(Nodes[[#This Row],[Bezeichnung2]] = "betrogener",2,"")</f>
        <v/>
      </c>
      <c r="R383" s="4" t="str">
        <f>IF(Nodes[[#This Row],[Bezeichnung2]] = "liebender",3,"")</f>
        <v/>
      </c>
      <c r="S383" s="4" t="str">
        <f>IF(Nodes[[#This Row],[Bezeichnung2]] = "liebende",4,"")</f>
        <v/>
      </c>
      <c r="T383" s="4" t="str">
        <f>IF(Nodes[[#This Row],[Bezeichnung2]] = "gegenspieler",5,"")</f>
        <v/>
      </c>
    </row>
    <row r="384" spans="1:20" x14ac:dyDescent="0.3">
      <c r="A384" t="s">
        <v>397</v>
      </c>
      <c r="B384" t="s">
        <v>399</v>
      </c>
      <c r="C384" t="s">
        <v>24</v>
      </c>
      <c r="D384" t="s">
        <v>47</v>
      </c>
      <c r="E384" t="s">
        <v>47</v>
      </c>
      <c r="F384" t="s">
        <v>47</v>
      </c>
      <c r="G384" t="s">
        <v>26</v>
      </c>
      <c r="H384" t="str">
        <f t="shared" si="10"/>
        <v>unbekannt</v>
      </c>
      <c r="I384" t="str" cm="1">
        <f t="array" ref="I384">_xlfn.SWITCH(A384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84" s="4">
        <f>IF(AND(B384=Werte!B384,LEFT(A384,5)=LEFT(Werte!A384,5)),Werte!C384,"not found")</f>
        <v>0.85714285714285698</v>
      </c>
      <c r="K384" s="4">
        <f>IF(AND(B384=Werte!B384,LEFT(A384,5)=LEFT(Werte!A384,5)),Werte!D384,"not found")</f>
        <v>0.158730158730159</v>
      </c>
      <c r="L384" s="4">
        <f>IF(AND(B384=Werte!B384,LEFT(A384,5)=LEFT(Werte!A384,5)),Werte!E384,"not found")</f>
        <v>0.5</v>
      </c>
      <c r="M384" s="4">
        <f>IF(AND(B384=Werte!B384,LEFT(A384,5)=LEFT(Werte!A384,5)),Werte!F384,"not found")</f>
        <v>0.18107133974885001</v>
      </c>
      <c r="N384" s="4" t="str">
        <f t="shared" si="11"/>
        <v>unbekannt</v>
      </c>
      <c r="O384" s="4" cm="1">
        <f t="array" ref="O384">_xlfn.SWITCH(A384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84" s="4" t="str">
        <f>IF(Nodes[[#This Row],[Bezeichnung2]] = "betrueger",1,"")</f>
        <v/>
      </c>
      <c r="Q384" s="4" t="str">
        <f>IF(Nodes[[#This Row],[Bezeichnung2]] = "betrogener",2,"")</f>
        <v/>
      </c>
      <c r="R384" s="4" t="str">
        <f>IF(Nodes[[#This Row],[Bezeichnung2]] = "liebender",3,"")</f>
        <v/>
      </c>
      <c r="S384" s="4" t="str">
        <f>IF(Nodes[[#This Row],[Bezeichnung2]] = "liebende",4,"")</f>
        <v/>
      </c>
      <c r="T384" s="4" t="str">
        <f>IF(Nodes[[#This Row],[Bezeichnung2]] = "gegenspieler",5,"")</f>
        <v/>
      </c>
    </row>
    <row r="385" spans="1:20" x14ac:dyDescent="0.3">
      <c r="A385" t="s">
        <v>397</v>
      </c>
      <c r="B385" t="s">
        <v>56</v>
      </c>
      <c r="C385" t="s">
        <v>18</v>
      </c>
      <c r="D385" t="s">
        <v>57</v>
      </c>
      <c r="E385" t="s">
        <v>47</v>
      </c>
      <c r="F385" t="s">
        <v>96</v>
      </c>
      <c r="G385" t="s">
        <v>22</v>
      </c>
      <c r="H385" t="str">
        <f t="shared" si="10"/>
        <v>adel</v>
      </c>
      <c r="I385" t="str" cm="1">
        <f t="array" ref="I385">_xlfn.SWITCH(A385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85" s="4">
        <f>IF(AND(B385=Werte!B385,LEFT(A385,5)=LEFT(Werte!A385,5)),Werte!C385,"not found")</f>
        <v>2</v>
      </c>
      <c r="K385" s="4">
        <f>IF(AND(B385=Werte!B385,LEFT(A385,5)=LEFT(Werte!A385,5)),Werte!D385,"not found")</f>
        <v>0.25396825396825401</v>
      </c>
      <c r="L385" s="4">
        <f>IF(AND(B385=Werte!B385,LEFT(A385,5)=LEFT(Werte!A385,5)),Werte!E385,"not found")</f>
        <v>0.53846153846153799</v>
      </c>
      <c r="M385" s="4">
        <f>IF(AND(B385=Werte!B385,LEFT(A385,5)=LEFT(Werte!A385,5)),Werte!F385,"not found")</f>
        <v>0.95738655250610305</v>
      </c>
      <c r="N385" s="4" t="str">
        <f t="shared" si="11"/>
        <v>betrueger</v>
      </c>
      <c r="O385" s="4" cm="1">
        <f t="array" ref="O385">_xlfn.SWITCH(A385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85" s="4">
        <f>IF(Nodes[[#This Row],[Bezeichnung2]] = "betrueger",1,"")</f>
        <v>1</v>
      </c>
      <c r="Q385" s="4" t="str">
        <f>IF(Nodes[[#This Row],[Bezeichnung2]] = "betrogener",2,"")</f>
        <v/>
      </c>
      <c r="R385" s="4" t="str">
        <f>IF(Nodes[[#This Row],[Bezeichnung2]] = "liebender",3,"")</f>
        <v/>
      </c>
      <c r="S385" s="4" t="str">
        <f>IF(Nodes[[#This Row],[Bezeichnung2]] = "liebende",4,"")</f>
        <v/>
      </c>
      <c r="T385" s="4" t="str">
        <f>IF(Nodes[[#This Row],[Bezeichnung2]] = "gegenspieler",5,"")</f>
        <v/>
      </c>
    </row>
    <row r="386" spans="1:20" x14ac:dyDescent="0.3">
      <c r="A386" t="s">
        <v>397</v>
      </c>
      <c r="B386" t="s">
        <v>400</v>
      </c>
      <c r="C386" t="s">
        <v>24</v>
      </c>
      <c r="D386" t="s">
        <v>401</v>
      </c>
      <c r="E386" t="s">
        <v>47</v>
      </c>
      <c r="F386" t="s">
        <v>47</v>
      </c>
      <c r="G386" t="s">
        <v>26</v>
      </c>
      <c r="H386" t="str">
        <f t="shared" ref="H386:H449" si="12">IF(LEFT(D386,4)="adel","adel",IF(LEFT(D386,11)="buergerlich","buergerlich",IF(LEFT(D386,6)="klerus","klerus",IF(D386="NA","NA",IF(LEFT(D386,9)="unbekannt","unbekannt",IF(LEFT(D386,5)="bauer","bauer","not found"))))))</f>
        <v>bauer</v>
      </c>
      <c r="I386" t="str" cm="1">
        <f t="array" ref="I386">_xlfn.SWITCH(A386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86" s="4">
        <f>IF(AND(B386=Werte!B386,LEFT(A386,5)=LEFT(Werte!A386,5)),Werte!C386,"not found")</f>
        <v>0.57142857142857095</v>
      </c>
      <c r="K386" s="4">
        <f>IF(AND(B386=Werte!B386,LEFT(A386,5)=LEFT(Werte!A386,5)),Werte!D386,"not found")</f>
        <v>0</v>
      </c>
      <c r="L386" s="4">
        <f>IF(AND(B386=Werte!B386,LEFT(A386,5)=LEFT(Werte!A386,5)),Werte!E386,"not found")</f>
        <v>0.30434782608695699</v>
      </c>
      <c r="M386" s="4">
        <f>IF(AND(B386=Werte!B386,LEFT(A386,5)=LEFT(Werte!A386,5)),Werte!F386,"not found")</f>
        <v>0.29101881005955599</v>
      </c>
      <c r="N386" s="4" t="str">
        <f t="shared" ref="N386:N449" si="13">IF(RIGHT(F386,10)="betrogener","betrogener",IF(RIGHT(F386,9)="betrueger","betrueger",F386))</f>
        <v>unbekannt</v>
      </c>
      <c r="O386" s="4" cm="1">
        <f t="array" ref="O386">_xlfn.SWITCH(A386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86" s="4" t="str">
        <f>IF(Nodes[[#This Row],[Bezeichnung2]] = "betrueger",1,"")</f>
        <v/>
      </c>
      <c r="Q386" s="4" t="str">
        <f>IF(Nodes[[#This Row],[Bezeichnung2]] = "betrogener",2,"")</f>
        <v/>
      </c>
      <c r="R386" s="4" t="str">
        <f>IF(Nodes[[#This Row],[Bezeichnung2]] = "liebender",3,"")</f>
        <v/>
      </c>
      <c r="S386" s="4" t="str">
        <f>IF(Nodes[[#This Row],[Bezeichnung2]] = "liebende",4,"")</f>
        <v/>
      </c>
      <c r="T386" s="4" t="str">
        <f>IF(Nodes[[#This Row],[Bezeichnung2]] = "gegenspieler",5,"")</f>
        <v/>
      </c>
    </row>
    <row r="387" spans="1:20" x14ac:dyDescent="0.3">
      <c r="A387" t="s">
        <v>397</v>
      </c>
      <c r="B387" t="s">
        <v>205</v>
      </c>
      <c r="C387" t="s">
        <v>24</v>
      </c>
      <c r="D387" t="s">
        <v>47</v>
      </c>
      <c r="E387" t="s">
        <v>32</v>
      </c>
      <c r="F387" t="s">
        <v>104</v>
      </c>
      <c r="G387" t="s">
        <v>26</v>
      </c>
      <c r="H387" t="str">
        <f t="shared" si="12"/>
        <v>unbekannt</v>
      </c>
      <c r="I387" t="str" cm="1">
        <f t="array" ref="I387">_xlfn.SWITCH(A387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87" s="4">
        <f>IF(AND(B387=Werte!B387,LEFT(A387,5)=LEFT(Werte!A387,5)),Werte!C387,"not found")</f>
        <v>0.57142857142857095</v>
      </c>
      <c r="K387" s="4">
        <f>IF(AND(B387=Werte!B387,LEFT(A387,5)=LEFT(Werte!A387,5)),Werte!D387,"not found")</f>
        <v>0</v>
      </c>
      <c r="L387" s="4">
        <f>IF(AND(B387=Werte!B387,LEFT(A387,5)=LEFT(Werte!A387,5)),Werte!E387,"not found")</f>
        <v>0.24137931034482801</v>
      </c>
      <c r="M387" s="4">
        <f>IF(AND(B387=Werte!B387,LEFT(A387,5)=LEFT(Werte!A387,5)),Werte!F387,"not found")</f>
        <v>0.43652821508933498</v>
      </c>
      <c r="N387" s="4" t="str">
        <f t="shared" si="13"/>
        <v>bote</v>
      </c>
      <c r="O387" s="4" cm="1">
        <f t="array" ref="O387">_xlfn.SWITCH(A387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87" s="4" t="str">
        <f>IF(Nodes[[#This Row],[Bezeichnung2]] = "betrueger",1,"")</f>
        <v/>
      </c>
      <c r="Q387" s="4" t="str">
        <f>IF(Nodes[[#This Row],[Bezeichnung2]] = "betrogener",2,"")</f>
        <v/>
      </c>
      <c r="R387" s="4" t="str">
        <f>IF(Nodes[[#This Row],[Bezeichnung2]] = "liebender",3,"")</f>
        <v/>
      </c>
      <c r="S387" s="4" t="str">
        <f>IF(Nodes[[#This Row],[Bezeichnung2]] = "liebende",4,"")</f>
        <v/>
      </c>
      <c r="T387" s="4" t="str">
        <f>IF(Nodes[[#This Row],[Bezeichnung2]] = "gegenspieler",5,"")</f>
        <v/>
      </c>
    </row>
    <row r="388" spans="1:20" x14ac:dyDescent="0.3">
      <c r="A388" t="s">
        <v>397</v>
      </c>
      <c r="B388" t="s">
        <v>402</v>
      </c>
      <c r="C388" t="s">
        <v>18</v>
      </c>
      <c r="D388" t="s">
        <v>403</v>
      </c>
      <c r="E388" t="s">
        <v>47</v>
      </c>
      <c r="F388" t="s">
        <v>53</v>
      </c>
      <c r="G388" t="s">
        <v>26</v>
      </c>
      <c r="H388" t="str">
        <f t="shared" si="12"/>
        <v>adel</v>
      </c>
      <c r="I388" t="str" cm="1">
        <f t="array" ref="I388">_xlfn.SWITCH(A388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88" s="4">
        <f>IF(AND(B388=Werte!B388,LEFT(A388,5)=LEFT(Werte!A388,5)),Werte!C388,"not found")</f>
        <v>1.1428571428571399</v>
      </c>
      <c r="K388" s="4">
        <f>IF(AND(B388=Werte!B388,LEFT(A388,5)=LEFT(Werte!A388,5)),Werte!D388,"not found")</f>
        <v>4.7619047619047603E-2</v>
      </c>
      <c r="L388" s="4">
        <f>IF(AND(B388=Werte!B388,LEFT(A388,5)=LEFT(Werte!A388,5)),Werte!E388,"not found")</f>
        <v>0.41176470588235298</v>
      </c>
      <c r="M388" s="4">
        <f>IF(AND(B388=Werte!B388,LEFT(A388,5)=LEFT(Werte!A388,5)),Werte!F388,"not found")</f>
        <v>0.33927261075889498</v>
      </c>
      <c r="N388" s="4" t="str">
        <f t="shared" si="13"/>
        <v>helfer</v>
      </c>
      <c r="O388" s="4" cm="1">
        <f t="array" ref="O388">_xlfn.SWITCH(A388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88" s="4" t="str">
        <f>IF(Nodes[[#This Row],[Bezeichnung2]] = "betrueger",1,"")</f>
        <v/>
      </c>
      <c r="Q388" s="4" t="str">
        <f>IF(Nodes[[#This Row],[Bezeichnung2]] = "betrogener",2,"")</f>
        <v/>
      </c>
      <c r="R388" s="4" t="str">
        <f>IF(Nodes[[#This Row],[Bezeichnung2]] = "liebender",3,"")</f>
        <v/>
      </c>
      <c r="S388" s="4" t="str">
        <f>IF(Nodes[[#This Row],[Bezeichnung2]] = "liebende",4,"")</f>
        <v/>
      </c>
      <c r="T388" s="4" t="str">
        <f>IF(Nodes[[#This Row],[Bezeichnung2]] = "gegenspieler",5,"")</f>
        <v/>
      </c>
    </row>
    <row r="389" spans="1:20" x14ac:dyDescent="0.3">
      <c r="A389" t="s">
        <v>397</v>
      </c>
      <c r="B389" t="s">
        <v>404</v>
      </c>
      <c r="C389" t="s">
        <v>18</v>
      </c>
      <c r="D389" t="s">
        <v>119</v>
      </c>
      <c r="E389" t="s">
        <v>47</v>
      </c>
      <c r="F389" t="s">
        <v>47</v>
      </c>
      <c r="G389" t="s">
        <v>26</v>
      </c>
      <c r="H389" t="str">
        <f t="shared" si="12"/>
        <v>adel</v>
      </c>
      <c r="I389" t="str" cm="1">
        <f t="array" ref="I389">_xlfn.SWITCH(A389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89" s="4">
        <f>IF(AND(B389=Werte!B389,LEFT(A389,5)=LEFT(Werte!A389,5)),Werte!C389,"not found")</f>
        <v>0.85714285714285698</v>
      </c>
      <c r="K389" s="4">
        <f>IF(AND(B389=Werte!B389,LEFT(A389,5)=LEFT(Werte!A389,5)),Werte!D389,"not found")</f>
        <v>0.119047619047619</v>
      </c>
      <c r="L389" s="4">
        <f>IF(AND(B389=Werte!B389,LEFT(A389,5)=LEFT(Werte!A389,5)),Werte!E389,"not found")</f>
        <v>0.5</v>
      </c>
      <c r="M389" s="4">
        <f>IF(AND(B389=Werte!B389,LEFT(A389,5)=LEFT(Werte!A389,5)),Werte!F389,"not found")</f>
        <v>0.17073046096848399</v>
      </c>
      <c r="N389" s="4" t="str">
        <f t="shared" si="13"/>
        <v>unbekannt</v>
      </c>
      <c r="O389" s="4" cm="1">
        <f t="array" ref="O389">_xlfn.SWITCH(A389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89" s="4" t="str">
        <f>IF(Nodes[[#This Row],[Bezeichnung2]] = "betrueger",1,"")</f>
        <v/>
      </c>
      <c r="Q389" s="4" t="str">
        <f>IF(Nodes[[#This Row],[Bezeichnung2]] = "betrogener",2,"")</f>
        <v/>
      </c>
      <c r="R389" s="4" t="str">
        <f>IF(Nodes[[#This Row],[Bezeichnung2]] = "liebender",3,"")</f>
        <v/>
      </c>
      <c r="S389" s="4" t="str">
        <f>IF(Nodes[[#This Row],[Bezeichnung2]] = "liebende",4,"")</f>
        <v/>
      </c>
      <c r="T389" s="4" t="str">
        <f>IF(Nodes[[#This Row],[Bezeichnung2]] = "gegenspieler",5,"")</f>
        <v/>
      </c>
    </row>
    <row r="390" spans="1:20" x14ac:dyDescent="0.3">
      <c r="A390" t="s">
        <v>405</v>
      </c>
      <c r="B390" t="s">
        <v>258</v>
      </c>
      <c r="C390" t="s">
        <v>18</v>
      </c>
      <c r="D390" t="s">
        <v>57</v>
      </c>
      <c r="E390" t="s">
        <v>32</v>
      </c>
      <c r="F390" t="s">
        <v>33</v>
      </c>
      <c r="G390" t="s">
        <v>26</v>
      </c>
      <c r="H390" t="str">
        <f t="shared" si="12"/>
        <v>adel</v>
      </c>
      <c r="I390" t="str" cm="1">
        <f t="array" ref="I390">_xlfn.SWITCH(A390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390" s="4">
        <f>IF(AND(B390=Werte!B390,LEFT(A390,5)=LEFT(Werte!A390,5)),Werte!C390,"not found")</f>
        <v>2</v>
      </c>
      <c r="K390" s="4">
        <f>IF(AND(B390=Werte!B390,LEFT(A390,5)=LEFT(Werte!A390,5)),Werte!D390,"not found")</f>
        <v>0.4</v>
      </c>
      <c r="L390" s="4">
        <f>IF(AND(B390=Werte!B390,LEFT(A390,5)=LEFT(Werte!A390,5)),Werte!E390,"not found")</f>
        <v>0.55555555555555602</v>
      </c>
      <c r="M390" s="4">
        <f>IF(AND(B390=Werte!B390,LEFT(A390,5)=LEFT(Werte!A390,5)),Werte!F390,"not found")</f>
        <v>0.77702982441856205</v>
      </c>
      <c r="N390" s="4" t="str">
        <f t="shared" si="13"/>
        <v>vater</v>
      </c>
      <c r="O390" s="4" cm="1">
        <f t="array" ref="O390">_xlfn.SWITCH(A390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390" s="4" t="str">
        <f>IF(Nodes[[#This Row],[Bezeichnung2]] = "betrueger",1,"")</f>
        <v/>
      </c>
      <c r="Q390" s="4" t="str">
        <f>IF(Nodes[[#This Row],[Bezeichnung2]] = "betrogener",2,"")</f>
        <v/>
      </c>
      <c r="R390" s="4" t="str">
        <f>IF(Nodes[[#This Row],[Bezeichnung2]] = "liebender",3,"")</f>
        <v/>
      </c>
      <c r="S390" s="4" t="str">
        <f>IF(Nodes[[#This Row],[Bezeichnung2]] = "liebende",4,"")</f>
        <v/>
      </c>
      <c r="T390" s="4" t="str">
        <f>IF(Nodes[[#This Row],[Bezeichnung2]] = "gegenspieler",5,"")</f>
        <v/>
      </c>
    </row>
    <row r="391" spans="1:20" x14ac:dyDescent="0.3">
      <c r="A391" t="s">
        <v>405</v>
      </c>
      <c r="B391" t="s">
        <v>155</v>
      </c>
      <c r="C391" t="s">
        <v>24</v>
      </c>
      <c r="D391" t="s">
        <v>86</v>
      </c>
      <c r="E391" t="s">
        <v>20</v>
      </c>
      <c r="F391" t="s">
        <v>44</v>
      </c>
      <c r="G391" t="s">
        <v>22</v>
      </c>
      <c r="H391" t="str">
        <f t="shared" si="12"/>
        <v>adel</v>
      </c>
      <c r="I391" t="str" cm="1">
        <f t="array" ref="I391">_xlfn.SWITCH(A391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391" s="4">
        <f>IF(AND(B391=Werte!B391,LEFT(A391,5)=LEFT(Werte!A391,5)),Werte!C391,"not found")</f>
        <v>2</v>
      </c>
      <c r="K391" s="4">
        <f>IF(AND(B391=Werte!B391,LEFT(A391,5)=LEFT(Werte!A391,5)),Werte!D391,"not found")</f>
        <v>0.1</v>
      </c>
      <c r="L391" s="4">
        <f>IF(AND(B391=Werte!B391,LEFT(A391,5)=LEFT(Werte!A391,5)),Werte!E391,"not found")</f>
        <v>0.45454545454545497</v>
      </c>
      <c r="M391" s="4">
        <f>IF(AND(B391=Werte!B391,LEFT(A391,5)=LEFT(Werte!A391,5)),Werte!F391,"not found")</f>
        <v>1</v>
      </c>
      <c r="N391" s="4" t="str">
        <f t="shared" si="13"/>
        <v>liebende</v>
      </c>
      <c r="O391" s="4" cm="1">
        <f t="array" ref="O391">_xlfn.SWITCH(A391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391" s="4" t="str">
        <f>IF(Nodes[[#This Row],[Bezeichnung2]] = "betrueger",1,"")</f>
        <v/>
      </c>
      <c r="Q391" s="4" t="str">
        <f>IF(Nodes[[#This Row],[Bezeichnung2]] = "betrogener",2,"")</f>
        <v/>
      </c>
      <c r="R391" s="4" t="str">
        <f>IF(Nodes[[#This Row],[Bezeichnung2]] = "liebender",3,"")</f>
        <v/>
      </c>
      <c r="S391" s="4">
        <f>IF(Nodes[[#This Row],[Bezeichnung2]] = "liebende",4,"")</f>
        <v>4</v>
      </c>
      <c r="T391" s="4" t="str">
        <f>IF(Nodes[[#This Row],[Bezeichnung2]] = "gegenspieler",5,"")</f>
        <v/>
      </c>
    </row>
    <row r="392" spans="1:20" x14ac:dyDescent="0.3">
      <c r="A392" t="s">
        <v>405</v>
      </c>
      <c r="B392" t="s">
        <v>406</v>
      </c>
      <c r="C392" t="s">
        <v>18</v>
      </c>
      <c r="D392" t="s">
        <v>57</v>
      </c>
      <c r="E392" t="s">
        <v>32</v>
      </c>
      <c r="F392" t="s">
        <v>33</v>
      </c>
      <c r="G392" t="s">
        <v>26</v>
      </c>
      <c r="H392" t="str">
        <f t="shared" si="12"/>
        <v>adel</v>
      </c>
      <c r="I392" t="str" cm="1">
        <f t="array" ref="I392">_xlfn.SWITCH(A392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392" s="4">
        <f>IF(AND(B392=Werte!B392,LEFT(A392,5)=LEFT(Werte!A392,5)),Werte!C392,"not found")</f>
        <v>1.2</v>
      </c>
      <c r="K392" s="4">
        <f>IF(AND(B392=Werte!B392,LEFT(A392,5)=LEFT(Werte!A392,5)),Werte!D392,"not found")</f>
        <v>0.4</v>
      </c>
      <c r="L392" s="4">
        <f>IF(AND(B392=Werte!B392,LEFT(A392,5)=LEFT(Werte!A392,5)),Werte!E392,"not found")</f>
        <v>0.55555555555555602</v>
      </c>
      <c r="M392" s="4">
        <f>IF(AND(B392=Werte!B392,LEFT(A392,5)=LEFT(Werte!A392,5)),Werte!F392,"not found")</f>
        <v>0.16654704276367199</v>
      </c>
      <c r="N392" s="4" t="str">
        <f t="shared" si="13"/>
        <v>vater</v>
      </c>
      <c r="O392" s="4" cm="1">
        <f t="array" ref="O392">_xlfn.SWITCH(A392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392" s="4" t="str">
        <f>IF(Nodes[[#This Row],[Bezeichnung2]] = "betrueger",1,"")</f>
        <v/>
      </c>
      <c r="Q392" s="4" t="str">
        <f>IF(Nodes[[#This Row],[Bezeichnung2]] = "betrogener",2,"")</f>
        <v/>
      </c>
      <c r="R392" s="4" t="str">
        <f>IF(Nodes[[#This Row],[Bezeichnung2]] = "liebender",3,"")</f>
        <v/>
      </c>
      <c r="S392" s="4" t="str">
        <f>IF(Nodes[[#This Row],[Bezeichnung2]] = "liebende",4,"")</f>
        <v/>
      </c>
      <c r="T392" s="4" t="str">
        <f>IF(Nodes[[#This Row],[Bezeichnung2]] = "gegenspieler",5,"")</f>
        <v/>
      </c>
    </row>
    <row r="393" spans="1:20" x14ac:dyDescent="0.3">
      <c r="A393" t="s">
        <v>405</v>
      </c>
      <c r="B393" t="s">
        <v>312</v>
      </c>
      <c r="C393" t="s">
        <v>18</v>
      </c>
      <c r="D393" t="s">
        <v>176</v>
      </c>
      <c r="E393" t="s">
        <v>20</v>
      </c>
      <c r="F393" t="s">
        <v>39</v>
      </c>
      <c r="G393" t="s">
        <v>22</v>
      </c>
      <c r="H393" t="str">
        <f t="shared" si="12"/>
        <v>adel</v>
      </c>
      <c r="I393" t="str" cm="1">
        <f t="array" ref="I393">_xlfn.SWITCH(A393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393" s="4">
        <f>IF(AND(B393=Werte!B393,LEFT(A393,5)=LEFT(Werte!A393,5)),Werte!C393,"not found")</f>
        <v>1.6</v>
      </c>
      <c r="K393" s="4">
        <f>IF(AND(B393=Werte!B393,LEFT(A393,5)=LEFT(Werte!A393,5)),Werte!D393,"not found")</f>
        <v>0</v>
      </c>
      <c r="L393" s="4">
        <f>IF(AND(B393=Werte!B393,LEFT(A393,5)=LEFT(Werte!A393,5)),Werte!E393,"not found")</f>
        <v>0.35714285714285698</v>
      </c>
      <c r="M393" s="4">
        <f>IF(AND(B393=Werte!B393,LEFT(A393,5)=LEFT(Werte!A393,5)),Werte!F393,"not found")</f>
        <v>0.85433040660473902</v>
      </c>
      <c r="N393" s="4" t="str">
        <f t="shared" si="13"/>
        <v>liebender</v>
      </c>
      <c r="O393" s="4" cm="1">
        <f t="array" ref="O393">_xlfn.SWITCH(A393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393" s="4" t="str">
        <f>IF(Nodes[[#This Row],[Bezeichnung2]] = "betrueger",1,"")</f>
        <v/>
      </c>
      <c r="Q393" s="4" t="str">
        <f>IF(Nodes[[#This Row],[Bezeichnung2]] = "betrogener",2,"")</f>
        <v/>
      </c>
      <c r="R393" s="4">
        <f>IF(Nodes[[#This Row],[Bezeichnung2]] = "liebender",3,"")</f>
        <v>3</v>
      </c>
      <c r="S393" s="4" t="str">
        <f>IF(Nodes[[#This Row],[Bezeichnung2]] = "liebende",4,"")</f>
        <v/>
      </c>
      <c r="T393" s="4" t="str">
        <f>IF(Nodes[[#This Row],[Bezeichnung2]] = "gegenspieler",5,"")</f>
        <v/>
      </c>
    </row>
    <row r="394" spans="1:20" x14ac:dyDescent="0.3">
      <c r="A394" t="s">
        <v>405</v>
      </c>
      <c r="B394" t="s">
        <v>205</v>
      </c>
      <c r="C394" t="s">
        <v>18</v>
      </c>
      <c r="D394" t="s">
        <v>47</v>
      </c>
      <c r="E394" t="s">
        <v>47</v>
      </c>
      <c r="F394" t="s">
        <v>104</v>
      </c>
      <c r="G394" t="s">
        <v>26</v>
      </c>
      <c r="H394" t="str">
        <f t="shared" si="12"/>
        <v>unbekannt</v>
      </c>
      <c r="I394" t="str" cm="1">
        <f t="array" ref="I394">_xlfn.SWITCH(A394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394" s="4">
        <f>IF(AND(B394=Werte!B394,LEFT(A394,5)=LEFT(Werte!A394,5)),Werte!C394,"not found")</f>
        <v>0.8</v>
      </c>
      <c r="K394" s="4">
        <f>IF(AND(B394=Werte!B394,LEFT(A394,5)=LEFT(Werte!A394,5)),Werte!D394,"not found")</f>
        <v>0.1</v>
      </c>
      <c r="L394" s="4">
        <f>IF(AND(B394=Werte!B394,LEFT(A394,5)=LEFT(Werte!A394,5)),Werte!E394,"not found")</f>
        <v>0.45454545454545497</v>
      </c>
      <c r="M394" s="4">
        <f>IF(AND(B394=Werte!B394,LEFT(A394,5)=LEFT(Werte!A394,5)),Werte!F394,"not found")</f>
        <v>8.4906864357060297E-2</v>
      </c>
      <c r="N394" s="4" t="str">
        <f t="shared" si="13"/>
        <v>bote</v>
      </c>
      <c r="O394" s="4" cm="1">
        <f t="array" ref="O394">_xlfn.SWITCH(A394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394" s="4" t="str">
        <f>IF(Nodes[[#This Row],[Bezeichnung2]] = "betrueger",1,"")</f>
        <v/>
      </c>
      <c r="Q394" s="4" t="str">
        <f>IF(Nodes[[#This Row],[Bezeichnung2]] = "betrogener",2,"")</f>
        <v/>
      </c>
      <c r="R394" s="4" t="str">
        <f>IF(Nodes[[#This Row],[Bezeichnung2]] = "liebender",3,"")</f>
        <v/>
      </c>
      <c r="S394" s="4" t="str">
        <f>IF(Nodes[[#This Row],[Bezeichnung2]] = "liebende",4,"")</f>
        <v/>
      </c>
      <c r="T394" s="4" t="str">
        <f>IF(Nodes[[#This Row],[Bezeichnung2]] = "gegenspieler",5,"")</f>
        <v/>
      </c>
    </row>
    <row r="395" spans="1:20" x14ac:dyDescent="0.3">
      <c r="A395" t="s">
        <v>405</v>
      </c>
      <c r="B395" t="s">
        <v>407</v>
      </c>
      <c r="C395" t="s">
        <v>24</v>
      </c>
      <c r="D395" t="s">
        <v>86</v>
      </c>
      <c r="E395" t="s">
        <v>32</v>
      </c>
      <c r="F395" t="s">
        <v>36</v>
      </c>
      <c r="G395" t="s">
        <v>26</v>
      </c>
      <c r="H395" t="str">
        <f t="shared" si="12"/>
        <v>adel</v>
      </c>
      <c r="I395" t="str" cm="1">
        <f t="array" ref="I395">_xlfn.SWITCH(A395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395" s="4">
        <f>IF(AND(B395=Werte!B395,LEFT(A395,5)=LEFT(Werte!A395,5)),Werte!C395,"not found")</f>
        <v>1.2</v>
      </c>
      <c r="K395" s="4">
        <f>IF(AND(B395=Werte!B395,LEFT(A395,5)=LEFT(Werte!A395,5)),Werte!D395,"not found")</f>
        <v>0</v>
      </c>
      <c r="L395" s="4">
        <f>IF(AND(B395=Werte!B395,LEFT(A395,5)=LEFT(Werte!A395,5)),Werte!E395,"not found")</f>
        <v>0.35714285714285698</v>
      </c>
      <c r="M395" s="4">
        <f>IF(AND(B395=Werte!B395,LEFT(A395,5)=LEFT(Werte!A395,5)),Werte!F395,"not found")</f>
        <v>0.44257476100925203</v>
      </c>
      <c r="N395" s="4" t="str">
        <f t="shared" si="13"/>
        <v>mutter</v>
      </c>
      <c r="O395" s="4" cm="1">
        <f t="array" ref="O395">_xlfn.SWITCH(A395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395" s="4" t="str">
        <f>IF(Nodes[[#This Row],[Bezeichnung2]] = "betrueger",1,"")</f>
        <v/>
      </c>
      <c r="Q395" s="4" t="str">
        <f>IF(Nodes[[#This Row],[Bezeichnung2]] = "betrogener",2,"")</f>
        <v/>
      </c>
      <c r="R395" s="4" t="str">
        <f>IF(Nodes[[#This Row],[Bezeichnung2]] = "liebender",3,"")</f>
        <v/>
      </c>
      <c r="S395" s="4" t="str">
        <f>IF(Nodes[[#This Row],[Bezeichnung2]] = "liebende",4,"")</f>
        <v/>
      </c>
      <c r="T395" s="4" t="str">
        <f>IF(Nodes[[#This Row],[Bezeichnung2]] = "gegenspieler",5,"")</f>
        <v/>
      </c>
    </row>
    <row r="396" spans="1:20" x14ac:dyDescent="0.3">
      <c r="A396" t="s">
        <v>408</v>
      </c>
      <c r="B396" t="s">
        <v>117</v>
      </c>
      <c r="C396" t="s">
        <v>24</v>
      </c>
      <c r="D396" t="s">
        <v>47</v>
      </c>
      <c r="E396" t="s">
        <v>20</v>
      </c>
      <c r="F396" t="s">
        <v>162</v>
      </c>
      <c r="G396" t="s">
        <v>22</v>
      </c>
      <c r="H396" t="str">
        <f t="shared" si="12"/>
        <v>unbekannt</v>
      </c>
      <c r="I396" t="str" cm="1">
        <f t="array" ref="I396">_xlfn.SWITCH(A396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96" s="4">
        <f>IF(AND(B396=Werte!B396,LEFT(A396,5)=LEFT(Werte!A396,5)),Werte!C396,"not found")</f>
        <v>1.6666666666666701</v>
      </c>
      <c r="K396" s="4">
        <f>IF(AND(B396=Werte!B396,LEFT(A396,5)=LEFT(Werte!A396,5)),Werte!D396,"not found")</f>
        <v>0.33333333333333298</v>
      </c>
      <c r="L396" s="4">
        <f>IF(AND(B396=Werte!B396,LEFT(A396,5)=LEFT(Werte!A396,5)),Werte!E396,"not found")</f>
        <v>0.66666666666666696</v>
      </c>
      <c r="M396" s="4">
        <f>IF(AND(B396=Werte!B396,LEFT(A396,5)=LEFT(Werte!A396,5)),Werte!F396,"not found")</f>
        <v>1</v>
      </c>
      <c r="N396" s="4" t="str">
        <f t="shared" si="13"/>
        <v>betrogener</v>
      </c>
      <c r="O396" s="4" cm="1">
        <f t="array" ref="O396">_xlfn.SWITCH(A396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96" s="4" t="str">
        <f>IF(Nodes[[#This Row],[Bezeichnung2]] = "betrueger",1,"")</f>
        <v/>
      </c>
      <c r="Q396" s="4">
        <f>IF(Nodes[[#This Row],[Bezeichnung2]] = "betrogener",2,"")</f>
        <v>2</v>
      </c>
      <c r="R396" s="4" t="str">
        <f>IF(Nodes[[#This Row],[Bezeichnung2]] = "liebender",3,"")</f>
        <v/>
      </c>
      <c r="S396" s="4" t="str">
        <f>IF(Nodes[[#This Row],[Bezeichnung2]] = "liebende",4,"")</f>
        <v/>
      </c>
      <c r="T396" s="4" t="str">
        <f>IF(Nodes[[#This Row],[Bezeichnung2]] = "gegenspieler",5,"")</f>
        <v/>
      </c>
    </row>
    <row r="397" spans="1:20" x14ac:dyDescent="0.3">
      <c r="A397" t="s">
        <v>408</v>
      </c>
      <c r="B397" t="s">
        <v>115</v>
      </c>
      <c r="C397" t="s">
        <v>18</v>
      </c>
      <c r="D397" t="s">
        <v>47</v>
      </c>
      <c r="E397" t="s">
        <v>20</v>
      </c>
      <c r="F397" t="s">
        <v>318</v>
      </c>
      <c r="G397" t="s">
        <v>22</v>
      </c>
      <c r="H397" t="str">
        <f t="shared" si="12"/>
        <v>unbekannt</v>
      </c>
      <c r="I397" t="str" cm="1">
        <f t="array" ref="I397">_xlfn.SWITCH(A397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97" s="4">
        <f>IF(AND(B397=Werte!B397,LEFT(A397,5)=LEFT(Werte!A397,5)),Werte!C397,"not found")</f>
        <v>1.3333333333333299</v>
      </c>
      <c r="K397" s="4">
        <f>IF(AND(B397=Werte!B397,LEFT(A397,5)=LEFT(Werte!A397,5)),Werte!D397,"not found")</f>
        <v>0</v>
      </c>
      <c r="L397" s="4">
        <f>IF(AND(B397=Werte!B397,LEFT(A397,5)=LEFT(Werte!A397,5)),Werte!E397,"not found")</f>
        <v>0.54545454545454497</v>
      </c>
      <c r="M397" s="4">
        <f>IF(AND(B397=Werte!B397,LEFT(A397,5)=LEFT(Werte!A397,5)),Werte!F397,"not found")</f>
        <v>0.96261356875522597</v>
      </c>
      <c r="N397" s="4" t="str">
        <f t="shared" si="13"/>
        <v>betrueger</v>
      </c>
      <c r="O397" s="4" cm="1">
        <f t="array" ref="O397">_xlfn.SWITCH(A397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97" s="4">
        <f>IF(Nodes[[#This Row],[Bezeichnung2]] = "betrueger",1,"")</f>
        <v>1</v>
      </c>
      <c r="Q397" s="4" t="str">
        <f>IF(Nodes[[#This Row],[Bezeichnung2]] = "betrogener",2,"")</f>
        <v/>
      </c>
      <c r="R397" s="4" t="str">
        <f>IF(Nodes[[#This Row],[Bezeichnung2]] = "liebender",3,"")</f>
        <v/>
      </c>
      <c r="S397" s="4" t="str">
        <f>IF(Nodes[[#This Row],[Bezeichnung2]] = "liebende",4,"")</f>
        <v/>
      </c>
      <c r="T397" s="4" t="str">
        <f>IF(Nodes[[#This Row],[Bezeichnung2]] = "gegenspieler",5,"")</f>
        <v/>
      </c>
    </row>
    <row r="398" spans="1:20" x14ac:dyDescent="0.3">
      <c r="A398" t="s">
        <v>408</v>
      </c>
      <c r="B398" t="s">
        <v>407</v>
      </c>
      <c r="C398" t="s">
        <v>24</v>
      </c>
      <c r="D398" t="s">
        <v>47</v>
      </c>
      <c r="E398" t="s">
        <v>47</v>
      </c>
      <c r="F398" t="s">
        <v>53</v>
      </c>
      <c r="G398" t="s">
        <v>26</v>
      </c>
      <c r="H398" t="str">
        <f t="shared" si="12"/>
        <v>unbekannt</v>
      </c>
      <c r="I398" t="str" cm="1">
        <f t="array" ref="I398">_xlfn.SWITCH(A398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98" s="4">
        <f>IF(AND(B398=Werte!B398,LEFT(A398,5)=LEFT(Werte!A398,5)),Werte!C398,"not found")</f>
        <v>1.3333333333333299</v>
      </c>
      <c r="K398" s="4">
        <f>IF(AND(B398=Werte!B398,LEFT(A398,5)=LEFT(Werte!A398,5)),Werte!D398,"not found")</f>
        <v>0</v>
      </c>
      <c r="L398" s="4">
        <f>IF(AND(B398=Werte!B398,LEFT(A398,5)=LEFT(Werte!A398,5)),Werte!E398,"not found")</f>
        <v>0.54545454545454497</v>
      </c>
      <c r="M398" s="4">
        <f>IF(AND(B398=Werte!B398,LEFT(A398,5)=LEFT(Werte!A398,5)),Werte!F398,"not found")</f>
        <v>0.64191747675994204</v>
      </c>
      <c r="N398" s="4" t="str">
        <f t="shared" si="13"/>
        <v>helfer</v>
      </c>
      <c r="O398" s="4" cm="1">
        <f t="array" ref="O398">_xlfn.SWITCH(A398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98" s="4" t="str">
        <f>IF(Nodes[[#This Row],[Bezeichnung2]] = "betrueger",1,"")</f>
        <v/>
      </c>
      <c r="Q398" s="4" t="str">
        <f>IF(Nodes[[#This Row],[Bezeichnung2]] = "betrogener",2,"")</f>
        <v/>
      </c>
      <c r="R398" s="4" t="str">
        <f>IF(Nodes[[#This Row],[Bezeichnung2]] = "liebender",3,"")</f>
        <v/>
      </c>
      <c r="S398" s="4" t="str">
        <f>IF(Nodes[[#This Row],[Bezeichnung2]] = "liebende",4,"")</f>
        <v/>
      </c>
      <c r="T398" s="4" t="str">
        <f>IF(Nodes[[#This Row],[Bezeichnung2]] = "gegenspieler",5,"")</f>
        <v/>
      </c>
    </row>
    <row r="399" spans="1:20" x14ac:dyDescent="0.3">
      <c r="A399" t="s">
        <v>408</v>
      </c>
      <c r="B399" t="s">
        <v>409</v>
      </c>
      <c r="C399" t="s">
        <v>24</v>
      </c>
      <c r="D399" t="s">
        <v>47</v>
      </c>
      <c r="E399" t="s">
        <v>47</v>
      </c>
      <c r="F399" t="s">
        <v>47</v>
      </c>
      <c r="G399" t="s">
        <v>26</v>
      </c>
      <c r="H399" t="str">
        <f t="shared" si="12"/>
        <v>unbekannt</v>
      </c>
      <c r="I399" t="str" cm="1">
        <f t="array" ref="I399">_xlfn.SWITCH(A399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399" s="4">
        <f>IF(AND(B399=Werte!B399,LEFT(A399,5)=LEFT(Werte!A399,5)),Werte!C399,"not found")</f>
        <v>0.33333333333333298</v>
      </c>
      <c r="K399" s="4">
        <f>IF(AND(B399=Werte!B399,LEFT(A399,5)=LEFT(Werte!A399,5)),Werte!D399,"not found")</f>
        <v>0</v>
      </c>
      <c r="L399" s="4">
        <f>IF(AND(B399=Werte!B399,LEFT(A399,5)=LEFT(Werte!A399,5)),Werte!E399,"not found")</f>
        <v>0.42857142857142899</v>
      </c>
      <c r="M399" s="4">
        <f>IF(AND(B399=Werte!B399,LEFT(A399,5)=LEFT(Werte!A399,5)),Werte!F399,"not found")</f>
        <v>3.3992095868854003E-2</v>
      </c>
      <c r="N399" s="4" t="str">
        <f t="shared" si="13"/>
        <v>unbekannt</v>
      </c>
      <c r="O399" s="4" cm="1">
        <f t="array" ref="O399">_xlfn.SWITCH(A399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399" s="4" t="str">
        <f>IF(Nodes[[#This Row],[Bezeichnung2]] = "betrueger",1,"")</f>
        <v/>
      </c>
      <c r="Q399" s="4" t="str">
        <f>IF(Nodes[[#This Row],[Bezeichnung2]] = "betrogener",2,"")</f>
        <v/>
      </c>
      <c r="R399" s="4" t="str">
        <f>IF(Nodes[[#This Row],[Bezeichnung2]] = "liebender",3,"")</f>
        <v/>
      </c>
      <c r="S399" s="4" t="str">
        <f>IF(Nodes[[#This Row],[Bezeichnung2]] = "liebende",4,"")</f>
        <v/>
      </c>
      <c r="T399" s="4" t="str">
        <f>IF(Nodes[[#This Row],[Bezeichnung2]] = "gegenspieler",5,"")</f>
        <v/>
      </c>
    </row>
    <row r="400" spans="1:20" x14ac:dyDescent="0.3">
      <c r="A400" t="s">
        <v>408</v>
      </c>
      <c r="B400" t="s">
        <v>410</v>
      </c>
      <c r="C400" t="s">
        <v>46</v>
      </c>
      <c r="D400" t="s">
        <v>47</v>
      </c>
      <c r="E400" t="s">
        <v>47</v>
      </c>
      <c r="F400" t="s">
        <v>47</v>
      </c>
      <c r="G400" t="s">
        <v>26</v>
      </c>
      <c r="H400" t="str">
        <f t="shared" si="12"/>
        <v>unbekannt</v>
      </c>
      <c r="I400" t="str" cm="1">
        <f t="array" ref="I400">_xlfn.SWITCH(A400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00" s="4">
        <f>IF(AND(B400=Werte!B400,LEFT(A400,5)=LEFT(Werte!A400,5)),Werte!C400,"not found")</f>
        <v>1.3333333333333299</v>
      </c>
      <c r="K400" s="4">
        <f>IF(AND(B400=Werte!B400,LEFT(A400,5)=LEFT(Werte!A400,5)),Werte!D400,"not found")</f>
        <v>0.16666666666666699</v>
      </c>
      <c r="L400" s="4">
        <f>IF(AND(B400=Werte!B400,LEFT(A400,5)=LEFT(Werte!A400,5)),Werte!E400,"not found")</f>
        <v>0.75</v>
      </c>
      <c r="M400" s="4">
        <f>IF(AND(B400=Werte!B400,LEFT(A400,5)=LEFT(Werte!A400,5)),Werte!F400,"not found")</f>
        <v>9.1652411912467494E-2</v>
      </c>
      <c r="N400" s="4" t="str">
        <f t="shared" si="13"/>
        <v>unbekannt</v>
      </c>
      <c r="O400" s="4" cm="1">
        <f t="array" ref="O400">_xlfn.SWITCH(A400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00" s="4" t="str">
        <f>IF(Nodes[[#This Row],[Bezeichnung2]] = "betrueger",1,"")</f>
        <v/>
      </c>
      <c r="Q400" s="4" t="str">
        <f>IF(Nodes[[#This Row],[Bezeichnung2]] = "betrogener",2,"")</f>
        <v/>
      </c>
      <c r="R400" s="4" t="str">
        <f>IF(Nodes[[#This Row],[Bezeichnung2]] = "liebender",3,"")</f>
        <v/>
      </c>
      <c r="S400" s="4" t="str">
        <f>IF(Nodes[[#This Row],[Bezeichnung2]] = "liebende",4,"")</f>
        <v/>
      </c>
      <c r="T400" s="4" t="str">
        <f>IF(Nodes[[#This Row],[Bezeichnung2]] = "gegenspieler",5,"")</f>
        <v/>
      </c>
    </row>
    <row r="401" spans="1:20" x14ac:dyDescent="0.3">
      <c r="A401" t="s">
        <v>408</v>
      </c>
      <c r="B401" t="s">
        <v>411</v>
      </c>
      <c r="C401" t="s">
        <v>46</v>
      </c>
      <c r="D401" t="s">
        <v>47</v>
      </c>
      <c r="E401" t="s">
        <v>47</v>
      </c>
      <c r="F401" t="s">
        <v>47</v>
      </c>
      <c r="G401" t="s">
        <v>26</v>
      </c>
      <c r="H401" t="str">
        <f t="shared" si="12"/>
        <v>unbekannt</v>
      </c>
      <c r="I401" t="str" cm="1">
        <f t="array" ref="I401">_xlfn.SWITCH(A401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01" s="4">
        <f>IF(AND(B401=Werte!B401,LEFT(A401,5)=LEFT(Werte!A401,5)),Werte!C401,"not found")</f>
        <v>1.6666666666666701</v>
      </c>
      <c r="K401" s="4">
        <f>IF(AND(B401=Werte!B401,LEFT(A401,5)=LEFT(Werte!A401,5)),Werte!D401,"not found")</f>
        <v>0.5</v>
      </c>
      <c r="L401" s="4">
        <f>IF(AND(B401=Werte!B401,LEFT(A401,5)=LEFT(Werte!A401,5)),Werte!E401,"not found")</f>
        <v>0.85714285714285698</v>
      </c>
      <c r="M401" s="4">
        <f>IF(AND(B401=Werte!B401,LEFT(A401,5)=LEFT(Werte!A401,5)),Werte!F401,"not found")</f>
        <v>9.1754945971641397E-2</v>
      </c>
      <c r="N401" s="4" t="str">
        <f t="shared" si="13"/>
        <v>unbekannt</v>
      </c>
      <c r="O401" s="4" cm="1">
        <f t="array" ref="O401">_xlfn.SWITCH(A401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01" s="4" t="str">
        <f>IF(Nodes[[#This Row],[Bezeichnung2]] = "betrueger",1,"")</f>
        <v/>
      </c>
      <c r="Q401" s="4" t="str">
        <f>IF(Nodes[[#This Row],[Bezeichnung2]] = "betrogener",2,"")</f>
        <v/>
      </c>
      <c r="R401" s="4" t="str">
        <f>IF(Nodes[[#This Row],[Bezeichnung2]] = "liebender",3,"")</f>
        <v/>
      </c>
      <c r="S401" s="4" t="str">
        <f>IF(Nodes[[#This Row],[Bezeichnung2]] = "liebende",4,"")</f>
        <v/>
      </c>
      <c r="T401" s="4" t="str">
        <f>IF(Nodes[[#This Row],[Bezeichnung2]] = "gegenspieler",5,"")</f>
        <v/>
      </c>
    </row>
    <row r="402" spans="1:20" x14ac:dyDescent="0.3">
      <c r="A402" t="s">
        <v>408</v>
      </c>
      <c r="B402" t="s">
        <v>205</v>
      </c>
      <c r="C402" t="s">
        <v>18</v>
      </c>
      <c r="D402" t="s">
        <v>47</v>
      </c>
      <c r="E402" t="s">
        <v>47</v>
      </c>
      <c r="F402" t="s">
        <v>104</v>
      </c>
      <c r="G402" t="s">
        <v>26</v>
      </c>
      <c r="H402" t="str">
        <f t="shared" si="12"/>
        <v>unbekannt</v>
      </c>
      <c r="I402" t="str" cm="1">
        <f t="array" ref="I402">_xlfn.SWITCH(A402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02" s="4">
        <f>IF(AND(B402=Werte!B402,LEFT(A402,5)=LEFT(Werte!A402,5)),Werte!C402,"not found")</f>
        <v>0.33333333333333298</v>
      </c>
      <c r="K402" s="4">
        <f>IF(AND(B402=Werte!B402,LEFT(A402,5)=LEFT(Werte!A402,5)),Werte!D402,"not found")</f>
        <v>0</v>
      </c>
      <c r="L402" s="4">
        <f>IF(AND(B402=Werte!B402,LEFT(A402,5)=LEFT(Werte!A402,5)),Werte!E402,"not found")</f>
        <v>0.5</v>
      </c>
      <c r="M402" s="4">
        <f>IF(AND(B402=Werte!B402,LEFT(A402,5)=LEFT(Werte!A402,5)),Werte!F402,"not found")</f>
        <v>3.1189429199095799E-3</v>
      </c>
      <c r="N402" s="4" t="str">
        <f t="shared" si="13"/>
        <v>bote</v>
      </c>
      <c r="O402" s="4" cm="1">
        <f t="array" ref="O402">_xlfn.SWITCH(A402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02" s="4" t="str">
        <f>IF(Nodes[[#This Row],[Bezeichnung2]] = "betrueger",1,"")</f>
        <v/>
      </c>
      <c r="Q402" s="4" t="str">
        <f>IF(Nodes[[#This Row],[Bezeichnung2]] = "betrogener",2,"")</f>
        <v/>
      </c>
      <c r="R402" s="4" t="str">
        <f>IF(Nodes[[#This Row],[Bezeichnung2]] = "liebender",3,"")</f>
        <v/>
      </c>
      <c r="S402" s="4" t="str">
        <f>IF(Nodes[[#This Row],[Bezeichnung2]] = "liebende",4,"")</f>
        <v/>
      </c>
      <c r="T402" s="4" t="str">
        <f>IF(Nodes[[#This Row],[Bezeichnung2]] = "gegenspieler",5,"")</f>
        <v/>
      </c>
    </row>
    <row r="403" spans="1:20" x14ac:dyDescent="0.3">
      <c r="A403" t="s">
        <v>851</v>
      </c>
      <c r="B403" t="s">
        <v>841</v>
      </c>
      <c r="C403" t="s">
        <v>24</v>
      </c>
      <c r="D403" t="s">
        <v>47</v>
      </c>
      <c r="E403" t="s">
        <v>47</v>
      </c>
      <c r="F403" t="s">
        <v>55</v>
      </c>
      <c r="G403" t="s">
        <v>22</v>
      </c>
      <c r="H403" t="str">
        <f t="shared" si="12"/>
        <v>unbekannt</v>
      </c>
      <c r="I403" t="str" cm="1">
        <f t="array" ref="I403">_xlfn.SWITCH(A403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03" s="4">
        <f>IF(AND(B403=Werte!B403,LEFT(A403,5)=LEFT(Werte!A403,5)),Werte!C403,"not found")</f>
        <v>1.55555555555556</v>
      </c>
      <c r="K403" s="4">
        <f>IF(AND(B403=Werte!B403,LEFT(A403,5)=LEFT(Werte!A403,5)),Werte!D403,"not found")</f>
        <v>6.9444444444444406E-2</v>
      </c>
      <c r="L403" s="4">
        <f>IF(AND(B403=Werte!B403,LEFT(A403,5)=LEFT(Werte!A403,5)),Werte!E403,"not found")</f>
        <v>0.39130434782608697</v>
      </c>
      <c r="M403" s="4">
        <f>IF(AND(B403=Werte!B403,LEFT(A403,5)=LEFT(Werte!A403,5)),Werte!F403,"not found")</f>
        <v>0.68723480271770299</v>
      </c>
      <c r="N403" s="4" t="str">
        <f t="shared" si="13"/>
        <v>betrueger</v>
      </c>
      <c r="O403" s="4" cm="1">
        <f t="array" ref="O403">_xlfn.SWITCH(A403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03" s="4">
        <f>IF(Nodes[[#This Row],[Bezeichnung2]] = "betrueger",1,"")</f>
        <v>1</v>
      </c>
      <c r="Q403" s="4" t="str">
        <f>IF(Nodes[[#This Row],[Bezeichnung2]] = "betrogener",2,"")</f>
        <v/>
      </c>
      <c r="R403" s="4" t="str">
        <f>IF(Nodes[[#This Row],[Bezeichnung2]] = "liebender",3,"")</f>
        <v/>
      </c>
      <c r="S403" s="4" t="str">
        <f>IF(Nodes[[#This Row],[Bezeichnung2]] = "liebende",4,"")</f>
        <v/>
      </c>
      <c r="T403" s="4" t="str">
        <f>IF(Nodes[[#This Row],[Bezeichnung2]] = "gegenspieler",5,"")</f>
        <v/>
      </c>
    </row>
    <row r="404" spans="1:20" x14ac:dyDescent="0.3">
      <c r="A404" t="s">
        <v>851</v>
      </c>
      <c r="B404" t="s">
        <v>842</v>
      </c>
      <c r="C404" t="s">
        <v>24</v>
      </c>
      <c r="D404" t="s">
        <v>47</v>
      </c>
      <c r="E404" t="s">
        <v>47</v>
      </c>
      <c r="F404" t="s">
        <v>55</v>
      </c>
      <c r="G404" t="s">
        <v>22</v>
      </c>
      <c r="H404" t="str">
        <f t="shared" si="12"/>
        <v>unbekannt</v>
      </c>
      <c r="I404" t="str" cm="1">
        <f t="array" ref="I404">_xlfn.SWITCH(A404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04" s="4">
        <f>IF(AND(B404=Werte!B404,LEFT(A404,5)=LEFT(Werte!A404,5)),Werte!C404,"not found")</f>
        <v>1.55555555555556</v>
      </c>
      <c r="K404" s="4">
        <f>IF(AND(B404=Werte!B404,LEFT(A404,5)=LEFT(Werte!A404,5)),Werte!D404,"not found")</f>
        <v>0.33055555555555499</v>
      </c>
      <c r="L404" s="4">
        <f>IF(AND(B404=Werte!B404,LEFT(A404,5)=LEFT(Werte!A404,5)),Werte!E404,"not found")</f>
        <v>0.47368421052631599</v>
      </c>
      <c r="M404" s="4">
        <f>IF(AND(B404=Werte!B404,LEFT(A404,5)=LEFT(Werte!A404,5)),Werte!F404,"not found")</f>
        <v>0.811734277068903</v>
      </c>
      <c r="N404" s="4" t="str">
        <f t="shared" si="13"/>
        <v>betrueger</v>
      </c>
      <c r="O404" s="4" cm="1">
        <f t="array" ref="O404">_xlfn.SWITCH(A404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04" s="4">
        <f>IF(Nodes[[#This Row],[Bezeichnung2]] = "betrueger",1,"")</f>
        <v>1</v>
      </c>
      <c r="Q404" s="4" t="str">
        <f>IF(Nodes[[#This Row],[Bezeichnung2]] = "betrogener",2,"")</f>
        <v/>
      </c>
      <c r="R404" s="4" t="str">
        <f>IF(Nodes[[#This Row],[Bezeichnung2]] = "liebender",3,"")</f>
        <v/>
      </c>
      <c r="S404" s="4" t="str">
        <f>IF(Nodes[[#This Row],[Bezeichnung2]] = "liebende",4,"")</f>
        <v/>
      </c>
      <c r="T404" s="4" t="str">
        <f>IF(Nodes[[#This Row],[Bezeichnung2]] = "gegenspieler",5,"")</f>
        <v/>
      </c>
    </row>
    <row r="405" spans="1:20" x14ac:dyDescent="0.3">
      <c r="A405" t="s">
        <v>851</v>
      </c>
      <c r="B405" t="s">
        <v>843</v>
      </c>
      <c r="C405" t="s">
        <v>24</v>
      </c>
      <c r="D405" t="s">
        <v>47</v>
      </c>
      <c r="E405" t="s">
        <v>47</v>
      </c>
      <c r="F405" t="s">
        <v>55</v>
      </c>
      <c r="G405" t="s">
        <v>22</v>
      </c>
      <c r="H405" t="str">
        <f t="shared" si="12"/>
        <v>unbekannt</v>
      </c>
      <c r="I405" t="str" cm="1">
        <f t="array" ref="I405">_xlfn.SWITCH(A405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05" s="4">
        <f>IF(AND(B405=Werte!B405,LEFT(A405,5)=LEFT(Werte!A405,5)),Werte!C405,"not found")</f>
        <v>1.55555555555556</v>
      </c>
      <c r="K405" s="4">
        <f>IF(AND(B405=Werte!B405,LEFT(A405,5)=LEFT(Werte!A405,5)),Werte!D405,"not found")</f>
        <v>0.20092592592592601</v>
      </c>
      <c r="L405" s="4">
        <f>IF(AND(B405=Werte!B405,LEFT(A405,5)=LEFT(Werte!A405,5)),Werte!E405,"not found")</f>
        <v>0.42857142857142899</v>
      </c>
      <c r="M405" s="4">
        <f>IF(AND(B405=Werte!B405,LEFT(A405,5)=LEFT(Werte!A405,5)),Werte!F405,"not found")</f>
        <v>1</v>
      </c>
      <c r="N405" s="4" t="str">
        <f t="shared" si="13"/>
        <v>betrueger</v>
      </c>
      <c r="O405" s="4" cm="1">
        <f t="array" ref="O405">_xlfn.SWITCH(A405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05" s="4">
        <f>IF(Nodes[[#This Row],[Bezeichnung2]] = "betrueger",1,"")</f>
        <v>1</v>
      </c>
      <c r="Q405" s="4" t="str">
        <f>IF(Nodes[[#This Row],[Bezeichnung2]] = "betrogener",2,"")</f>
        <v/>
      </c>
      <c r="R405" s="4" t="str">
        <f>IF(Nodes[[#This Row],[Bezeichnung2]] = "liebender",3,"")</f>
        <v/>
      </c>
      <c r="S405" s="4" t="str">
        <f>IF(Nodes[[#This Row],[Bezeichnung2]] = "liebende",4,"")</f>
        <v/>
      </c>
      <c r="T405" s="4" t="str">
        <f>IF(Nodes[[#This Row],[Bezeichnung2]] = "gegenspieler",5,"")</f>
        <v/>
      </c>
    </row>
    <row r="406" spans="1:20" x14ac:dyDescent="0.3">
      <c r="A406" t="s">
        <v>851</v>
      </c>
      <c r="B406" t="s">
        <v>844</v>
      </c>
      <c r="C406" t="s">
        <v>18</v>
      </c>
      <c r="D406" t="s">
        <v>47</v>
      </c>
      <c r="E406" t="s">
        <v>47</v>
      </c>
      <c r="F406" t="s">
        <v>50</v>
      </c>
      <c r="G406" t="s">
        <v>22</v>
      </c>
      <c r="H406" t="str">
        <f t="shared" si="12"/>
        <v>unbekannt</v>
      </c>
      <c r="I406" t="str" cm="1">
        <f t="array" ref="I406">_xlfn.SWITCH(A406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06" s="4">
        <f>IF(AND(B406=Werte!B406,LEFT(A406,5)=LEFT(Werte!A406,5)),Werte!C406,"not found")</f>
        <v>2</v>
      </c>
      <c r="K406" s="4">
        <f>IF(AND(B406=Werte!B406,LEFT(A406,5)=LEFT(Werte!A406,5)),Werte!D406,"not found")</f>
        <v>9.0740740740740705E-2</v>
      </c>
      <c r="L406" s="4">
        <f>IF(AND(B406=Werte!B406,LEFT(A406,5)=LEFT(Werte!A406,5)),Werte!E406,"not found")</f>
        <v>0.39130434782608697</v>
      </c>
      <c r="M406" s="4">
        <f>IF(AND(B406=Werte!B406,LEFT(A406,5)=LEFT(Werte!A406,5)),Werte!F406,"not found")</f>
        <v>0.96558739483465805</v>
      </c>
      <c r="N406" s="4" t="str">
        <f t="shared" si="13"/>
        <v>betrogener</v>
      </c>
      <c r="O406" s="4" cm="1">
        <f t="array" ref="O406">_xlfn.SWITCH(A406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06" s="4" t="str">
        <f>IF(Nodes[[#This Row],[Bezeichnung2]] = "betrueger",1,"")</f>
        <v/>
      </c>
      <c r="Q406" s="4">
        <f>IF(Nodes[[#This Row],[Bezeichnung2]] = "betrogener",2,"")</f>
        <v>2</v>
      </c>
      <c r="R406" s="4" t="str">
        <f>IF(Nodes[[#This Row],[Bezeichnung2]] = "liebender",3,"")</f>
        <v/>
      </c>
      <c r="S406" s="4" t="str">
        <f>IF(Nodes[[#This Row],[Bezeichnung2]] = "liebende",4,"")</f>
        <v/>
      </c>
      <c r="T406" s="4" t="str">
        <f>IF(Nodes[[#This Row],[Bezeichnung2]] = "gegenspieler",5,"")</f>
        <v/>
      </c>
    </row>
    <row r="407" spans="1:20" x14ac:dyDescent="0.3">
      <c r="A407" t="s">
        <v>851</v>
      </c>
      <c r="B407" t="s">
        <v>845</v>
      </c>
      <c r="C407" t="s">
        <v>18</v>
      </c>
      <c r="D407" t="s">
        <v>269</v>
      </c>
      <c r="E407" t="s">
        <v>47</v>
      </c>
      <c r="F407" t="s">
        <v>53</v>
      </c>
      <c r="G407" t="s">
        <v>26</v>
      </c>
      <c r="H407" t="str">
        <f t="shared" si="12"/>
        <v>unbekannt</v>
      </c>
      <c r="I407" t="str" cm="1">
        <f t="array" ref="I407">_xlfn.SWITCH(A407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07" s="4">
        <f>IF(AND(B407=Werte!B407,LEFT(A407,5)=LEFT(Werte!A407,5)),Werte!C407,"not found")</f>
        <v>0.88888888888888895</v>
      </c>
      <c r="K407" s="4">
        <f>IF(AND(B407=Werte!B407,LEFT(A407,5)=LEFT(Werte!A407,5)),Werte!D407,"not found")</f>
        <v>4.1666666666666699E-2</v>
      </c>
      <c r="L407" s="4">
        <f>IF(AND(B407=Werte!B407,LEFT(A407,5)=LEFT(Werte!A407,5)),Werte!E407,"not found")</f>
        <v>0.36</v>
      </c>
      <c r="M407" s="4">
        <f>IF(AND(B407=Werte!B407,LEFT(A407,5)=LEFT(Werte!A407,5)),Werte!F407,"not found")</f>
        <v>0.44119177254382003</v>
      </c>
      <c r="N407" s="4" t="str">
        <f t="shared" si="13"/>
        <v>helfer</v>
      </c>
      <c r="O407" s="4" cm="1">
        <f t="array" ref="O407">_xlfn.SWITCH(A407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07" s="4" t="str">
        <f>IF(Nodes[[#This Row],[Bezeichnung2]] = "betrueger",1,"")</f>
        <v/>
      </c>
      <c r="Q407" s="4" t="str">
        <f>IF(Nodes[[#This Row],[Bezeichnung2]] = "betrogener",2,"")</f>
        <v/>
      </c>
      <c r="R407" s="4" t="str">
        <f>IF(Nodes[[#This Row],[Bezeichnung2]] = "liebender",3,"")</f>
        <v/>
      </c>
      <c r="S407" s="4" t="str">
        <f>IF(Nodes[[#This Row],[Bezeichnung2]] = "liebende",4,"")</f>
        <v/>
      </c>
      <c r="T407" s="4" t="str">
        <f>IF(Nodes[[#This Row],[Bezeichnung2]] = "gegenspieler",5,"")</f>
        <v/>
      </c>
    </row>
    <row r="408" spans="1:20" x14ac:dyDescent="0.3">
      <c r="A408" t="s">
        <v>851</v>
      </c>
      <c r="B408" t="s">
        <v>846</v>
      </c>
      <c r="C408" t="s">
        <v>18</v>
      </c>
      <c r="D408" t="s">
        <v>153</v>
      </c>
      <c r="E408" t="s">
        <v>47</v>
      </c>
      <c r="F408" t="s">
        <v>47</v>
      </c>
      <c r="G408" t="s">
        <v>26</v>
      </c>
      <c r="H408" t="str">
        <f t="shared" si="12"/>
        <v>klerus</v>
      </c>
      <c r="I408" t="str" cm="1">
        <f t="array" ref="I408">_xlfn.SWITCH(A408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08" s="4">
        <f>IF(AND(B408=Werte!B408,LEFT(A408,5)=LEFT(Werte!A408,5)),Werte!C408,"not found")</f>
        <v>0.44444444444444398</v>
      </c>
      <c r="K408" s="4">
        <f>IF(AND(B408=Werte!B408,LEFT(A408,5)=LEFT(Werte!A408,5)),Werte!D408,"not found")</f>
        <v>0</v>
      </c>
      <c r="L408" s="4">
        <f>IF(AND(B408=Werte!B408,LEFT(A408,5)=LEFT(Werte!A408,5)),Werte!E408,"not found")</f>
        <v>0.25714285714285701</v>
      </c>
      <c r="M408" s="4">
        <f>IF(AND(B408=Werte!B408,LEFT(A408,5)=LEFT(Werte!A408,5)),Werte!F408,"not found")</f>
        <v>0.113415250393356</v>
      </c>
      <c r="N408" s="4" t="str">
        <f t="shared" si="13"/>
        <v>unbekannt</v>
      </c>
      <c r="O408" s="4" cm="1">
        <f t="array" ref="O408">_xlfn.SWITCH(A408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08" s="4" t="str">
        <f>IF(Nodes[[#This Row],[Bezeichnung2]] = "betrueger",1,"")</f>
        <v/>
      </c>
      <c r="Q408" s="4" t="str">
        <f>IF(Nodes[[#This Row],[Bezeichnung2]] = "betrogener",2,"")</f>
        <v/>
      </c>
      <c r="R408" s="4" t="str">
        <f>IF(Nodes[[#This Row],[Bezeichnung2]] = "liebender",3,"")</f>
        <v/>
      </c>
      <c r="S408" s="4" t="str">
        <f>IF(Nodes[[#This Row],[Bezeichnung2]] = "liebende",4,"")</f>
        <v/>
      </c>
      <c r="T408" s="4" t="str">
        <f>IF(Nodes[[#This Row],[Bezeichnung2]] = "gegenspieler",5,"")</f>
        <v/>
      </c>
    </row>
    <row r="409" spans="1:20" x14ac:dyDescent="0.3">
      <c r="A409" t="s">
        <v>851</v>
      </c>
      <c r="B409" t="s">
        <v>847</v>
      </c>
      <c r="C409" t="s">
        <v>24</v>
      </c>
      <c r="D409" t="s">
        <v>47</v>
      </c>
      <c r="E409" t="s">
        <v>47</v>
      </c>
      <c r="F409" t="s">
        <v>47</v>
      </c>
      <c r="G409" t="s">
        <v>26</v>
      </c>
      <c r="H409" t="str">
        <f t="shared" si="12"/>
        <v>unbekannt</v>
      </c>
      <c r="I409" t="str" cm="1">
        <f t="array" ref="I409">_xlfn.SWITCH(A409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09" s="4">
        <f>IF(AND(B409=Werte!B409,LEFT(A409,5)=LEFT(Werte!A409,5)),Werte!C409,"not found")</f>
        <v>0.88888888888888895</v>
      </c>
      <c r="K409" s="4">
        <f>IF(AND(B409=Werte!B409,LEFT(A409,5)=LEFT(Werte!A409,5)),Werte!D409,"not found")</f>
        <v>0.483333333333333</v>
      </c>
      <c r="L409" s="4">
        <f>IF(AND(B409=Werte!B409,LEFT(A409,5)=LEFT(Werte!A409,5)),Werte!E409,"not found")</f>
        <v>0.52941176470588203</v>
      </c>
      <c r="M409" s="4">
        <f>IF(AND(B409=Werte!B409,LEFT(A409,5)=LEFT(Werte!A409,5)),Werte!F409,"not found")</f>
        <v>9.9953210196523798E-2</v>
      </c>
      <c r="N409" s="4" t="str">
        <f t="shared" si="13"/>
        <v>unbekannt</v>
      </c>
      <c r="O409" s="4" cm="1">
        <f t="array" ref="O409">_xlfn.SWITCH(A409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09" s="4" t="str">
        <f>IF(Nodes[[#This Row],[Bezeichnung2]] = "betrueger",1,"")</f>
        <v/>
      </c>
      <c r="Q409" s="4" t="str">
        <f>IF(Nodes[[#This Row],[Bezeichnung2]] = "betrogener",2,"")</f>
        <v/>
      </c>
      <c r="R409" s="4" t="str">
        <f>IF(Nodes[[#This Row],[Bezeichnung2]] = "liebender",3,"")</f>
        <v/>
      </c>
      <c r="S409" s="4" t="str">
        <f>IF(Nodes[[#This Row],[Bezeichnung2]] = "liebende",4,"")</f>
        <v/>
      </c>
      <c r="T409" s="4" t="str">
        <f>IF(Nodes[[#This Row],[Bezeichnung2]] = "gegenspieler",5,"")</f>
        <v/>
      </c>
    </row>
    <row r="410" spans="1:20" x14ac:dyDescent="0.3">
      <c r="A410" t="s">
        <v>851</v>
      </c>
      <c r="B410" t="s">
        <v>848</v>
      </c>
      <c r="C410" t="s">
        <v>18</v>
      </c>
      <c r="D410" t="s">
        <v>47</v>
      </c>
      <c r="E410" t="s">
        <v>47</v>
      </c>
      <c r="F410" t="s">
        <v>50</v>
      </c>
      <c r="G410" t="s">
        <v>22</v>
      </c>
      <c r="H410" t="str">
        <f t="shared" si="12"/>
        <v>unbekannt</v>
      </c>
      <c r="I410" t="str" cm="1">
        <f t="array" ref="I410">_xlfn.SWITCH(A410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10" s="4">
        <f>IF(AND(B410=Werte!B410,LEFT(A410,5)=LEFT(Werte!A410,5)),Werte!C410,"not found")</f>
        <v>1.3333333333333299</v>
      </c>
      <c r="K410" s="4">
        <f>IF(AND(B410=Werte!B410,LEFT(A410,5)=LEFT(Werte!A410,5)),Werte!D410,"not found")</f>
        <v>1.94444444444444E-2</v>
      </c>
      <c r="L410" s="4">
        <f>IF(AND(B410=Werte!B410,LEFT(A410,5)=LEFT(Werte!A410,5)),Werte!E410,"not found")</f>
        <v>0.29032258064516098</v>
      </c>
      <c r="M410" s="4">
        <f>IF(AND(B410=Werte!B410,LEFT(A410,5)=LEFT(Werte!A410,5)),Werte!F410,"not found")</f>
        <v>0.65431990766178705</v>
      </c>
      <c r="N410" s="4" t="str">
        <f t="shared" si="13"/>
        <v>betrogener</v>
      </c>
      <c r="O410" s="4" cm="1">
        <f t="array" ref="O410">_xlfn.SWITCH(A410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10" s="4" t="str">
        <f>IF(Nodes[[#This Row],[Bezeichnung2]] = "betrueger",1,"")</f>
        <v/>
      </c>
      <c r="Q410" s="4">
        <f>IF(Nodes[[#This Row],[Bezeichnung2]] = "betrogener",2,"")</f>
        <v>2</v>
      </c>
      <c r="R410" s="4" t="str">
        <f>IF(Nodes[[#This Row],[Bezeichnung2]] = "liebender",3,"")</f>
        <v/>
      </c>
      <c r="S410" s="4" t="str">
        <f>IF(Nodes[[#This Row],[Bezeichnung2]] = "liebende",4,"")</f>
        <v/>
      </c>
      <c r="T410" s="4" t="str">
        <f>IF(Nodes[[#This Row],[Bezeichnung2]] = "gegenspieler",5,"")</f>
        <v/>
      </c>
    </row>
    <row r="411" spans="1:20" x14ac:dyDescent="0.3">
      <c r="A411" t="s">
        <v>851</v>
      </c>
      <c r="B411" t="s">
        <v>849</v>
      </c>
      <c r="C411" t="s">
        <v>18</v>
      </c>
      <c r="D411" t="s">
        <v>47</v>
      </c>
      <c r="E411" t="s">
        <v>47</v>
      </c>
      <c r="F411" t="s">
        <v>50</v>
      </c>
      <c r="G411" t="s">
        <v>22</v>
      </c>
      <c r="H411" t="str">
        <f t="shared" si="12"/>
        <v>unbekannt</v>
      </c>
      <c r="I411" t="str" cm="1">
        <f t="array" ref="I411">_xlfn.SWITCH(A411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11" s="4">
        <f>IF(AND(B411=Werte!B411,LEFT(A411,5)=LEFT(Werte!A411,5)),Werte!C411,"not found")</f>
        <v>1.1111111111111101</v>
      </c>
      <c r="K411" s="4">
        <f>IF(AND(B411=Werte!B411,LEFT(A411,5)=LEFT(Werte!A411,5)),Werte!D411,"not found")</f>
        <v>0.181018518518518</v>
      </c>
      <c r="L411" s="4">
        <f>IF(AND(B411=Werte!B411,LEFT(A411,5)=LEFT(Werte!A411,5)),Werte!E411,"not found")</f>
        <v>0.39130434782608697</v>
      </c>
      <c r="M411" s="4">
        <f>IF(AND(B411=Werte!B411,LEFT(A411,5)=LEFT(Werte!A411,5)),Werte!F411,"not found")</f>
        <v>0.38444313996726798</v>
      </c>
      <c r="N411" s="4" t="str">
        <f t="shared" si="13"/>
        <v>betrogener</v>
      </c>
      <c r="O411" s="4" cm="1">
        <f t="array" ref="O411">_xlfn.SWITCH(A411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11" s="4" t="str">
        <f>IF(Nodes[[#This Row],[Bezeichnung2]] = "betrueger",1,"")</f>
        <v/>
      </c>
      <c r="Q411" s="4">
        <f>IF(Nodes[[#This Row],[Bezeichnung2]] = "betrogener",2,"")</f>
        <v>2</v>
      </c>
      <c r="R411" s="4" t="str">
        <f>IF(Nodes[[#This Row],[Bezeichnung2]] = "liebender",3,"")</f>
        <v/>
      </c>
      <c r="S411" s="4" t="str">
        <f>IF(Nodes[[#This Row],[Bezeichnung2]] = "liebende",4,"")</f>
        <v/>
      </c>
      <c r="T411" s="4" t="str">
        <f>IF(Nodes[[#This Row],[Bezeichnung2]] = "gegenspieler",5,"")</f>
        <v/>
      </c>
    </row>
    <row r="412" spans="1:20" x14ac:dyDescent="0.3">
      <c r="A412" t="s">
        <v>851</v>
      </c>
      <c r="B412" t="s">
        <v>850</v>
      </c>
      <c r="C412" t="s">
        <v>46</v>
      </c>
      <c r="D412" t="s">
        <v>47</v>
      </c>
      <c r="E412" t="s">
        <v>47</v>
      </c>
      <c r="F412" t="s">
        <v>47</v>
      </c>
      <c r="G412" t="s">
        <v>26</v>
      </c>
      <c r="H412" t="str">
        <f t="shared" si="12"/>
        <v>unbekannt</v>
      </c>
      <c r="I412" t="str" cm="1">
        <f t="array" ref="I412">_xlfn.SWITCH(A412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12" s="4">
        <f>IF(AND(B412=Werte!B412,LEFT(A412,5)=LEFT(Werte!A412,5)),Werte!C412,"not found")</f>
        <v>0.66666666666666696</v>
      </c>
      <c r="K412" s="4">
        <f>IF(AND(B412=Werte!B412,LEFT(A412,5)=LEFT(Werte!A412,5)),Werte!D412,"not found")</f>
        <v>4.8611111111111098E-2</v>
      </c>
      <c r="L412" s="4">
        <f>IF(AND(B412=Werte!B412,LEFT(A412,5)=LEFT(Werte!A412,5)),Werte!E412,"not found")</f>
        <v>0.31034482758620702</v>
      </c>
      <c r="M412" s="4">
        <f>IF(AND(B412=Werte!B412,LEFT(A412,5)=LEFT(Werte!A412,5)),Werte!F412,"not found")</f>
        <v>0.16027544071918401</v>
      </c>
      <c r="N412" s="4" t="str">
        <f t="shared" si="13"/>
        <v>unbekannt</v>
      </c>
      <c r="O412" s="4" cm="1">
        <f t="array" ref="O412">_xlfn.SWITCH(A412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12" s="4" t="str">
        <f>IF(Nodes[[#This Row],[Bezeichnung2]] = "betrueger",1,"")</f>
        <v/>
      </c>
      <c r="Q412" s="4" t="str">
        <f>IF(Nodes[[#This Row],[Bezeichnung2]] = "betrogener",2,"")</f>
        <v/>
      </c>
      <c r="R412" s="4" t="str">
        <f>IF(Nodes[[#This Row],[Bezeichnung2]] = "liebender",3,"")</f>
        <v/>
      </c>
      <c r="S412" s="4" t="str">
        <f>IF(Nodes[[#This Row],[Bezeichnung2]] = "liebende",4,"")</f>
        <v/>
      </c>
      <c r="T412" s="4" t="str">
        <f>IF(Nodes[[#This Row],[Bezeichnung2]] = "gegenspieler",5,"")</f>
        <v/>
      </c>
    </row>
    <row r="413" spans="1:20" x14ac:dyDescent="0.3">
      <c r="A413" t="s">
        <v>412</v>
      </c>
      <c r="B413" t="s">
        <v>115</v>
      </c>
      <c r="C413" t="s">
        <v>18</v>
      </c>
      <c r="D413" t="s">
        <v>47</v>
      </c>
      <c r="E413" t="s">
        <v>47</v>
      </c>
      <c r="F413" t="s">
        <v>96</v>
      </c>
      <c r="G413" t="s">
        <v>22</v>
      </c>
      <c r="H413" t="str">
        <f t="shared" si="12"/>
        <v>unbekannt</v>
      </c>
      <c r="I413" t="str" cm="1">
        <f t="array" ref="I413">_xlfn.SWITCH(A413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413" s="4">
        <f>IF(AND(B413=Werte!B413,LEFT(A413,5)=LEFT(Werte!A413,5)),Werte!C413,"not found")</f>
        <v>2</v>
      </c>
      <c r="K413" s="4">
        <f>IF(AND(B413=Werte!B413,LEFT(A413,5)=LEFT(Werte!A413,5)),Werte!D413,"not found")</f>
        <v>0</v>
      </c>
      <c r="L413" s="4">
        <f>IF(AND(B413=Werte!B413,LEFT(A413,5)=LEFT(Werte!A413,5)),Werte!E413,"not found")</f>
        <v>0.5</v>
      </c>
      <c r="M413" s="4">
        <f>IF(AND(B413=Werte!B413,LEFT(A413,5)=LEFT(Werte!A413,5)),Werte!F413,"not found")</f>
        <v>1</v>
      </c>
      <c r="N413" s="4" t="str">
        <f t="shared" si="13"/>
        <v>betrueger</v>
      </c>
      <c r="O413" s="4" cm="1">
        <f t="array" ref="O413">_xlfn.SWITCH(A413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13" s="4">
        <f>IF(Nodes[[#This Row],[Bezeichnung2]] = "betrueger",1,"")</f>
        <v>1</v>
      </c>
      <c r="Q413" s="4" t="str">
        <f>IF(Nodes[[#This Row],[Bezeichnung2]] = "betrogener",2,"")</f>
        <v/>
      </c>
      <c r="R413" s="4" t="str">
        <f>IF(Nodes[[#This Row],[Bezeichnung2]] = "liebender",3,"")</f>
        <v/>
      </c>
      <c r="S413" s="4" t="str">
        <f>IF(Nodes[[#This Row],[Bezeichnung2]] = "liebende",4,"")</f>
        <v/>
      </c>
      <c r="T413" s="4" t="str">
        <f>IF(Nodes[[#This Row],[Bezeichnung2]] = "gegenspieler",5,"")</f>
        <v/>
      </c>
    </row>
    <row r="414" spans="1:20" x14ac:dyDescent="0.3">
      <c r="A414" t="s">
        <v>412</v>
      </c>
      <c r="B414" t="s">
        <v>413</v>
      </c>
      <c r="C414" t="s">
        <v>18</v>
      </c>
      <c r="D414" t="s">
        <v>414</v>
      </c>
      <c r="E414" t="s">
        <v>47</v>
      </c>
      <c r="F414" t="s">
        <v>93</v>
      </c>
      <c r="G414" t="s">
        <v>22</v>
      </c>
      <c r="H414" t="str">
        <f t="shared" si="12"/>
        <v>buergerlich</v>
      </c>
      <c r="I414" t="str" cm="1">
        <f t="array" ref="I414">_xlfn.SWITCH(A414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414" s="4">
        <f>IF(AND(B414=Werte!B414,LEFT(A414,5)=LEFT(Werte!A414,5)),Werte!C414,"not found")</f>
        <v>2</v>
      </c>
      <c r="K414" s="4">
        <f>IF(AND(B414=Werte!B414,LEFT(A414,5)=LEFT(Werte!A414,5)),Werte!D414,"not found")</f>
        <v>0</v>
      </c>
      <c r="L414" s="4">
        <f>IF(AND(B414=Werte!B414,LEFT(A414,5)=LEFT(Werte!A414,5)),Werte!E414,"not found")</f>
        <v>0.5</v>
      </c>
      <c r="M414" s="4">
        <f>IF(AND(B414=Werte!B414,LEFT(A414,5)=LEFT(Werte!A414,5)),Werte!F414,"not found")</f>
        <v>0.97376888933608796</v>
      </c>
      <c r="N414" s="4" t="str">
        <f t="shared" si="13"/>
        <v>betrogener</v>
      </c>
      <c r="O414" s="4" cm="1">
        <f t="array" ref="O414">_xlfn.SWITCH(A414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14" s="4" t="str">
        <f>IF(Nodes[[#This Row],[Bezeichnung2]] = "betrueger",1,"")</f>
        <v/>
      </c>
      <c r="Q414" s="4">
        <f>IF(Nodes[[#This Row],[Bezeichnung2]] = "betrogener",2,"")</f>
        <v>2</v>
      </c>
      <c r="R414" s="4" t="str">
        <f>IF(Nodes[[#This Row],[Bezeichnung2]] = "liebender",3,"")</f>
        <v/>
      </c>
      <c r="S414" s="4" t="str">
        <f>IF(Nodes[[#This Row],[Bezeichnung2]] = "liebende",4,"")</f>
        <v/>
      </c>
      <c r="T414" s="4" t="str">
        <f>IF(Nodes[[#This Row],[Bezeichnung2]] = "gegenspieler",5,"")</f>
        <v/>
      </c>
    </row>
    <row r="415" spans="1:20" x14ac:dyDescent="0.3">
      <c r="A415" t="s">
        <v>412</v>
      </c>
      <c r="B415" t="s">
        <v>415</v>
      </c>
      <c r="C415" t="s">
        <v>46</v>
      </c>
      <c r="D415" t="s">
        <v>47</v>
      </c>
      <c r="E415" t="s">
        <v>47</v>
      </c>
      <c r="F415" t="s">
        <v>53</v>
      </c>
      <c r="G415" t="s">
        <v>26</v>
      </c>
      <c r="H415" t="str">
        <f t="shared" si="12"/>
        <v>unbekannt</v>
      </c>
      <c r="I415" t="str" cm="1">
        <f t="array" ref="I415">_xlfn.SWITCH(A415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415" s="4">
        <f>IF(AND(B415=Werte!B415,LEFT(A415,5)=LEFT(Werte!A415,5)),Werte!C415,"not found")</f>
        <v>2</v>
      </c>
      <c r="K415" s="4">
        <f>IF(AND(B415=Werte!B415,LEFT(A415,5)=LEFT(Werte!A415,5)),Werte!D415,"not found")</f>
        <v>0</v>
      </c>
      <c r="L415" s="4">
        <f>IF(AND(B415=Werte!B415,LEFT(A415,5)=LEFT(Werte!A415,5)),Werte!E415,"not found")</f>
        <v>0.375</v>
      </c>
      <c r="M415" s="4">
        <f>IF(AND(B415=Werte!B415,LEFT(A415,5)=LEFT(Werte!A415,5)),Werte!F415,"not found")</f>
        <v>0.76755963250737502</v>
      </c>
      <c r="N415" s="4" t="str">
        <f t="shared" si="13"/>
        <v>helfer</v>
      </c>
      <c r="O415" s="4" cm="1">
        <f t="array" ref="O415">_xlfn.SWITCH(A415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15" s="4" t="str">
        <f>IF(Nodes[[#This Row],[Bezeichnung2]] = "betrueger",1,"")</f>
        <v/>
      </c>
      <c r="Q415" s="4" t="str">
        <f>IF(Nodes[[#This Row],[Bezeichnung2]] = "betrogener",2,"")</f>
        <v/>
      </c>
      <c r="R415" s="4" t="str">
        <f>IF(Nodes[[#This Row],[Bezeichnung2]] = "liebender",3,"")</f>
        <v/>
      </c>
      <c r="S415" s="4" t="str">
        <f>IF(Nodes[[#This Row],[Bezeichnung2]] = "liebende",4,"")</f>
        <v/>
      </c>
      <c r="T415" s="4" t="str">
        <f>IF(Nodes[[#This Row],[Bezeichnung2]] = "gegenspieler",5,"")</f>
        <v/>
      </c>
    </row>
    <row r="416" spans="1:20" x14ac:dyDescent="0.3">
      <c r="A416" t="s">
        <v>412</v>
      </c>
      <c r="B416" t="s">
        <v>416</v>
      </c>
      <c r="C416" t="s">
        <v>18</v>
      </c>
      <c r="D416" t="s">
        <v>47</v>
      </c>
      <c r="E416" t="s">
        <v>47</v>
      </c>
      <c r="F416" t="s">
        <v>47</v>
      </c>
      <c r="G416" t="s">
        <v>26</v>
      </c>
      <c r="H416" t="str">
        <f t="shared" si="12"/>
        <v>unbekannt</v>
      </c>
      <c r="I416" t="str" cm="1">
        <f t="array" ref="I416">_xlfn.SWITCH(A416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416" s="4">
        <f>IF(AND(B416=Werte!B416,LEFT(A416,5)=LEFT(Werte!A416,5)),Werte!C416,"not found")</f>
        <v>2</v>
      </c>
      <c r="K416" s="4">
        <f>IF(AND(B416=Werte!B416,LEFT(A416,5)=LEFT(Werte!A416,5)),Werte!D416,"not found")</f>
        <v>1</v>
      </c>
      <c r="L416" s="4">
        <f>IF(AND(B416=Werte!B416,LEFT(A416,5)=LEFT(Werte!A416,5)),Werte!E416,"not found")</f>
        <v>0.75</v>
      </c>
      <c r="M416" s="4">
        <f>IF(AND(B416=Werte!B416,LEFT(A416,5)=LEFT(Werte!A416,5)),Werte!F416,"not found")</f>
        <v>0.203279190560956</v>
      </c>
      <c r="N416" s="4" t="str">
        <f t="shared" si="13"/>
        <v>unbekannt</v>
      </c>
      <c r="O416" s="4" cm="1">
        <f t="array" ref="O416">_xlfn.SWITCH(A416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16" s="4" t="str">
        <f>IF(Nodes[[#This Row],[Bezeichnung2]] = "betrueger",1,"")</f>
        <v/>
      </c>
      <c r="Q416" s="4" t="str">
        <f>IF(Nodes[[#This Row],[Bezeichnung2]] = "betrogener",2,"")</f>
        <v/>
      </c>
      <c r="R416" s="4" t="str">
        <f>IF(Nodes[[#This Row],[Bezeichnung2]] = "liebender",3,"")</f>
        <v/>
      </c>
      <c r="S416" s="4" t="str">
        <f>IF(Nodes[[#This Row],[Bezeichnung2]] = "liebende",4,"")</f>
        <v/>
      </c>
      <c r="T416" s="4" t="str">
        <f>IF(Nodes[[#This Row],[Bezeichnung2]] = "gegenspieler",5,"")</f>
        <v/>
      </c>
    </row>
    <row r="417" spans="1:20" x14ac:dyDescent="0.3">
      <c r="A417" t="s">
        <v>431</v>
      </c>
      <c r="B417" t="s">
        <v>115</v>
      </c>
      <c r="C417" t="s">
        <v>18</v>
      </c>
      <c r="D417" t="s">
        <v>47</v>
      </c>
      <c r="E417" t="s">
        <v>47</v>
      </c>
      <c r="F417" t="s">
        <v>50</v>
      </c>
      <c r="G417" t="s">
        <v>22</v>
      </c>
      <c r="H417" t="str">
        <f t="shared" si="12"/>
        <v>unbekannt</v>
      </c>
      <c r="I417" t="str" cm="1">
        <f t="array" ref="I417">_xlfn.SWITCH(A417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17" s="4">
        <f>IF(AND(B417=Werte!B417,LEFT(A417,5)=LEFT(Werte!A417,5)),Werte!C417,"not found")</f>
        <v>2</v>
      </c>
      <c r="K417" s="4">
        <f>IF(AND(B417=Werte!B417,LEFT(A417,5)=LEFT(Werte!A417,5)),Werte!D417,"not found")</f>
        <v>0.3</v>
      </c>
      <c r="L417" s="4">
        <f>IF(AND(B417=Werte!B417,LEFT(A417,5)=LEFT(Werte!A417,5)),Werte!E417,"not found")</f>
        <v>0.3125</v>
      </c>
      <c r="M417" s="4">
        <f>IF(AND(B417=Werte!B417,LEFT(A417,5)=LEFT(Werte!A417,5)),Werte!F417,"not found")</f>
        <v>1</v>
      </c>
      <c r="N417" s="4" t="str">
        <f t="shared" si="13"/>
        <v>betrogener</v>
      </c>
      <c r="O417" s="4" cm="1">
        <f t="array" ref="O417">_xlfn.SWITCH(A417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17" s="4" t="str">
        <f>IF(Nodes[[#This Row],[Bezeichnung2]] = "betrueger",1,"")</f>
        <v/>
      </c>
      <c r="Q417" s="4">
        <f>IF(Nodes[[#This Row],[Bezeichnung2]] = "betrogener",2,"")</f>
        <v>2</v>
      </c>
      <c r="R417" s="4" t="str">
        <f>IF(Nodes[[#This Row],[Bezeichnung2]] = "liebender",3,"")</f>
        <v/>
      </c>
      <c r="S417" s="4" t="str">
        <f>IF(Nodes[[#This Row],[Bezeichnung2]] = "liebende",4,"")</f>
        <v/>
      </c>
      <c r="T417" s="4" t="str">
        <f>IF(Nodes[[#This Row],[Bezeichnung2]] = "gegenspieler",5,"")</f>
        <v/>
      </c>
    </row>
    <row r="418" spans="1:20" x14ac:dyDescent="0.3">
      <c r="A418" t="s">
        <v>431</v>
      </c>
      <c r="B418" t="s">
        <v>85</v>
      </c>
      <c r="C418" t="s">
        <v>24</v>
      </c>
      <c r="D418" t="s">
        <v>47</v>
      </c>
      <c r="E418" t="s">
        <v>47</v>
      </c>
      <c r="F418" t="s">
        <v>55</v>
      </c>
      <c r="G418" t="s">
        <v>22</v>
      </c>
      <c r="H418" t="str">
        <f t="shared" si="12"/>
        <v>unbekannt</v>
      </c>
      <c r="I418" t="str" cm="1">
        <f t="array" ref="I418">_xlfn.SWITCH(A418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18" s="4">
        <f>IF(AND(B418=Werte!B418,LEFT(A418,5)=LEFT(Werte!A418,5)),Werte!C418,"not found")</f>
        <v>2</v>
      </c>
      <c r="K418" s="4">
        <f>IF(AND(B418=Werte!B418,LEFT(A418,5)=LEFT(Werte!A418,5)),Werte!D418,"not found")</f>
        <v>0</v>
      </c>
      <c r="L418" s="4">
        <f>IF(AND(B418=Werte!B418,LEFT(A418,5)=LEFT(Werte!A418,5)),Werte!E418,"not found")</f>
        <v>0.29411764705882398</v>
      </c>
      <c r="M418" s="4">
        <f>IF(AND(B418=Werte!B418,LEFT(A418,5)=LEFT(Werte!A418,5)),Werte!F418,"not found")</f>
        <v>0.98923123871989205</v>
      </c>
      <c r="N418" s="4" t="str">
        <f t="shared" si="13"/>
        <v>betrueger</v>
      </c>
      <c r="O418" s="4" cm="1">
        <f t="array" ref="O418">_xlfn.SWITCH(A418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18" s="4">
        <f>IF(Nodes[[#This Row],[Bezeichnung2]] = "betrueger",1,"")</f>
        <v>1</v>
      </c>
      <c r="Q418" s="4" t="str">
        <f>IF(Nodes[[#This Row],[Bezeichnung2]] = "betrogener",2,"")</f>
        <v/>
      </c>
      <c r="R418" s="4" t="str">
        <f>IF(Nodes[[#This Row],[Bezeichnung2]] = "liebender",3,"")</f>
        <v/>
      </c>
      <c r="S418" s="4" t="str">
        <f>IF(Nodes[[#This Row],[Bezeichnung2]] = "liebende",4,"")</f>
        <v/>
      </c>
      <c r="T418" s="4" t="str">
        <f>IF(Nodes[[#This Row],[Bezeichnung2]] = "gegenspieler",5,"")</f>
        <v/>
      </c>
    </row>
    <row r="419" spans="1:20" x14ac:dyDescent="0.3">
      <c r="A419" t="s">
        <v>431</v>
      </c>
      <c r="B419" t="s">
        <v>432</v>
      </c>
      <c r="C419" t="s">
        <v>24</v>
      </c>
      <c r="D419" t="s">
        <v>47</v>
      </c>
      <c r="E419" t="s">
        <v>47</v>
      </c>
      <c r="F419" t="s">
        <v>53</v>
      </c>
      <c r="G419" t="s">
        <v>26</v>
      </c>
      <c r="H419" t="str">
        <f t="shared" si="12"/>
        <v>unbekannt</v>
      </c>
      <c r="I419" t="str" cm="1">
        <f t="array" ref="I419">_xlfn.SWITCH(A419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19" s="4">
        <f>IF(AND(B419=Werte!B419,LEFT(A419,5)=LEFT(Werte!A419,5)),Werte!C419,"not found")</f>
        <v>0.8</v>
      </c>
      <c r="K419" s="4">
        <f>IF(AND(B419=Werte!B419,LEFT(A419,5)=LEFT(Werte!A419,5)),Werte!D419,"not found")</f>
        <v>0.1</v>
      </c>
      <c r="L419" s="4">
        <f>IF(AND(B419=Werte!B419,LEFT(A419,5)=LEFT(Werte!A419,5)),Werte!E419,"not found")</f>
        <v>0.27777777777777801</v>
      </c>
      <c r="M419" s="4">
        <f>IF(AND(B419=Werte!B419,LEFT(A419,5)=LEFT(Werte!A419,5)),Werte!F419,"not found")</f>
        <v>0.12875531469443099</v>
      </c>
      <c r="N419" s="4" t="str">
        <f t="shared" si="13"/>
        <v>helfer</v>
      </c>
      <c r="O419" s="4" cm="1">
        <f t="array" ref="O419">_xlfn.SWITCH(A419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19" s="4" t="str">
        <f>IF(Nodes[[#This Row],[Bezeichnung2]] = "betrueger",1,"")</f>
        <v/>
      </c>
      <c r="Q419" s="4" t="str">
        <f>IF(Nodes[[#This Row],[Bezeichnung2]] = "betrogener",2,"")</f>
        <v/>
      </c>
      <c r="R419" s="4" t="str">
        <f>IF(Nodes[[#This Row],[Bezeichnung2]] = "liebender",3,"")</f>
        <v/>
      </c>
      <c r="S419" s="4" t="str">
        <f>IF(Nodes[[#This Row],[Bezeichnung2]] = "liebende",4,"")</f>
        <v/>
      </c>
      <c r="T419" s="4" t="str">
        <f>IF(Nodes[[#This Row],[Bezeichnung2]] = "gegenspieler",5,"")</f>
        <v/>
      </c>
    </row>
    <row r="420" spans="1:20" x14ac:dyDescent="0.3">
      <c r="A420" t="s">
        <v>431</v>
      </c>
      <c r="B420" t="s">
        <v>734</v>
      </c>
      <c r="C420" t="s">
        <v>46</v>
      </c>
      <c r="D420" t="s">
        <v>47</v>
      </c>
      <c r="E420" t="s">
        <v>47</v>
      </c>
      <c r="F420" t="s">
        <v>47</v>
      </c>
      <c r="G420" t="s">
        <v>26</v>
      </c>
      <c r="H420" t="str">
        <f t="shared" si="12"/>
        <v>unbekannt</v>
      </c>
      <c r="I420" t="str" cm="1">
        <f t="array" ref="I420">_xlfn.SWITCH(A420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20" s="4">
        <f>IF(AND(B420=Werte!B420,LEFT(A420,5)=LEFT(Werte!A420,5)),Werte!C420,"not found")</f>
        <v>1.6</v>
      </c>
      <c r="K420" s="4">
        <f>IF(AND(B420=Werte!B420,LEFT(A420,5)=LEFT(Werte!A420,5)),Werte!D420,"not found")</f>
        <v>0.25</v>
      </c>
      <c r="L420" s="4">
        <f>IF(AND(B420=Werte!B420,LEFT(A420,5)=LEFT(Werte!A420,5)),Werte!E420,"not found")</f>
        <v>0.35714285714285698</v>
      </c>
      <c r="M420" s="4">
        <f>IF(AND(B420=Werte!B420,LEFT(A420,5)=LEFT(Werte!A420,5)),Werte!F420,"not found")</f>
        <v>0.345080753859143</v>
      </c>
      <c r="N420" s="4" t="str">
        <f t="shared" si="13"/>
        <v>unbekannt</v>
      </c>
      <c r="O420" s="4" cm="1">
        <f t="array" ref="O420">_xlfn.SWITCH(A420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20" s="4" t="str">
        <f>IF(Nodes[[#This Row],[Bezeichnung2]] = "betrueger",1,"")</f>
        <v/>
      </c>
      <c r="Q420" s="4" t="str">
        <f>IF(Nodes[[#This Row],[Bezeichnung2]] = "betrogener",2,"")</f>
        <v/>
      </c>
      <c r="R420" s="4" t="str">
        <f>IF(Nodes[[#This Row],[Bezeichnung2]] = "liebender",3,"")</f>
        <v/>
      </c>
      <c r="S420" s="4" t="str">
        <f>IF(Nodes[[#This Row],[Bezeichnung2]] = "liebende",4,"")</f>
        <v/>
      </c>
      <c r="T420" s="4" t="str">
        <f>IF(Nodes[[#This Row],[Bezeichnung2]] = "gegenspieler",5,"")</f>
        <v/>
      </c>
    </row>
    <row r="421" spans="1:20" x14ac:dyDescent="0.3">
      <c r="A421" t="s">
        <v>431</v>
      </c>
      <c r="B421" t="s">
        <v>433</v>
      </c>
      <c r="C421" t="s">
        <v>46</v>
      </c>
      <c r="D421" t="s">
        <v>434</v>
      </c>
      <c r="E421" t="s">
        <v>47</v>
      </c>
      <c r="F421" t="s">
        <v>47</v>
      </c>
      <c r="G421" t="s">
        <v>26</v>
      </c>
      <c r="H421" t="str">
        <f t="shared" si="12"/>
        <v>unbekannt</v>
      </c>
      <c r="I421" t="str" cm="1">
        <f t="array" ref="I421">_xlfn.SWITCH(A421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21" s="4">
        <f>IF(AND(B421=Werte!B421,LEFT(A421,5)=LEFT(Werte!A421,5)),Werte!C421,"not found")</f>
        <v>1.6</v>
      </c>
      <c r="K421" s="4">
        <f>IF(AND(B421=Werte!B421,LEFT(A421,5)=LEFT(Werte!A421,5)),Werte!D421,"not found")</f>
        <v>0</v>
      </c>
      <c r="L421" s="4">
        <f>IF(AND(B421=Werte!B421,LEFT(A421,5)=LEFT(Werte!A421,5)),Werte!E421,"not found")</f>
        <v>0.238095238095238</v>
      </c>
      <c r="M421" s="4">
        <f>IF(AND(B421=Werte!B421,LEFT(A421,5)=LEFT(Werte!A421,5)),Werte!F421,"not found")</f>
        <v>0.56093514929539601</v>
      </c>
      <c r="N421" s="4" t="str">
        <f t="shared" si="13"/>
        <v>unbekannt</v>
      </c>
      <c r="O421" s="4" cm="1">
        <f t="array" ref="O421">_xlfn.SWITCH(A421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21" s="4" t="str">
        <f>IF(Nodes[[#This Row],[Bezeichnung2]] = "betrueger",1,"")</f>
        <v/>
      </c>
      <c r="Q421" s="4" t="str">
        <f>IF(Nodes[[#This Row],[Bezeichnung2]] = "betrogener",2,"")</f>
        <v/>
      </c>
      <c r="R421" s="4" t="str">
        <f>IF(Nodes[[#This Row],[Bezeichnung2]] = "liebender",3,"")</f>
        <v/>
      </c>
      <c r="S421" s="4" t="str">
        <f>IF(Nodes[[#This Row],[Bezeichnung2]] = "liebende",4,"")</f>
        <v/>
      </c>
      <c r="T421" s="4" t="str">
        <f>IF(Nodes[[#This Row],[Bezeichnung2]] = "gegenspieler",5,"")</f>
        <v/>
      </c>
    </row>
    <row r="422" spans="1:20" x14ac:dyDescent="0.3">
      <c r="A422" t="s">
        <v>431</v>
      </c>
      <c r="B422" t="s">
        <v>435</v>
      </c>
      <c r="C422" t="s">
        <v>46</v>
      </c>
      <c r="D422" t="s">
        <v>434</v>
      </c>
      <c r="E422" t="s">
        <v>47</v>
      </c>
      <c r="F422" t="s">
        <v>47</v>
      </c>
      <c r="G422" t="s">
        <v>26</v>
      </c>
      <c r="H422" t="str">
        <f t="shared" si="12"/>
        <v>unbekannt</v>
      </c>
      <c r="I422" t="str" cm="1">
        <f t="array" ref="I422">_xlfn.SWITCH(A422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22" s="4">
        <f>IF(AND(B422=Werte!B422,LEFT(A422,5)=LEFT(Werte!A422,5)),Werte!C422,"not found")</f>
        <v>1.6</v>
      </c>
      <c r="K422" s="4">
        <f>IF(AND(B422=Werte!B422,LEFT(A422,5)=LEFT(Werte!A422,5)),Werte!D422,"not found")</f>
        <v>0</v>
      </c>
      <c r="L422" s="4">
        <f>IF(AND(B422=Werte!B422,LEFT(A422,5)=LEFT(Werte!A422,5)),Werte!E422,"not found")</f>
        <v>0.27777777777777801</v>
      </c>
      <c r="M422" s="4">
        <f>IF(AND(B422=Werte!B422,LEFT(A422,5)=LEFT(Werte!A422,5)),Werte!F422,"not found")</f>
        <v>0.44654867864479197</v>
      </c>
      <c r="N422" s="4" t="str">
        <f t="shared" si="13"/>
        <v>unbekannt</v>
      </c>
      <c r="O422" s="4" cm="1">
        <f t="array" ref="O422">_xlfn.SWITCH(A422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22" s="4" t="str">
        <f>IF(Nodes[[#This Row],[Bezeichnung2]] = "betrueger",1,"")</f>
        <v/>
      </c>
      <c r="Q422" s="4" t="str">
        <f>IF(Nodes[[#This Row],[Bezeichnung2]] = "betrogener",2,"")</f>
        <v/>
      </c>
      <c r="R422" s="4" t="str">
        <f>IF(Nodes[[#This Row],[Bezeichnung2]] = "liebender",3,"")</f>
        <v/>
      </c>
      <c r="S422" s="4" t="str">
        <f>IF(Nodes[[#This Row],[Bezeichnung2]] = "liebende",4,"")</f>
        <v/>
      </c>
      <c r="T422" s="4" t="str">
        <f>IF(Nodes[[#This Row],[Bezeichnung2]] = "gegenspieler",5,"")</f>
        <v/>
      </c>
    </row>
    <row r="423" spans="1:20" x14ac:dyDescent="0.3">
      <c r="A423" t="s">
        <v>417</v>
      </c>
      <c r="B423" t="s">
        <v>115</v>
      </c>
      <c r="C423" t="s">
        <v>18</v>
      </c>
      <c r="D423" t="s">
        <v>47</v>
      </c>
      <c r="E423" t="s">
        <v>47</v>
      </c>
      <c r="F423" t="s">
        <v>418</v>
      </c>
      <c r="G423" t="s">
        <v>22</v>
      </c>
      <c r="H423" t="str">
        <f t="shared" si="12"/>
        <v>unbekannt</v>
      </c>
      <c r="I423" t="str" cm="1">
        <f t="array" ref="I423">_xlfn.SWITCH(A423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23" s="4">
        <f>IF(AND(B423=Werte!B423,LEFT(A423,5)=LEFT(Werte!A423,5)),Werte!C423,"not found")</f>
        <v>2</v>
      </c>
      <c r="K423" s="4">
        <f>IF(AND(B423=Werte!B423,LEFT(A423,5)=LEFT(Werte!A423,5)),Werte!D423,"not found")</f>
        <v>0.58796296296296302</v>
      </c>
      <c r="L423" s="4">
        <f>IF(AND(B423=Werte!B423,LEFT(A423,5)=LEFT(Werte!A423,5)),Werte!E423,"not found")</f>
        <v>0.47368421052631599</v>
      </c>
      <c r="M423" s="4">
        <f>IF(AND(B423=Werte!B423,LEFT(A423,5)=LEFT(Werte!A423,5)),Werte!F423,"not found")</f>
        <v>1</v>
      </c>
      <c r="N423" s="4" t="str">
        <f t="shared" si="13"/>
        <v>betrogener</v>
      </c>
      <c r="O423" s="4" cm="1">
        <f t="array" ref="O423">_xlfn.SWITCH(A423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23" s="4" t="str">
        <f>IF(Nodes[[#This Row],[Bezeichnung2]] = "betrueger",1,"")</f>
        <v/>
      </c>
      <c r="Q423" s="4">
        <f>IF(Nodes[[#This Row],[Bezeichnung2]] = "betrogener",2,"")</f>
        <v>2</v>
      </c>
      <c r="R423" s="4" t="str">
        <f>IF(Nodes[[#This Row],[Bezeichnung2]] = "liebender",3,"")</f>
        <v/>
      </c>
      <c r="S423" s="4" t="str">
        <f>IF(Nodes[[#This Row],[Bezeichnung2]] = "liebende",4,"")</f>
        <v/>
      </c>
      <c r="T423" s="4" t="str">
        <f>IF(Nodes[[#This Row],[Bezeichnung2]] = "gegenspieler",5,"")</f>
        <v/>
      </c>
    </row>
    <row r="424" spans="1:20" x14ac:dyDescent="0.3">
      <c r="A424" t="s">
        <v>417</v>
      </c>
      <c r="B424" t="s">
        <v>85</v>
      </c>
      <c r="C424" t="s">
        <v>24</v>
      </c>
      <c r="D424" t="s">
        <v>47</v>
      </c>
      <c r="E424" t="s">
        <v>47</v>
      </c>
      <c r="F424" t="s">
        <v>162</v>
      </c>
      <c r="G424" t="s">
        <v>22</v>
      </c>
      <c r="H424" t="str">
        <f t="shared" si="12"/>
        <v>unbekannt</v>
      </c>
      <c r="I424" t="str" cm="1">
        <f t="array" ref="I424">_xlfn.SWITCH(A424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24" s="4">
        <f>IF(AND(B424=Werte!B424,LEFT(A424,5)=LEFT(Werte!A424,5)),Werte!C424,"not found")</f>
        <v>0.66666666666666696</v>
      </c>
      <c r="K424" s="4">
        <f>IF(AND(B424=Werte!B424,LEFT(A424,5)=LEFT(Werte!A424,5)),Werte!D424,"not found")</f>
        <v>4.6296296296296301E-2</v>
      </c>
      <c r="L424" s="4">
        <f>IF(AND(B424=Werte!B424,LEFT(A424,5)=LEFT(Werte!A424,5)),Werte!E424,"not found")</f>
        <v>0.33333333333333298</v>
      </c>
      <c r="M424" s="4">
        <f>IF(AND(B424=Werte!B424,LEFT(A424,5)=LEFT(Werte!A424,5)),Werte!F424,"not found")</f>
        <v>0.577589939030275</v>
      </c>
      <c r="N424" s="4" t="str">
        <f t="shared" si="13"/>
        <v>betrogener</v>
      </c>
      <c r="O424" s="4" cm="1">
        <f t="array" ref="O424">_xlfn.SWITCH(A424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24" s="4" t="str">
        <f>IF(Nodes[[#This Row],[Bezeichnung2]] = "betrueger",1,"")</f>
        <v/>
      </c>
      <c r="Q424" s="4">
        <f>IF(Nodes[[#This Row],[Bezeichnung2]] = "betrogener",2,"")</f>
        <v>2</v>
      </c>
      <c r="R424" s="4" t="str">
        <f>IF(Nodes[[#This Row],[Bezeichnung2]] = "liebender",3,"")</f>
        <v/>
      </c>
      <c r="S424" s="4" t="str">
        <f>IF(Nodes[[#This Row],[Bezeichnung2]] = "liebende",4,"")</f>
        <v/>
      </c>
      <c r="T424" s="4" t="str">
        <f>IF(Nodes[[#This Row],[Bezeichnung2]] = "gegenspieler",5,"")</f>
        <v/>
      </c>
    </row>
    <row r="425" spans="1:20" x14ac:dyDescent="0.3">
      <c r="A425" t="s">
        <v>417</v>
      </c>
      <c r="B425" t="s">
        <v>419</v>
      </c>
      <c r="C425" t="s">
        <v>24</v>
      </c>
      <c r="D425" t="s">
        <v>47</v>
      </c>
      <c r="E425" t="s">
        <v>47</v>
      </c>
      <c r="F425" t="s">
        <v>96</v>
      </c>
      <c r="G425" t="s">
        <v>22</v>
      </c>
      <c r="H425" t="str">
        <f t="shared" si="12"/>
        <v>unbekannt</v>
      </c>
      <c r="I425" t="str" cm="1">
        <f t="array" ref="I425">_xlfn.SWITCH(A425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25" s="4">
        <f>IF(AND(B425=Werte!B425,LEFT(A425,5)=LEFT(Werte!A425,5)),Werte!C425,"not found")</f>
        <v>1.1111111111111101</v>
      </c>
      <c r="K425" s="4">
        <f>IF(AND(B425=Werte!B425,LEFT(A425,5)=LEFT(Werte!A425,5)),Werte!D425,"not found")</f>
        <v>0.29166666666666702</v>
      </c>
      <c r="L425" s="4">
        <f>IF(AND(B425=Werte!B425,LEFT(A425,5)=LEFT(Werte!A425,5)),Werte!E425,"not found")</f>
        <v>0.39130434782608697</v>
      </c>
      <c r="M425" s="4">
        <f>IF(AND(B425=Werte!B425,LEFT(A425,5)=LEFT(Werte!A425,5)),Werte!F425,"not found")</f>
        <v>0.53929299768885397</v>
      </c>
      <c r="N425" s="4" t="str">
        <f t="shared" si="13"/>
        <v>betrueger</v>
      </c>
      <c r="O425" s="4" cm="1">
        <f t="array" ref="O425">_xlfn.SWITCH(A425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25" s="4">
        <f>IF(Nodes[[#This Row],[Bezeichnung2]] = "betrueger",1,"")</f>
        <v>1</v>
      </c>
      <c r="Q425" s="4" t="str">
        <f>IF(Nodes[[#This Row],[Bezeichnung2]] = "betrogener",2,"")</f>
        <v/>
      </c>
      <c r="R425" s="4" t="str">
        <f>IF(Nodes[[#This Row],[Bezeichnung2]] = "liebender",3,"")</f>
        <v/>
      </c>
      <c r="S425" s="4" t="str">
        <f>IF(Nodes[[#This Row],[Bezeichnung2]] = "liebende",4,"")</f>
        <v/>
      </c>
      <c r="T425" s="4" t="str">
        <f>IF(Nodes[[#This Row],[Bezeichnung2]] = "gegenspieler",5,"")</f>
        <v/>
      </c>
    </row>
    <row r="426" spans="1:20" x14ac:dyDescent="0.3">
      <c r="A426" t="s">
        <v>417</v>
      </c>
      <c r="B426" t="s">
        <v>420</v>
      </c>
      <c r="C426" t="s">
        <v>24</v>
      </c>
      <c r="D426" t="s">
        <v>47</v>
      </c>
      <c r="E426" t="s">
        <v>47</v>
      </c>
      <c r="F426" t="s">
        <v>96</v>
      </c>
      <c r="G426" t="s">
        <v>22</v>
      </c>
      <c r="H426" t="str">
        <f t="shared" si="12"/>
        <v>unbekannt</v>
      </c>
      <c r="I426" t="str" cm="1">
        <f t="array" ref="I426">_xlfn.SWITCH(A426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26" s="4">
        <f>IF(AND(B426=Werte!B426,LEFT(A426,5)=LEFT(Werte!A426,5)),Werte!C426,"not found")</f>
        <v>1.1111111111111101</v>
      </c>
      <c r="K426" s="4">
        <f>IF(AND(B426=Werte!B426,LEFT(A426,5)=LEFT(Werte!A426,5)),Werte!D426,"not found")</f>
        <v>0.148148148148148</v>
      </c>
      <c r="L426" s="4">
        <f>IF(AND(B426=Werte!B426,LEFT(A426,5)=LEFT(Werte!A426,5)),Werte!E426,"not found")</f>
        <v>0.39130434782608697</v>
      </c>
      <c r="M426" s="4">
        <f>IF(AND(B426=Werte!B426,LEFT(A426,5)=LEFT(Werte!A426,5)),Werte!F426,"not found")</f>
        <v>0.66598735349279603</v>
      </c>
      <c r="N426" s="4" t="str">
        <f t="shared" si="13"/>
        <v>betrueger</v>
      </c>
      <c r="O426" s="4" cm="1">
        <f t="array" ref="O426">_xlfn.SWITCH(A426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26" s="4">
        <f>IF(Nodes[[#This Row],[Bezeichnung2]] = "betrueger",1,"")</f>
        <v>1</v>
      </c>
      <c r="Q426" s="4" t="str">
        <f>IF(Nodes[[#This Row],[Bezeichnung2]] = "betrogener",2,"")</f>
        <v/>
      </c>
      <c r="R426" s="4" t="str">
        <f>IF(Nodes[[#This Row],[Bezeichnung2]] = "liebender",3,"")</f>
        <v/>
      </c>
      <c r="S426" s="4" t="str">
        <f>IF(Nodes[[#This Row],[Bezeichnung2]] = "liebende",4,"")</f>
        <v/>
      </c>
      <c r="T426" s="4" t="str">
        <f>IF(Nodes[[#This Row],[Bezeichnung2]] = "gegenspieler",5,"")</f>
        <v/>
      </c>
    </row>
    <row r="427" spans="1:20" x14ac:dyDescent="0.3">
      <c r="A427" t="s">
        <v>417</v>
      </c>
      <c r="B427" t="s">
        <v>421</v>
      </c>
      <c r="C427" t="s">
        <v>18</v>
      </c>
      <c r="D427" t="s">
        <v>47</v>
      </c>
      <c r="E427" t="s">
        <v>47</v>
      </c>
      <c r="F427" t="s">
        <v>47</v>
      </c>
      <c r="G427" t="s">
        <v>26</v>
      </c>
      <c r="H427" t="str">
        <f t="shared" si="12"/>
        <v>unbekannt</v>
      </c>
      <c r="I427" t="str" cm="1">
        <f t="array" ref="I427">_xlfn.SWITCH(A427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27" s="4">
        <f>IF(AND(B427=Werte!B427,LEFT(A427,5)=LEFT(Werte!A427,5)),Werte!C427,"not found")</f>
        <v>0.66666666666666696</v>
      </c>
      <c r="K427" s="4">
        <f>IF(AND(B427=Werte!B427,LEFT(A427,5)=LEFT(Werte!A427,5)),Werte!D427,"not found")</f>
        <v>0.50925925925925897</v>
      </c>
      <c r="L427" s="4">
        <f>IF(AND(B427=Werte!B427,LEFT(A427,5)=LEFT(Werte!A427,5)),Werte!E427,"not found")</f>
        <v>0.47368421052631599</v>
      </c>
      <c r="M427" s="4">
        <f>IF(AND(B427=Werte!B427,LEFT(A427,5)=LEFT(Werte!A427,5)),Werte!F427,"not found")</f>
        <v>8.3770092636581001E-2</v>
      </c>
      <c r="N427" s="4" t="str">
        <f t="shared" si="13"/>
        <v>unbekannt</v>
      </c>
      <c r="O427" s="4" cm="1">
        <f t="array" ref="O427">_xlfn.SWITCH(A427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27" s="4" t="str">
        <f>IF(Nodes[[#This Row],[Bezeichnung2]] = "betrueger",1,"")</f>
        <v/>
      </c>
      <c r="Q427" s="4" t="str">
        <f>IF(Nodes[[#This Row],[Bezeichnung2]] = "betrogener",2,"")</f>
        <v/>
      </c>
      <c r="R427" s="4" t="str">
        <f>IF(Nodes[[#This Row],[Bezeichnung2]] = "liebender",3,"")</f>
        <v/>
      </c>
      <c r="S427" s="4" t="str">
        <f>IF(Nodes[[#This Row],[Bezeichnung2]] = "liebende",4,"")</f>
        <v/>
      </c>
      <c r="T427" s="4" t="str">
        <f>IF(Nodes[[#This Row],[Bezeichnung2]] = "gegenspieler",5,"")</f>
        <v/>
      </c>
    </row>
    <row r="428" spans="1:20" x14ac:dyDescent="0.3">
      <c r="A428" t="s">
        <v>417</v>
      </c>
      <c r="B428" t="s">
        <v>289</v>
      </c>
      <c r="C428" t="s">
        <v>18</v>
      </c>
      <c r="D428" t="s">
        <v>47</v>
      </c>
      <c r="E428" t="s">
        <v>47</v>
      </c>
      <c r="F428" t="s">
        <v>47</v>
      </c>
      <c r="G428" t="s">
        <v>26</v>
      </c>
      <c r="H428" t="str">
        <f t="shared" si="12"/>
        <v>unbekannt</v>
      </c>
      <c r="I428" t="str" cm="1">
        <f t="array" ref="I428">_xlfn.SWITCH(A428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28" s="4">
        <f>IF(AND(B428=Werte!B428,LEFT(A428,5)=LEFT(Werte!A428,5)),Werte!C428,"not found")</f>
        <v>0.22222222222222199</v>
      </c>
      <c r="K428" s="4">
        <f>IF(AND(B428=Werte!B428,LEFT(A428,5)=LEFT(Werte!A428,5)),Werte!D428,"not found")</f>
        <v>0</v>
      </c>
      <c r="L428" s="4">
        <f>IF(AND(B428=Werte!B428,LEFT(A428,5)=LEFT(Werte!A428,5)),Werte!E428,"not found")</f>
        <v>0.33333333333333298</v>
      </c>
      <c r="M428" s="4">
        <f>IF(AND(B428=Werte!B428,LEFT(A428,5)=LEFT(Werte!A428,5)),Werte!F428,"not found")</f>
        <v>3.7986142030284102E-2</v>
      </c>
      <c r="N428" s="4" t="str">
        <f t="shared" si="13"/>
        <v>unbekannt</v>
      </c>
      <c r="O428" s="4" cm="1">
        <f t="array" ref="O428">_xlfn.SWITCH(A428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28" s="4" t="str">
        <f>IF(Nodes[[#This Row],[Bezeichnung2]] = "betrueger",1,"")</f>
        <v/>
      </c>
      <c r="Q428" s="4" t="str">
        <f>IF(Nodes[[#This Row],[Bezeichnung2]] = "betrogener",2,"")</f>
        <v/>
      </c>
      <c r="R428" s="4" t="str">
        <f>IF(Nodes[[#This Row],[Bezeichnung2]] = "liebender",3,"")</f>
        <v/>
      </c>
      <c r="S428" s="4" t="str">
        <f>IF(Nodes[[#This Row],[Bezeichnung2]] = "liebende",4,"")</f>
        <v/>
      </c>
      <c r="T428" s="4" t="str">
        <f>IF(Nodes[[#This Row],[Bezeichnung2]] = "gegenspieler",5,"")</f>
        <v/>
      </c>
    </row>
    <row r="429" spans="1:20" x14ac:dyDescent="0.3">
      <c r="A429" t="s">
        <v>417</v>
      </c>
      <c r="B429" t="s">
        <v>422</v>
      </c>
      <c r="C429" t="s">
        <v>18</v>
      </c>
      <c r="D429" t="s">
        <v>47</v>
      </c>
      <c r="E429" t="s">
        <v>47</v>
      </c>
      <c r="F429" t="s">
        <v>71</v>
      </c>
      <c r="G429" t="s">
        <v>26</v>
      </c>
      <c r="H429" t="str">
        <f t="shared" si="12"/>
        <v>unbekannt</v>
      </c>
      <c r="I429" t="str" cm="1">
        <f t="array" ref="I429">_xlfn.SWITCH(A429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29" s="4">
        <f>IF(AND(B429=Werte!B429,LEFT(A429,5)=LEFT(Werte!A429,5)),Werte!C429,"not found")</f>
        <v>0.44444444444444398</v>
      </c>
      <c r="K429" s="4">
        <f>IF(AND(B429=Werte!B429,LEFT(A429,5)=LEFT(Werte!A429,5)),Werte!D429,"not found")</f>
        <v>0</v>
      </c>
      <c r="L429" s="4">
        <f>IF(AND(B429=Werte!B429,LEFT(A429,5)=LEFT(Werte!A429,5)),Werte!E429,"not found")</f>
        <v>0.27272727272727298</v>
      </c>
      <c r="M429" s="4">
        <f>IF(AND(B429=Werte!B429,LEFT(A429,5)=LEFT(Werte!A429,5)),Werte!F429,"not found")</f>
        <v>8.2218620448337401E-2</v>
      </c>
      <c r="N429" s="4" t="str">
        <f t="shared" si="13"/>
        <v>gegner</v>
      </c>
      <c r="O429" s="4" cm="1">
        <f t="array" ref="O429">_xlfn.SWITCH(A429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29" s="4" t="str">
        <f>IF(Nodes[[#This Row],[Bezeichnung2]] = "betrueger",1,"")</f>
        <v/>
      </c>
      <c r="Q429" s="4" t="str">
        <f>IF(Nodes[[#This Row],[Bezeichnung2]] = "betrogener",2,"")</f>
        <v/>
      </c>
      <c r="R429" s="4" t="str">
        <f>IF(Nodes[[#This Row],[Bezeichnung2]] = "liebender",3,"")</f>
        <v/>
      </c>
      <c r="S429" s="4" t="str">
        <f>IF(Nodes[[#This Row],[Bezeichnung2]] = "liebende",4,"")</f>
        <v/>
      </c>
      <c r="T429" s="4" t="str">
        <f>IF(Nodes[[#This Row],[Bezeichnung2]] = "gegenspieler",5,"")</f>
        <v/>
      </c>
    </row>
    <row r="430" spans="1:20" x14ac:dyDescent="0.3">
      <c r="A430" t="s">
        <v>417</v>
      </c>
      <c r="B430" t="s">
        <v>423</v>
      </c>
      <c r="C430" t="s">
        <v>18</v>
      </c>
      <c r="D430" t="s">
        <v>47</v>
      </c>
      <c r="E430" t="s">
        <v>47</v>
      </c>
      <c r="F430" t="s">
        <v>71</v>
      </c>
      <c r="G430" t="s">
        <v>26</v>
      </c>
      <c r="H430" t="str">
        <f t="shared" si="12"/>
        <v>unbekannt</v>
      </c>
      <c r="I430" t="str" cm="1">
        <f t="array" ref="I430">_xlfn.SWITCH(A430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30" s="4">
        <f>IF(AND(B430=Werte!B430,LEFT(A430,5)=LEFT(Werte!A430,5)),Werte!C430,"not found")</f>
        <v>0.44444444444444398</v>
      </c>
      <c r="K430" s="4">
        <f>IF(AND(B430=Werte!B430,LEFT(A430,5)=LEFT(Werte!A430,5)),Werte!D430,"not found")</f>
        <v>0</v>
      </c>
      <c r="L430" s="4">
        <f>IF(AND(B430=Werte!B430,LEFT(A430,5)=LEFT(Werte!A430,5)),Werte!E430,"not found")</f>
        <v>0.27272727272727298</v>
      </c>
      <c r="M430" s="4">
        <f>IF(AND(B430=Werte!B430,LEFT(A430,5)=LEFT(Werte!A430,5)),Werte!F430,"not found")</f>
        <v>8.2218620448337304E-2</v>
      </c>
      <c r="N430" s="4" t="str">
        <f t="shared" si="13"/>
        <v>gegner</v>
      </c>
      <c r="O430" s="4" cm="1">
        <f t="array" ref="O430">_xlfn.SWITCH(A430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30" s="4" t="str">
        <f>IF(Nodes[[#This Row],[Bezeichnung2]] = "betrueger",1,"")</f>
        <v/>
      </c>
      <c r="Q430" s="4" t="str">
        <f>IF(Nodes[[#This Row],[Bezeichnung2]] = "betrogener",2,"")</f>
        <v/>
      </c>
      <c r="R430" s="4" t="str">
        <f>IF(Nodes[[#This Row],[Bezeichnung2]] = "liebender",3,"")</f>
        <v/>
      </c>
      <c r="S430" s="4" t="str">
        <f>IF(Nodes[[#This Row],[Bezeichnung2]] = "liebende",4,"")</f>
        <v/>
      </c>
      <c r="T430" s="4" t="str">
        <f>IF(Nodes[[#This Row],[Bezeichnung2]] = "gegenspieler",5,"")</f>
        <v/>
      </c>
    </row>
    <row r="431" spans="1:20" x14ac:dyDescent="0.3">
      <c r="A431" t="s">
        <v>417</v>
      </c>
      <c r="B431" t="s">
        <v>424</v>
      </c>
      <c r="C431" t="s">
        <v>18</v>
      </c>
      <c r="D431" t="s">
        <v>108</v>
      </c>
      <c r="E431" t="s">
        <v>32</v>
      </c>
      <c r="F431" t="s">
        <v>53</v>
      </c>
      <c r="G431" t="s">
        <v>26</v>
      </c>
      <c r="H431" t="str">
        <f t="shared" si="12"/>
        <v>buergerlich</v>
      </c>
      <c r="I431" t="str" cm="1">
        <f t="array" ref="I431">_xlfn.SWITCH(A431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31" s="4">
        <f>IF(AND(B431=Werte!B431,LEFT(A431,5)=LEFT(Werte!A431,5)),Werte!C431,"not found")</f>
        <v>0.44444444444444398</v>
      </c>
      <c r="K431" s="4">
        <f>IF(AND(B431=Werte!B431,LEFT(A431,5)=LEFT(Werte!A431,5)),Werte!D431,"not found")</f>
        <v>0</v>
      </c>
      <c r="L431" s="4">
        <f>IF(AND(B431=Werte!B431,LEFT(A431,5)=LEFT(Werte!A431,5)),Werte!E431,"not found")</f>
        <v>0.230769230769231</v>
      </c>
      <c r="M431" s="4">
        <f>IF(AND(B431=Werte!B431,LEFT(A431,5)=LEFT(Werte!A431,5)),Werte!F431,"not found")</f>
        <v>0.26888817299399798</v>
      </c>
      <c r="N431" s="4" t="str">
        <f t="shared" si="13"/>
        <v>helfer</v>
      </c>
      <c r="O431" s="4" cm="1">
        <f t="array" ref="O431">_xlfn.SWITCH(A431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31" s="4" t="str">
        <f>IF(Nodes[[#This Row],[Bezeichnung2]] = "betrueger",1,"")</f>
        <v/>
      </c>
      <c r="Q431" s="4" t="str">
        <f>IF(Nodes[[#This Row],[Bezeichnung2]] = "betrogener",2,"")</f>
        <v/>
      </c>
      <c r="R431" s="4" t="str">
        <f>IF(Nodes[[#This Row],[Bezeichnung2]] = "liebender",3,"")</f>
        <v/>
      </c>
      <c r="S431" s="4" t="str">
        <f>IF(Nodes[[#This Row],[Bezeichnung2]] = "liebende",4,"")</f>
        <v/>
      </c>
      <c r="T431" s="4" t="str">
        <f>IF(Nodes[[#This Row],[Bezeichnung2]] = "gegenspieler",5,"")</f>
        <v/>
      </c>
    </row>
    <row r="432" spans="1:20" x14ac:dyDescent="0.3">
      <c r="A432" t="s">
        <v>417</v>
      </c>
      <c r="B432" t="s">
        <v>425</v>
      </c>
      <c r="C432" t="s">
        <v>46</v>
      </c>
      <c r="D432" t="s">
        <v>47</v>
      </c>
      <c r="E432" t="s">
        <v>47</v>
      </c>
      <c r="F432" t="s">
        <v>47</v>
      </c>
      <c r="G432" t="s">
        <v>26</v>
      </c>
      <c r="H432" t="str">
        <f t="shared" si="12"/>
        <v>unbekannt</v>
      </c>
      <c r="I432" t="str" cm="1">
        <f t="array" ref="I432">_xlfn.SWITCH(A432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32" s="4">
        <f>IF(AND(B432=Werte!B432,LEFT(A432,5)=LEFT(Werte!A432,5)),Werte!C432,"not found")</f>
        <v>0.44444444444444398</v>
      </c>
      <c r="K432" s="4">
        <f>IF(AND(B432=Werte!B432,LEFT(A432,5)=LEFT(Werte!A432,5)),Werte!D432,"not found")</f>
        <v>0</v>
      </c>
      <c r="L432" s="4">
        <f>IF(AND(B432=Werte!B432,LEFT(A432,5)=LEFT(Werte!A432,5)),Werte!E432,"not found")</f>
        <v>0.29032258064516098</v>
      </c>
      <c r="M432" s="4">
        <f>IF(AND(B432=Werte!B432,LEFT(A432,5)=LEFT(Werte!A432,5)),Werte!F432,"not found")</f>
        <v>0.12656886446086901</v>
      </c>
      <c r="N432" s="4" t="str">
        <f t="shared" si="13"/>
        <v>unbekannt</v>
      </c>
      <c r="O432" s="4" cm="1">
        <f t="array" ref="O432">_xlfn.SWITCH(A432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32" s="4" t="str">
        <f>IF(Nodes[[#This Row],[Bezeichnung2]] = "betrueger",1,"")</f>
        <v/>
      </c>
      <c r="Q432" s="4" t="str">
        <f>IF(Nodes[[#This Row],[Bezeichnung2]] = "betrogener",2,"")</f>
        <v/>
      </c>
      <c r="R432" s="4" t="str">
        <f>IF(Nodes[[#This Row],[Bezeichnung2]] = "liebender",3,"")</f>
        <v/>
      </c>
      <c r="S432" s="4" t="str">
        <f>IF(Nodes[[#This Row],[Bezeichnung2]] = "liebende",4,"")</f>
        <v/>
      </c>
      <c r="T432" s="4" t="str">
        <f>IF(Nodes[[#This Row],[Bezeichnung2]] = "gegenspieler",5,"")</f>
        <v/>
      </c>
    </row>
    <row r="433" spans="1:20" x14ac:dyDescent="0.3">
      <c r="A433" t="s">
        <v>426</v>
      </c>
      <c r="B433" t="s">
        <v>115</v>
      </c>
      <c r="C433" t="s">
        <v>18</v>
      </c>
      <c r="D433" t="s">
        <v>148</v>
      </c>
      <c r="E433" t="s">
        <v>20</v>
      </c>
      <c r="F433" t="s">
        <v>93</v>
      </c>
      <c r="G433" t="s">
        <v>22</v>
      </c>
      <c r="H433" t="str">
        <f t="shared" si="12"/>
        <v>bauer</v>
      </c>
      <c r="I433" t="str" cm="1">
        <f t="array" ref="I433">_xlfn.SWITCH(A433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33" s="4">
        <f>IF(AND(B433=Werte!B433,LEFT(A433,5)=LEFT(Werte!A433,5)),Werte!C433,"not found")</f>
        <v>1.6666666666666701</v>
      </c>
      <c r="K433" s="4">
        <f>IF(AND(B433=Werte!B433,LEFT(A433,5)=LEFT(Werte!A433,5)),Werte!D433,"not found")</f>
        <v>0.43333333333333302</v>
      </c>
      <c r="L433" s="4">
        <f>IF(AND(B433=Werte!B433,LEFT(A433,5)=LEFT(Werte!A433,5)),Werte!E433,"not found")</f>
        <v>0.6</v>
      </c>
      <c r="M433" s="4">
        <f>IF(AND(B433=Werte!B433,LEFT(A433,5)=LEFT(Werte!A433,5)),Werte!F433,"not found")</f>
        <v>1</v>
      </c>
      <c r="N433" s="4" t="str">
        <f t="shared" si="13"/>
        <v>betrogener</v>
      </c>
      <c r="O433" s="4" cm="1">
        <f t="array" ref="O433">_xlfn.SWITCH(A433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33" s="4" t="str">
        <f>IF(Nodes[[#This Row],[Bezeichnung2]] = "betrueger",1,"")</f>
        <v/>
      </c>
      <c r="Q433" s="4">
        <f>IF(Nodes[[#This Row],[Bezeichnung2]] = "betrogener",2,"")</f>
        <v>2</v>
      </c>
      <c r="R433" s="4" t="str">
        <f>IF(Nodes[[#This Row],[Bezeichnung2]] = "liebender",3,"")</f>
        <v/>
      </c>
      <c r="S433" s="4" t="str">
        <f>IF(Nodes[[#This Row],[Bezeichnung2]] = "liebende",4,"")</f>
        <v/>
      </c>
      <c r="T433" s="4" t="str">
        <f>IF(Nodes[[#This Row],[Bezeichnung2]] = "gegenspieler",5,"")</f>
        <v/>
      </c>
    </row>
    <row r="434" spans="1:20" x14ac:dyDescent="0.3">
      <c r="A434" t="s">
        <v>426</v>
      </c>
      <c r="B434" t="s">
        <v>85</v>
      </c>
      <c r="C434" t="s">
        <v>24</v>
      </c>
      <c r="D434" t="s">
        <v>148</v>
      </c>
      <c r="E434" t="s">
        <v>20</v>
      </c>
      <c r="F434" t="s">
        <v>96</v>
      </c>
      <c r="G434" t="s">
        <v>22</v>
      </c>
      <c r="H434" t="str">
        <f t="shared" si="12"/>
        <v>bauer</v>
      </c>
      <c r="I434" t="str" cm="1">
        <f t="array" ref="I434">_xlfn.SWITCH(A434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34" s="4">
        <f>IF(AND(B434=Werte!B434,LEFT(A434,5)=LEFT(Werte!A434,5)),Werte!C434,"not found")</f>
        <v>1.3333333333333299</v>
      </c>
      <c r="K434" s="4">
        <f>IF(AND(B434=Werte!B434,LEFT(A434,5)=LEFT(Werte!A434,5)),Werte!D434,"not found")</f>
        <v>0.1</v>
      </c>
      <c r="L434" s="4">
        <f>IF(AND(B434=Werte!B434,LEFT(A434,5)=LEFT(Werte!A434,5)),Werte!E434,"not found")</f>
        <v>0.5</v>
      </c>
      <c r="M434" s="4">
        <f>IF(AND(B434=Werte!B434,LEFT(A434,5)=LEFT(Werte!A434,5)),Werte!F434,"not found")</f>
        <v>0.94780937787963404</v>
      </c>
      <c r="N434" s="4" t="str">
        <f t="shared" si="13"/>
        <v>betrueger</v>
      </c>
      <c r="O434" s="4" cm="1">
        <f t="array" ref="O434">_xlfn.SWITCH(A434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34" s="4">
        <f>IF(Nodes[[#This Row],[Bezeichnung2]] = "betrueger",1,"")</f>
        <v>1</v>
      </c>
      <c r="Q434" s="4" t="str">
        <f>IF(Nodes[[#This Row],[Bezeichnung2]] = "betrogener",2,"")</f>
        <v/>
      </c>
      <c r="R434" s="4" t="str">
        <f>IF(Nodes[[#This Row],[Bezeichnung2]] = "liebender",3,"")</f>
        <v/>
      </c>
      <c r="S434" s="4" t="str">
        <f>IF(Nodes[[#This Row],[Bezeichnung2]] = "liebende",4,"")</f>
        <v/>
      </c>
      <c r="T434" s="4" t="str">
        <f>IF(Nodes[[#This Row],[Bezeichnung2]] = "gegenspieler",5,"")</f>
        <v/>
      </c>
    </row>
    <row r="435" spans="1:20" x14ac:dyDescent="0.3">
      <c r="A435" t="s">
        <v>426</v>
      </c>
      <c r="B435" t="s">
        <v>427</v>
      </c>
      <c r="C435" t="s">
        <v>24</v>
      </c>
      <c r="D435" t="s">
        <v>47</v>
      </c>
      <c r="E435" t="s">
        <v>47</v>
      </c>
      <c r="F435" t="s">
        <v>53</v>
      </c>
      <c r="G435" t="s">
        <v>22</v>
      </c>
      <c r="H435" t="str">
        <f t="shared" si="12"/>
        <v>unbekannt</v>
      </c>
      <c r="I435" t="str" cm="1">
        <f t="array" ref="I435">_xlfn.SWITCH(A435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35" s="4">
        <f>IF(AND(B435=Werte!B435,LEFT(A435,5)=LEFT(Werte!A435,5)),Werte!C435,"not found")</f>
        <v>1</v>
      </c>
      <c r="K435" s="4">
        <f>IF(AND(B435=Werte!B435,LEFT(A435,5)=LEFT(Werte!A435,5)),Werte!D435,"not found")</f>
        <v>0</v>
      </c>
      <c r="L435" s="4">
        <f>IF(AND(B435=Werte!B435,LEFT(A435,5)=LEFT(Werte!A435,5)),Werte!E435,"not found")</f>
        <v>0.31578947368421101</v>
      </c>
      <c r="M435" s="4">
        <f>IF(AND(B435=Werte!B435,LEFT(A435,5)=LEFT(Werte!A435,5)),Werte!F435,"not found")</f>
        <v>0.88284932783126602</v>
      </c>
      <c r="N435" s="4" t="str">
        <f t="shared" si="13"/>
        <v>helfer</v>
      </c>
      <c r="O435" s="4" cm="1">
        <f t="array" ref="O435">_xlfn.SWITCH(A435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35" s="4" t="str">
        <f>IF(Nodes[[#This Row],[Bezeichnung2]] = "betrueger",1,"")</f>
        <v/>
      </c>
      <c r="Q435" s="4" t="str">
        <f>IF(Nodes[[#This Row],[Bezeichnung2]] = "betrogener",2,"")</f>
        <v/>
      </c>
      <c r="R435" s="4" t="str">
        <f>IF(Nodes[[#This Row],[Bezeichnung2]] = "liebender",3,"")</f>
        <v/>
      </c>
      <c r="S435" s="4" t="str">
        <f>IF(Nodes[[#This Row],[Bezeichnung2]] = "liebende",4,"")</f>
        <v/>
      </c>
      <c r="T435" s="4" t="str">
        <f>IF(Nodes[[#This Row],[Bezeichnung2]] = "gegenspieler",5,"")</f>
        <v/>
      </c>
    </row>
    <row r="436" spans="1:20" x14ac:dyDescent="0.3">
      <c r="A436" t="s">
        <v>426</v>
      </c>
      <c r="B436" t="s">
        <v>152</v>
      </c>
      <c r="C436" t="s">
        <v>18</v>
      </c>
      <c r="D436" t="s">
        <v>153</v>
      </c>
      <c r="E436" t="s">
        <v>47</v>
      </c>
      <c r="F436" t="s">
        <v>47</v>
      </c>
      <c r="G436" t="s">
        <v>26</v>
      </c>
      <c r="H436" t="str">
        <f t="shared" si="12"/>
        <v>klerus</v>
      </c>
      <c r="I436" t="str" cm="1">
        <f t="array" ref="I436">_xlfn.SWITCH(A436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36" s="4">
        <f>IF(AND(B436=Werte!B436,LEFT(A436,5)=LEFT(Werte!A436,5)),Werte!C436,"not found")</f>
        <v>1.3333333333333299</v>
      </c>
      <c r="K436" s="4">
        <f>IF(AND(B436=Werte!B436,LEFT(A436,5)=LEFT(Werte!A436,5)),Werte!D436,"not found")</f>
        <v>0.66666666666666696</v>
      </c>
      <c r="L436" s="4">
        <f>IF(AND(B436=Werte!B436,LEFT(A436,5)=LEFT(Werte!A436,5)),Werte!E436,"not found")</f>
        <v>0.66666666666666696</v>
      </c>
      <c r="M436" s="4">
        <f>IF(AND(B436=Werte!B436,LEFT(A436,5)=LEFT(Werte!A436,5)),Werte!F436,"not found")</f>
        <v>0.114936789177064</v>
      </c>
      <c r="N436" s="4" t="str">
        <f t="shared" si="13"/>
        <v>unbekannt</v>
      </c>
      <c r="O436" s="4" cm="1">
        <f t="array" ref="O436">_xlfn.SWITCH(A436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36" s="4" t="str">
        <f>IF(Nodes[[#This Row],[Bezeichnung2]] = "betrueger",1,"")</f>
        <v/>
      </c>
      <c r="Q436" s="4" t="str">
        <f>IF(Nodes[[#This Row],[Bezeichnung2]] = "betrogener",2,"")</f>
        <v/>
      </c>
      <c r="R436" s="4" t="str">
        <f>IF(Nodes[[#This Row],[Bezeichnung2]] = "liebender",3,"")</f>
        <v/>
      </c>
      <c r="S436" s="4" t="str">
        <f>IF(Nodes[[#This Row],[Bezeichnung2]] = "liebende",4,"")</f>
        <v/>
      </c>
      <c r="T436" s="4" t="str">
        <f>IF(Nodes[[#This Row],[Bezeichnung2]] = "gegenspieler",5,"")</f>
        <v/>
      </c>
    </row>
    <row r="437" spans="1:20" x14ac:dyDescent="0.3">
      <c r="A437" t="s">
        <v>426</v>
      </c>
      <c r="B437" t="s">
        <v>428</v>
      </c>
      <c r="C437" t="s">
        <v>46</v>
      </c>
      <c r="D437" t="s">
        <v>269</v>
      </c>
      <c r="E437" t="s">
        <v>47</v>
      </c>
      <c r="F437" t="s">
        <v>47</v>
      </c>
      <c r="G437" t="s">
        <v>26</v>
      </c>
      <c r="H437" t="str">
        <f t="shared" si="12"/>
        <v>unbekannt</v>
      </c>
      <c r="I437" t="str" cm="1">
        <f t="array" ref="I437">_xlfn.SWITCH(A437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37" s="4">
        <f>IF(AND(B437=Werte!B437,LEFT(A437,5)=LEFT(Werte!A437,5)),Werte!C437,"not found")</f>
        <v>0.33333333333333298</v>
      </c>
      <c r="K437" s="4">
        <f>IF(AND(B437=Werte!B437,LEFT(A437,5)=LEFT(Werte!A437,5)),Werte!D437,"not found")</f>
        <v>0</v>
      </c>
      <c r="L437" s="4">
        <f>IF(AND(B437=Werte!B437,LEFT(A437,5)=LEFT(Werte!A437,5)),Werte!E437,"not found")</f>
        <v>0.42857142857142899</v>
      </c>
      <c r="M437" s="4">
        <f>IF(AND(B437=Werte!B437,LEFT(A437,5)=LEFT(Werte!A437,5)),Werte!F437,"not found")</f>
        <v>3.55400726737818E-3</v>
      </c>
      <c r="N437" s="4" t="str">
        <f t="shared" si="13"/>
        <v>unbekannt</v>
      </c>
      <c r="O437" s="4" cm="1">
        <f t="array" ref="O437">_xlfn.SWITCH(A437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37" s="4" t="str">
        <f>IF(Nodes[[#This Row],[Bezeichnung2]] = "betrueger",1,"")</f>
        <v/>
      </c>
      <c r="Q437" s="4" t="str">
        <f>IF(Nodes[[#This Row],[Bezeichnung2]] = "betrogener",2,"")</f>
        <v/>
      </c>
      <c r="R437" s="4" t="str">
        <f>IF(Nodes[[#This Row],[Bezeichnung2]] = "liebender",3,"")</f>
        <v/>
      </c>
      <c r="S437" s="4" t="str">
        <f>IF(Nodes[[#This Row],[Bezeichnung2]] = "liebende",4,"")</f>
        <v/>
      </c>
      <c r="T437" s="4" t="str">
        <f>IF(Nodes[[#This Row],[Bezeichnung2]] = "gegenspieler",5,"")</f>
        <v/>
      </c>
    </row>
    <row r="438" spans="1:20" x14ac:dyDescent="0.3">
      <c r="A438" t="s">
        <v>426</v>
      </c>
      <c r="B438" t="s">
        <v>429</v>
      </c>
      <c r="C438" t="s">
        <v>46</v>
      </c>
      <c r="D438" t="s">
        <v>47</v>
      </c>
      <c r="E438" t="s">
        <v>47</v>
      </c>
      <c r="F438" t="s">
        <v>47</v>
      </c>
      <c r="G438" t="s">
        <v>26</v>
      </c>
      <c r="H438" t="str">
        <f t="shared" si="12"/>
        <v>unbekannt</v>
      </c>
      <c r="I438" t="str" cm="1">
        <f t="array" ref="I438">_xlfn.SWITCH(A438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38" s="4">
        <f>IF(AND(B438=Werte!B438,LEFT(A438,5)=LEFT(Werte!A438,5)),Werte!C438,"not found")</f>
        <v>0.66666666666666696</v>
      </c>
      <c r="K438" s="4">
        <f>IF(AND(B438=Werte!B438,LEFT(A438,5)=LEFT(Werte!A438,5)),Werte!D438,"not found")</f>
        <v>6.6666666666666693E-2</v>
      </c>
      <c r="L438" s="4">
        <f>IF(AND(B438=Werte!B438,LEFT(A438,5)=LEFT(Werte!A438,5)),Werte!E438,"not found")</f>
        <v>0.46153846153846201</v>
      </c>
      <c r="M438" s="4">
        <f>IF(AND(B438=Werte!B438,LEFT(A438,5)=LEFT(Werte!A438,5)),Werte!F438,"not found")</f>
        <v>6.0229007039575899E-2</v>
      </c>
      <c r="N438" s="4" t="str">
        <f t="shared" si="13"/>
        <v>unbekannt</v>
      </c>
      <c r="O438" s="4" cm="1">
        <f t="array" ref="O438">_xlfn.SWITCH(A438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38" s="4" t="str">
        <f>IF(Nodes[[#This Row],[Bezeichnung2]] = "betrueger",1,"")</f>
        <v/>
      </c>
      <c r="Q438" s="4" t="str">
        <f>IF(Nodes[[#This Row],[Bezeichnung2]] = "betrogener",2,"")</f>
        <v/>
      </c>
      <c r="R438" s="4" t="str">
        <f>IF(Nodes[[#This Row],[Bezeichnung2]] = "liebender",3,"")</f>
        <v/>
      </c>
      <c r="S438" s="4" t="str">
        <f>IF(Nodes[[#This Row],[Bezeichnung2]] = "liebende",4,"")</f>
        <v/>
      </c>
      <c r="T438" s="4" t="str">
        <f>IF(Nodes[[#This Row],[Bezeichnung2]] = "gegenspieler",5,"")</f>
        <v/>
      </c>
    </row>
    <row r="439" spans="1:20" x14ac:dyDescent="0.3">
      <c r="A439" t="s">
        <v>426</v>
      </c>
      <c r="B439" t="s">
        <v>430</v>
      </c>
      <c r="C439" t="s">
        <v>46</v>
      </c>
      <c r="D439" t="s">
        <v>47</v>
      </c>
      <c r="E439" t="s">
        <v>47</v>
      </c>
      <c r="F439" t="s">
        <v>47</v>
      </c>
      <c r="G439" t="s">
        <v>26</v>
      </c>
      <c r="H439" t="str">
        <f t="shared" si="12"/>
        <v>unbekannt</v>
      </c>
      <c r="I439" t="str" cm="1">
        <f t="array" ref="I439">_xlfn.SWITCH(A439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39" s="4">
        <f>IF(AND(B439=Werte!B439,LEFT(A439,5)=LEFT(Werte!A439,5)),Werte!C439,"not found")</f>
        <v>0.33333333333333298</v>
      </c>
      <c r="K439" s="4">
        <f>IF(AND(B439=Werte!B439,LEFT(A439,5)=LEFT(Werte!A439,5)),Werte!D439,"not found")</f>
        <v>0</v>
      </c>
      <c r="L439" s="4">
        <f>IF(AND(B439=Werte!B439,LEFT(A439,5)=LEFT(Werte!A439,5)),Werte!E439,"not found")</f>
        <v>0.4</v>
      </c>
      <c r="M439" s="4">
        <f>IF(AND(B439=Werte!B439,LEFT(A439,5)=LEFT(Werte!A439,5)),Werte!F439,"not found")</f>
        <v>3.09214072606738E-2</v>
      </c>
      <c r="N439" s="4" t="str">
        <f t="shared" si="13"/>
        <v>unbekannt</v>
      </c>
      <c r="O439" s="4" cm="1">
        <f t="array" ref="O439">_xlfn.SWITCH(A439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39" s="4" t="str">
        <f>IF(Nodes[[#This Row],[Bezeichnung2]] = "betrueger",1,"")</f>
        <v/>
      </c>
      <c r="Q439" s="4" t="str">
        <f>IF(Nodes[[#This Row],[Bezeichnung2]] = "betrogener",2,"")</f>
        <v/>
      </c>
      <c r="R439" s="4" t="str">
        <f>IF(Nodes[[#This Row],[Bezeichnung2]] = "liebender",3,"")</f>
        <v/>
      </c>
      <c r="S439" s="4" t="str">
        <f>IF(Nodes[[#This Row],[Bezeichnung2]] = "liebende",4,"")</f>
        <v/>
      </c>
      <c r="T439" s="4" t="str">
        <f>IF(Nodes[[#This Row],[Bezeichnung2]] = "gegenspieler",5,"")</f>
        <v/>
      </c>
    </row>
    <row r="440" spans="1:20" x14ac:dyDescent="0.3">
      <c r="A440" t="s">
        <v>436</v>
      </c>
      <c r="B440" t="s">
        <v>115</v>
      </c>
      <c r="C440" t="s">
        <v>18</v>
      </c>
      <c r="D440" t="s">
        <v>47</v>
      </c>
      <c r="E440" t="s">
        <v>47</v>
      </c>
      <c r="F440" t="s">
        <v>50</v>
      </c>
      <c r="G440" t="s">
        <v>22</v>
      </c>
      <c r="H440" t="str">
        <f t="shared" si="12"/>
        <v>unbekannt</v>
      </c>
      <c r="I440" t="str" cm="1">
        <f t="array" ref="I440">_xlfn.SWITCH(A440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40" s="4">
        <f>IF(AND(B440=Werte!B440,LEFT(A440,5)=LEFT(Werte!A440,5)),Werte!C440,"not found")</f>
        <v>2</v>
      </c>
      <c r="K440" s="4">
        <f>IF(AND(B440=Werte!B440,LEFT(A440,5)=LEFT(Werte!A440,5)),Werte!D440,"not found")</f>
        <v>0</v>
      </c>
      <c r="L440" s="4">
        <f>IF(AND(B440=Werte!B440,LEFT(A440,5)=LEFT(Werte!A440,5)),Werte!E440,"not found")</f>
        <v>0.57142857142857095</v>
      </c>
      <c r="M440" s="4">
        <f>IF(AND(B440=Werte!B440,LEFT(A440,5)=LEFT(Werte!A440,5)),Werte!F440,"not found")</f>
        <v>1</v>
      </c>
      <c r="N440" s="4" t="str">
        <f t="shared" si="13"/>
        <v>betrogener</v>
      </c>
      <c r="O440" s="4" cm="1">
        <f t="array" ref="O440">_xlfn.SWITCH(A440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40" s="4" t="str">
        <f>IF(Nodes[[#This Row],[Bezeichnung2]] = "betrueger",1,"")</f>
        <v/>
      </c>
      <c r="Q440" s="4">
        <f>IF(Nodes[[#This Row],[Bezeichnung2]] = "betrogener",2,"")</f>
        <v>2</v>
      </c>
      <c r="R440" s="4" t="str">
        <f>IF(Nodes[[#This Row],[Bezeichnung2]] = "liebender",3,"")</f>
        <v/>
      </c>
      <c r="S440" s="4" t="str">
        <f>IF(Nodes[[#This Row],[Bezeichnung2]] = "liebende",4,"")</f>
        <v/>
      </c>
      <c r="T440" s="4" t="str">
        <f>IF(Nodes[[#This Row],[Bezeichnung2]] = "gegenspieler",5,"")</f>
        <v/>
      </c>
    </row>
    <row r="441" spans="1:20" x14ac:dyDescent="0.3">
      <c r="A441" t="s">
        <v>436</v>
      </c>
      <c r="B441" t="s">
        <v>229</v>
      </c>
      <c r="C441" t="s">
        <v>24</v>
      </c>
      <c r="D441" t="s">
        <v>47</v>
      </c>
      <c r="E441" t="s">
        <v>47</v>
      </c>
      <c r="F441" t="s">
        <v>162</v>
      </c>
      <c r="G441" t="s">
        <v>22</v>
      </c>
      <c r="H441" t="str">
        <f t="shared" si="12"/>
        <v>unbekannt</v>
      </c>
      <c r="I441" t="str" cm="1">
        <f t="array" ref="I441">_xlfn.SWITCH(A441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41" s="4">
        <f>IF(AND(B441=Werte!B441,LEFT(A441,5)=LEFT(Werte!A441,5)),Werte!C441,"not found")</f>
        <v>1.5</v>
      </c>
      <c r="K441" s="4">
        <f>IF(AND(B441=Werte!B441,LEFT(A441,5)=LEFT(Werte!A441,5)),Werte!D441,"not found")</f>
        <v>0</v>
      </c>
      <c r="L441" s="4">
        <f>IF(AND(B441=Werte!B441,LEFT(A441,5)=LEFT(Werte!A441,5)),Werte!E441,"not found")</f>
        <v>0.5</v>
      </c>
      <c r="M441" s="4">
        <f>IF(AND(B441=Werte!B441,LEFT(A441,5)=LEFT(Werte!A441,5)),Werte!F441,"not found")</f>
        <v>0.91119618750437403</v>
      </c>
      <c r="N441" s="4" t="str">
        <f t="shared" si="13"/>
        <v>betrogener</v>
      </c>
      <c r="O441" s="4" cm="1">
        <f t="array" ref="O441">_xlfn.SWITCH(A441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41" s="4" t="str">
        <f>IF(Nodes[[#This Row],[Bezeichnung2]] = "betrueger",1,"")</f>
        <v/>
      </c>
      <c r="Q441" s="4">
        <f>IF(Nodes[[#This Row],[Bezeichnung2]] = "betrogener",2,"")</f>
        <v>2</v>
      </c>
      <c r="R441" s="4" t="str">
        <f>IF(Nodes[[#This Row],[Bezeichnung2]] = "liebender",3,"")</f>
        <v/>
      </c>
      <c r="S441" s="4" t="str">
        <f>IF(Nodes[[#This Row],[Bezeichnung2]] = "liebende",4,"")</f>
        <v/>
      </c>
      <c r="T441" s="4" t="str">
        <f>IF(Nodes[[#This Row],[Bezeichnung2]] = "gegenspieler",5,"")</f>
        <v/>
      </c>
    </row>
    <row r="442" spans="1:20" x14ac:dyDescent="0.3">
      <c r="A442" t="s">
        <v>436</v>
      </c>
      <c r="B442" t="s">
        <v>437</v>
      </c>
      <c r="C442" t="s">
        <v>46</v>
      </c>
      <c r="D442" t="s">
        <v>47</v>
      </c>
      <c r="E442" t="s">
        <v>47</v>
      </c>
      <c r="F442" t="s">
        <v>47</v>
      </c>
      <c r="G442" t="s">
        <v>26</v>
      </c>
      <c r="H442" t="str">
        <f t="shared" si="12"/>
        <v>unbekannt</v>
      </c>
      <c r="I442" t="str" cm="1">
        <f t="array" ref="I442">_xlfn.SWITCH(A442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42" s="4">
        <f>IF(AND(B442=Werte!B442,LEFT(A442,5)=LEFT(Werte!A442,5)),Werte!C442,"not found")</f>
        <v>1.5</v>
      </c>
      <c r="K442" s="4">
        <f>IF(AND(B442=Werte!B442,LEFT(A442,5)=LEFT(Werte!A442,5)),Werte!D442,"not found")</f>
        <v>0.33333333333333298</v>
      </c>
      <c r="L442" s="4">
        <f>IF(AND(B442=Werte!B442,LEFT(A442,5)=LEFT(Werte!A442,5)),Werte!E442,"not found")</f>
        <v>0.66666666666666696</v>
      </c>
      <c r="M442" s="4">
        <f>IF(AND(B442=Werte!B442,LEFT(A442,5)=LEFT(Werte!A442,5)),Werte!F442,"not found")</f>
        <v>0.26212957968259598</v>
      </c>
      <c r="N442" s="4" t="str">
        <f t="shared" si="13"/>
        <v>unbekannt</v>
      </c>
      <c r="O442" s="4" cm="1">
        <f t="array" ref="O442">_xlfn.SWITCH(A442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42" s="4" t="str">
        <f>IF(Nodes[[#This Row],[Bezeichnung2]] = "betrueger",1,"")</f>
        <v/>
      </c>
      <c r="Q442" s="4" t="str">
        <f>IF(Nodes[[#This Row],[Bezeichnung2]] = "betrogener",2,"")</f>
        <v/>
      </c>
      <c r="R442" s="4" t="str">
        <f>IF(Nodes[[#This Row],[Bezeichnung2]] = "liebender",3,"")</f>
        <v/>
      </c>
      <c r="S442" s="4" t="str">
        <f>IF(Nodes[[#This Row],[Bezeichnung2]] = "liebende",4,"")</f>
        <v/>
      </c>
      <c r="T442" s="4" t="str">
        <f>IF(Nodes[[#This Row],[Bezeichnung2]] = "gegenspieler",5,"")</f>
        <v/>
      </c>
    </row>
    <row r="443" spans="1:20" x14ac:dyDescent="0.3">
      <c r="A443" t="s">
        <v>436</v>
      </c>
      <c r="B443" t="s">
        <v>289</v>
      </c>
      <c r="C443" t="s">
        <v>18</v>
      </c>
      <c r="D443" t="s">
        <v>47</v>
      </c>
      <c r="E443" t="s">
        <v>47</v>
      </c>
      <c r="F443" t="s">
        <v>87</v>
      </c>
      <c r="G443" t="s">
        <v>26</v>
      </c>
      <c r="H443" t="str">
        <f t="shared" si="12"/>
        <v>unbekannt</v>
      </c>
      <c r="I443" t="str" cm="1">
        <f t="array" ref="I443">_xlfn.SWITCH(A443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43" s="4">
        <f>IF(AND(B443=Werte!B443,LEFT(A443,5)=LEFT(Werte!A443,5)),Werte!C443,"not found")</f>
        <v>1.5</v>
      </c>
      <c r="K443" s="4">
        <f>IF(AND(B443=Werte!B443,LEFT(A443,5)=LEFT(Werte!A443,5)),Werte!D443,"not found")</f>
        <v>0.33333333333333298</v>
      </c>
      <c r="L443" s="4">
        <f>IF(AND(B443=Werte!B443,LEFT(A443,5)=LEFT(Werte!A443,5)),Werte!E443,"not found")</f>
        <v>0.66666666666666696</v>
      </c>
      <c r="M443" s="4">
        <f>IF(AND(B443=Werte!B443,LEFT(A443,5)=LEFT(Werte!A443,5)),Werte!F443,"not found")</f>
        <v>0.34672333816259299</v>
      </c>
      <c r="N443" s="4" t="str">
        <f t="shared" si="13"/>
        <v>gegenspieler</v>
      </c>
      <c r="O443" s="4" cm="1">
        <f t="array" ref="O443">_xlfn.SWITCH(A443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43" s="4" t="str">
        <f>IF(Nodes[[#This Row],[Bezeichnung2]] = "betrueger",1,"")</f>
        <v/>
      </c>
      <c r="Q443" s="4" t="str">
        <f>IF(Nodes[[#This Row],[Bezeichnung2]] = "betrogener",2,"")</f>
        <v/>
      </c>
      <c r="R443" s="4" t="str">
        <f>IF(Nodes[[#This Row],[Bezeichnung2]] = "liebender",3,"")</f>
        <v/>
      </c>
      <c r="S443" s="4" t="str">
        <f>IF(Nodes[[#This Row],[Bezeichnung2]] = "liebende",4,"")</f>
        <v/>
      </c>
      <c r="T443" s="4">
        <f>IF(Nodes[[#This Row],[Bezeichnung2]] = "gegenspieler",5,"")</f>
        <v>5</v>
      </c>
    </row>
    <row r="444" spans="1:20" x14ac:dyDescent="0.3">
      <c r="A444" t="s">
        <v>436</v>
      </c>
      <c r="B444" t="s">
        <v>438</v>
      </c>
      <c r="C444" t="s">
        <v>24</v>
      </c>
      <c r="D444" t="s">
        <v>47</v>
      </c>
      <c r="E444" t="s">
        <v>32</v>
      </c>
      <c r="F444" t="s">
        <v>96</v>
      </c>
      <c r="G444" t="s">
        <v>22</v>
      </c>
      <c r="H444" t="str">
        <f t="shared" si="12"/>
        <v>unbekannt</v>
      </c>
      <c r="I444" t="str" cm="1">
        <f t="array" ref="I444">_xlfn.SWITCH(A444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44" s="4">
        <f>IF(AND(B444=Werte!B444,LEFT(A444,5)=LEFT(Werte!A444,5)),Werte!C444,"not found")</f>
        <v>1.5</v>
      </c>
      <c r="K444" s="4">
        <f>IF(AND(B444=Werte!B444,LEFT(A444,5)=LEFT(Werte!A444,5)),Werte!D444,"not found")</f>
        <v>0</v>
      </c>
      <c r="L444" s="4">
        <f>IF(AND(B444=Werte!B444,LEFT(A444,5)=LEFT(Werte!A444,5)),Werte!E444,"not found")</f>
        <v>0.36363636363636398</v>
      </c>
      <c r="M444" s="4">
        <f>IF(AND(B444=Werte!B444,LEFT(A444,5)=LEFT(Werte!A444,5)),Werte!F444,"not found")</f>
        <v>0.86222985510054095</v>
      </c>
      <c r="N444" s="4" t="str">
        <f t="shared" si="13"/>
        <v>betrueger</v>
      </c>
      <c r="O444" s="4" cm="1">
        <f t="array" ref="O444">_xlfn.SWITCH(A444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44" s="4">
        <f>IF(Nodes[[#This Row],[Bezeichnung2]] = "betrueger",1,"")</f>
        <v>1</v>
      </c>
      <c r="Q444" s="4" t="str">
        <f>IF(Nodes[[#This Row],[Bezeichnung2]] = "betrogener",2,"")</f>
        <v/>
      </c>
      <c r="R444" s="4" t="str">
        <f>IF(Nodes[[#This Row],[Bezeichnung2]] = "liebender",3,"")</f>
        <v/>
      </c>
      <c r="S444" s="4" t="str">
        <f>IF(Nodes[[#This Row],[Bezeichnung2]] = "liebende",4,"")</f>
        <v/>
      </c>
      <c r="T444" s="4" t="str">
        <f>IF(Nodes[[#This Row],[Bezeichnung2]] = "gegenspieler",5,"")</f>
        <v/>
      </c>
    </row>
    <row r="445" spans="1:20" x14ac:dyDescent="0.3">
      <c r="A445" t="s">
        <v>439</v>
      </c>
      <c r="B445" t="s">
        <v>115</v>
      </c>
      <c r="C445" t="s">
        <v>18</v>
      </c>
      <c r="D445" t="s">
        <v>57</v>
      </c>
      <c r="E445" t="s">
        <v>47</v>
      </c>
      <c r="F445" t="s">
        <v>318</v>
      </c>
      <c r="G445" t="s">
        <v>22</v>
      </c>
      <c r="H445" t="str">
        <f t="shared" si="12"/>
        <v>adel</v>
      </c>
      <c r="I445" t="str" cm="1">
        <f t="array" ref="I445">_xlfn.SWITCH(A445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45" s="4">
        <f>IF(AND(B445=Werte!B445,LEFT(A445,5)=LEFT(Werte!A445,5)),Werte!C445,"not found")</f>
        <v>2</v>
      </c>
      <c r="K445" s="4">
        <f>IF(AND(B445=Werte!B445,LEFT(A445,5)=LEFT(Werte!A445,5)),Werte!D445,"not found")</f>
        <v>0.65</v>
      </c>
      <c r="L445" s="4">
        <f>IF(AND(B445=Werte!B445,LEFT(A445,5)=LEFT(Werte!A445,5)),Werte!E445,"not found")</f>
        <v>0.38461538461538503</v>
      </c>
      <c r="M445" s="4">
        <f>IF(AND(B445=Werte!B445,LEFT(A445,5)=LEFT(Werte!A445,5)),Werte!F445,"not found")</f>
        <v>0.91789203004382203</v>
      </c>
      <c r="N445" s="4" t="str">
        <f t="shared" si="13"/>
        <v>betrueger</v>
      </c>
      <c r="O445" s="4" cm="1">
        <f t="array" ref="O445">_xlfn.SWITCH(A445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45" s="4">
        <f>IF(Nodes[[#This Row],[Bezeichnung2]] = "betrueger",1,"")</f>
        <v>1</v>
      </c>
      <c r="Q445" s="4" t="str">
        <f>IF(Nodes[[#This Row],[Bezeichnung2]] = "betrogener",2,"")</f>
        <v/>
      </c>
      <c r="R445" s="4" t="str">
        <f>IF(Nodes[[#This Row],[Bezeichnung2]] = "liebender",3,"")</f>
        <v/>
      </c>
      <c r="S445" s="4" t="str">
        <f>IF(Nodes[[#This Row],[Bezeichnung2]] = "liebende",4,"")</f>
        <v/>
      </c>
      <c r="T445" s="4" t="str">
        <f>IF(Nodes[[#This Row],[Bezeichnung2]] = "gegenspieler",5,"")</f>
        <v/>
      </c>
    </row>
    <row r="446" spans="1:20" x14ac:dyDescent="0.3">
      <c r="A446" t="s">
        <v>439</v>
      </c>
      <c r="B446" t="s">
        <v>117</v>
      </c>
      <c r="C446" t="s">
        <v>24</v>
      </c>
      <c r="D446" t="s">
        <v>86</v>
      </c>
      <c r="E446" t="s">
        <v>47</v>
      </c>
      <c r="F446" t="s">
        <v>162</v>
      </c>
      <c r="G446" t="s">
        <v>22</v>
      </c>
      <c r="H446" t="str">
        <f t="shared" si="12"/>
        <v>adel</v>
      </c>
      <c r="I446" t="str" cm="1">
        <f t="array" ref="I446">_xlfn.SWITCH(A446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46" s="4">
        <f>IF(AND(B446=Werte!B446,LEFT(A446,5)=LEFT(Werte!A446,5)),Werte!C446,"not found")</f>
        <v>2</v>
      </c>
      <c r="K446" s="4">
        <f>IF(AND(B446=Werte!B446,LEFT(A446,5)=LEFT(Werte!A446,5)),Werte!D446,"not found")</f>
        <v>0</v>
      </c>
      <c r="L446" s="4">
        <f>IF(AND(B446=Werte!B446,LEFT(A446,5)=LEFT(Werte!A446,5)),Werte!E446,"not found")</f>
        <v>0.26315789473684198</v>
      </c>
      <c r="M446" s="4">
        <f>IF(AND(B446=Werte!B446,LEFT(A446,5)=LEFT(Werte!A446,5)),Werte!F446,"not found")</f>
        <v>1</v>
      </c>
      <c r="N446" s="4" t="str">
        <f t="shared" si="13"/>
        <v>betrogener</v>
      </c>
      <c r="O446" s="4" cm="1">
        <f t="array" ref="O446">_xlfn.SWITCH(A446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46" s="4" t="str">
        <f>IF(Nodes[[#This Row],[Bezeichnung2]] = "betrueger",1,"")</f>
        <v/>
      </c>
      <c r="Q446" s="4">
        <f>IF(Nodes[[#This Row],[Bezeichnung2]] = "betrogener",2,"")</f>
        <v>2</v>
      </c>
      <c r="R446" s="4" t="str">
        <f>IF(Nodes[[#This Row],[Bezeichnung2]] = "liebender",3,"")</f>
        <v/>
      </c>
      <c r="S446" s="4" t="str">
        <f>IF(Nodes[[#This Row],[Bezeichnung2]] = "liebende",4,"")</f>
        <v/>
      </c>
      <c r="T446" s="4" t="str">
        <f>IF(Nodes[[#This Row],[Bezeichnung2]] = "gegenspieler",5,"")</f>
        <v/>
      </c>
    </row>
    <row r="447" spans="1:20" x14ac:dyDescent="0.3">
      <c r="A447" t="s">
        <v>439</v>
      </c>
      <c r="B447" t="s">
        <v>440</v>
      </c>
      <c r="C447" t="s">
        <v>18</v>
      </c>
      <c r="D447" t="s">
        <v>119</v>
      </c>
      <c r="E447" t="s">
        <v>20</v>
      </c>
      <c r="F447" t="s">
        <v>96</v>
      </c>
      <c r="G447" t="s">
        <v>22</v>
      </c>
      <c r="H447" t="str">
        <f t="shared" si="12"/>
        <v>adel</v>
      </c>
      <c r="I447" t="str" cm="1">
        <f t="array" ref="I447">_xlfn.SWITCH(A447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47" s="4">
        <f>IF(AND(B447=Werte!B447,LEFT(A447,5)=LEFT(Werte!A447,5)),Werte!C447,"not found")</f>
        <v>0.8</v>
      </c>
      <c r="K447" s="4">
        <f>IF(AND(B447=Werte!B447,LEFT(A447,5)=LEFT(Werte!A447,5)),Werte!D447,"not found")</f>
        <v>0</v>
      </c>
      <c r="L447" s="4">
        <f>IF(AND(B447=Werte!B447,LEFT(A447,5)=LEFT(Werte!A447,5)),Werte!E447,"not found")</f>
        <v>0.12195121951219499</v>
      </c>
      <c r="M447" s="4">
        <f>IF(AND(B447=Werte!B447,LEFT(A447,5)=LEFT(Werte!A447,5)),Werte!F447,"not found")</f>
        <v>0.77147114603007705</v>
      </c>
      <c r="N447" s="4" t="str">
        <f t="shared" si="13"/>
        <v>betrueger</v>
      </c>
      <c r="O447" s="4" cm="1">
        <f t="array" ref="O447">_xlfn.SWITCH(A447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47" s="4">
        <f>IF(Nodes[[#This Row],[Bezeichnung2]] = "betrueger",1,"")</f>
        <v>1</v>
      </c>
      <c r="Q447" s="4" t="str">
        <f>IF(Nodes[[#This Row],[Bezeichnung2]] = "betrogener",2,"")</f>
        <v/>
      </c>
      <c r="R447" s="4" t="str">
        <f>IF(Nodes[[#This Row],[Bezeichnung2]] = "liebender",3,"")</f>
        <v/>
      </c>
      <c r="S447" s="4" t="str">
        <f>IF(Nodes[[#This Row],[Bezeichnung2]] = "liebende",4,"")</f>
        <v/>
      </c>
      <c r="T447" s="4" t="str">
        <f>IF(Nodes[[#This Row],[Bezeichnung2]] = "gegenspieler",5,"")</f>
        <v/>
      </c>
    </row>
    <row r="448" spans="1:20" x14ac:dyDescent="0.3">
      <c r="A448" t="s">
        <v>439</v>
      </c>
      <c r="B448" t="s">
        <v>441</v>
      </c>
      <c r="C448" t="s">
        <v>46</v>
      </c>
      <c r="D448" t="s">
        <v>86</v>
      </c>
      <c r="E448" t="s">
        <v>20</v>
      </c>
      <c r="F448" t="s">
        <v>53</v>
      </c>
      <c r="G448" t="s">
        <v>26</v>
      </c>
      <c r="H448" t="str">
        <f t="shared" si="12"/>
        <v>adel</v>
      </c>
      <c r="I448" t="str" cm="1">
        <f t="array" ref="I448">_xlfn.SWITCH(A448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48" s="4">
        <f>IF(AND(B448=Werte!B448,LEFT(A448,5)=LEFT(Werte!A448,5)),Werte!C448,"not found")</f>
        <v>1.2</v>
      </c>
      <c r="K448" s="4">
        <f>IF(AND(B448=Werte!B448,LEFT(A448,5)=LEFT(Werte!A448,5)),Werte!D448,"not found")</f>
        <v>0</v>
      </c>
      <c r="L448" s="4">
        <f>IF(AND(B448=Werte!B448,LEFT(A448,5)=LEFT(Werte!A448,5)),Werte!E448,"not found")</f>
        <v>0.25</v>
      </c>
      <c r="M448" s="4">
        <f>IF(AND(B448=Werte!B448,LEFT(A448,5)=LEFT(Werte!A448,5)),Werte!F448,"not found")</f>
        <v>0.31461619084110198</v>
      </c>
      <c r="N448" s="4" t="str">
        <f t="shared" si="13"/>
        <v>helfer</v>
      </c>
      <c r="O448" s="4" cm="1">
        <f t="array" ref="O448">_xlfn.SWITCH(A448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48" s="4" t="str">
        <f>IF(Nodes[[#This Row],[Bezeichnung2]] = "betrueger",1,"")</f>
        <v/>
      </c>
      <c r="Q448" s="4" t="str">
        <f>IF(Nodes[[#This Row],[Bezeichnung2]] = "betrogener",2,"")</f>
        <v/>
      </c>
      <c r="R448" s="4" t="str">
        <f>IF(Nodes[[#This Row],[Bezeichnung2]] = "liebender",3,"")</f>
        <v/>
      </c>
      <c r="S448" s="4" t="str">
        <f>IF(Nodes[[#This Row],[Bezeichnung2]] = "liebende",4,"")</f>
        <v/>
      </c>
      <c r="T448" s="4" t="str">
        <f>IF(Nodes[[#This Row],[Bezeichnung2]] = "gegenspieler",5,"")</f>
        <v/>
      </c>
    </row>
    <row r="449" spans="1:20" x14ac:dyDescent="0.3">
      <c r="A449" t="s">
        <v>439</v>
      </c>
      <c r="B449" t="s">
        <v>442</v>
      </c>
      <c r="C449" t="s">
        <v>24</v>
      </c>
      <c r="D449" t="s">
        <v>191</v>
      </c>
      <c r="E449" t="s">
        <v>32</v>
      </c>
      <c r="F449" t="s">
        <v>53</v>
      </c>
      <c r="G449" t="s">
        <v>26</v>
      </c>
      <c r="H449" t="str">
        <f t="shared" si="12"/>
        <v>adel</v>
      </c>
      <c r="I449" t="str" cm="1">
        <f t="array" ref="I449">_xlfn.SWITCH(A449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49" s="4">
        <f>IF(AND(B449=Werte!B449,LEFT(A449,5)=LEFT(Werte!A449,5)),Werte!C449,"not found")</f>
        <v>1.2</v>
      </c>
      <c r="K449" s="4">
        <f>IF(AND(B449=Werte!B449,LEFT(A449,5)=LEFT(Werte!A449,5)),Werte!D449,"not found")</f>
        <v>0</v>
      </c>
      <c r="L449" s="4">
        <f>IF(AND(B449=Werte!B449,LEFT(A449,5)=LEFT(Werte!A449,5)),Werte!E449,"not found")</f>
        <v>0.3125</v>
      </c>
      <c r="M449" s="4">
        <f>IF(AND(B449=Werte!B449,LEFT(A449,5)=LEFT(Werte!A449,5)),Werte!F449,"not found")</f>
        <v>0.22741781155799601</v>
      </c>
      <c r="N449" s="4" t="str">
        <f t="shared" si="13"/>
        <v>helfer</v>
      </c>
      <c r="O449" s="4" cm="1">
        <f t="array" ref="O449">_xlfn.SWITCH(A449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49" s="4" t="str">
        <f>IF(Nodes[[#This Row],[Bezeichnung2]] = "betrueger",1,"")</f>
        <v/>
      </c>
      <c r="Q449" s="4" t="str">
        <f>IF(Nodes[[#This Row],[Bezeichnung2]] = "betrogener",2,"")</f>
        <v/>
      </c>
      <c r="R449" s="4" t="str">
        <f>IF(Nodes[[#This Row],[Bezeichnung2]] = "liebender",3,"")</f>
        <v/>
      </c>
      <c r="S449" s="4" t="str">
        <f>IF(Nodes[[#This Row],[Bezeichnung2]] = "liebende",4,"")</f>
        <v/>
      </c>
      <c r="T449" s="4" t="str">
        <f>IF(Nodes[[#This Row],[Bezeichnung2]] = "gegenspieler",5,"")</f>
        <v/>
      </c>
    </row>
    <row r="450" spans="1:20" x14ac:dyDescent="0.3">
      <c r="A450" t="s">
        <v>439</v>
      </c>
      <c r="B450" t="s">
        <v>443</v>
      </c>
      <c r="C450" t="s">
        <v>18</v>
      </c>
      <c r="D450" t="s">
        <v>444</v>
      </c>
      <c r="E450" t="s">
        <v>47</v>
      </c>
      <c r="F450" t="s">
        <v>47</v>
      </c>
      <c r="G450" t="s">
        <v>26</v>
      </c>
      <c r="H450" t="str">
        <f t="shared" ref="H450:H513" si="14">IF(LEFT(D450,4)="adel","adel",IF(LEFT(D450,11)="buergerlich","buergerlich",IF(LEFT(D450,6)="klerus","klerus",IF(D450="NA","NA",IF(LEFT(D450,9)="unbekannt","unbekannt",IF(LEFT(D450,5)="bauer","bauer","not found"))))))</f>
        <v>buergerlich</v>
      </c>
      <c r="I450" t="str" cm="1">
        <f t="array" ref="I450">_xlfn.SWITCH(A450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50" s="4">
        <f>IF(AND(B450=Werte!B450,LEFT(A450,5)=LEFT(Werte!A450,5)),Werte!C450,"not found")</f>
        <v>0.8</v>
      </c>
      <c r="K450" s="4">
        <f>IF(AND(B450=Werte!B450,LEFT(A450,5)=LEFT(Werte!A450,5)),Werte!D450,"not found")</f>
        <v>0.25</v>
      </c>
      <c r="L450" s="4">
        <f>IF(AND(B450=Werte!B450,LEFT(A450,5)=LEFT(Werte!A450,5)),Werte!E450,"not found")</f>
        <v>0.33333333333333298</v>
      </c>
      <c r="M450" s="4">
        <f>IF(AND(B450=Werte!B450,LEFT(A450,5)=LEFT(Werte!A450,5)),Werte!F450,"not found")</f>
        <v>9.5920579422089605E-2</v>
      </c>
      <c r="N450" s="4" t="str">
        <f t="shared" ref="N450:N513" si="15">IF(RIGHT(F450,10)="betrogener","betrogener",IF(RIGHT(F450,9)="betrueger","betrueger",F450))</f>
        <v>unbekannt</v>
      </c>
      <c r="O450" s="4" cm="1">
        <f t="array" ref="O450">_xlfn.SWITCH(A450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50" s="4" t="str">
        <f>IF(Nodes[[#This Row],[Bezeichnung2]] = "betrueger",1,"")</f>
        <v/>
      </c>
      <c r="Q450" s="4" t="str">
        <f>IF(Nodes[[#This Row],[Bezeichnung2]] = "betrogener",2,"")</f>
        <v/>
      </c>
      <c r="R450" s="4" t="str">
        <f>IF(Nodes[[#This Row],[Bezeichnung2]] = "liebender",3,"")</f>
        <v/>
      </c>
      <c r="S450" s="4" t="str">
        <f>IF(Nodes[[#This Row],[Bezeichnung2]] = "liebende",4,"")</f>
        <v/>
      </c>
      <c r="T450" s="4" t="str">
        <f>IF(Nodes[[#This Row],[Bezeichnung2]] = "gegenspieler",5,"")</f>
        <v/>
      </c>
    </row>
    <row r="451" spans="1:20" x14ac:dyDescent="0.3">
      <c r="A451" t="s">
        <v>445</v>
      </c>
      <c r="B451" t="s">
        <v>446</v>
      </c>
      <c r="C451" t="s">
        <v>18</v>
      </c>
      <c r="D451" t="s">
        <v>257</v>
      </c>
      <c r="E451" t="s">
        <v>20</v>
      </c>
      <c r="F451" t="s">
        <v>96</v>
      </c>
      <c r="G451" t="s">
        <v>22</v>
      </c>
      <c r="H451" t="str">
        <f t="shared" si="14"/>
        <v>buergerlich</v>
      </c>
      <c r="I451" t="str" cm="1">
        <f t="array" ref="I451">_xlfn.SWITCH(A451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51" s="4">
        <f>IF(AND(B451=Werte!B451,LEFT(A451,5)=LEFT(Werte!A451,5)),Werte!C451,"not found")</f>
        <v>2</v>
      </c>
      <c r="K451" s="4">
        <f>IF(AND(B451=Werte!B451,LEFT(A451,5)=LEFT(Werte!A451,5)),Werte!D451,"not found")</f>
        <v>0.33333333333333298</v>
      </c>
      <c r="L451" s="4">
        <f>IF(AND(B451=Werte!B451,LEFT(A451,5)=LEFT(Werte!A451,5)),Werte!E451,"not found")</f>
        <v>0.3</v>
      </c>
      <c r="M451" s="4">
        <f>IF(AND(B451=Werte!B451,LEFT(A451,5)=LEFT(Werte!A451,5)),Werte!F451,"not found")</f>
        <v>0.96417092020800998</v>
      </c>
      <c r="N451" s="4" t="str">
        <f t="shared" si="15"/>
        <v>betrueger</v>
      </c>
      <c r="O451" s="4" cm="1">
        <f t="array" ref="O451">_xlfn.SWITCH(A451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51" s="4">
        <f>IF(Nodes[[#This Row],[Bezeichnung2]] = "betrueger",1,"")</f>
        <v>1</v>
      </c>
      <c r="Q451" s="4" t="str">
        <f>IF(Nodes[[#This Row],[Bezeichnung2]] = "betrogener",2,"")</f>
        <v/>
      </c>
      <c r="R451" s="4" t="str">
        <f>IF(Nodes[[#This Row],[Bezeichnung2]] = "liebender",3,"")</f>
        <v/>
      </c>
      <c r="S451" s="4" t="str">
        <f>IF(Nodes[[#This Row],[Bezeichnung2]] = "liebende",4,"")</f>
        <v/>
      </c>
      <c r="T451" s="4" t="str">
        <f>IF(Nodes[[#This Row],[Bezeichnung2]] = "gegenspieler",5,"")</f>
        <v/>
      </c>
    </row>
    <row r="452" spans="1:20" x14ac:dyDescent="0.3">
      <c r="A452" t="s">
        <v>445</v>
      </c>
      <c r="B452" t="s">
        <v>117</v>
      </c>
      <c r="C452" t="s">
        <v>24</v>
      </c>
      <c r="D452" t="s">
        <v>47</v>
      </c>
      <c r="E452" t="s">
        <v>47</v>
      </c>
      <c r="F452" t="s">
        <v>55</v>
      </c>
      <c r="G452" t="s">
        <v>22</v>
      </c>
      <c r="H452" t="str">
        <f t="shared" si="14"/>
        <v>unbekannt</v>
      </c>
      <c r="I452" t="str" cm="1">
        <f t="array" ref="I452">_xlfn.SWITCH(A452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52" s="4">
        <f>IF(AND(B452=Werte!B452,LEFT(A452,5)=LEFT(Werte!A452,5)),Werte!C452,"not found")</f>
        <v>2</v>
      </c>
      <c r="K452" s="4">
        <f>IF(AND(B452=Werte!B452,LEFT(A452,5)=LEFT(Werte!A452,5)),Werte!D452,"not found")</f>
        <v>0</v>
      </c>
      <c r="L452" s="4">
        <f>IF(AND(B452=Werte!B452,LEFT(A452,5)=LEFT(Werte!A452,5)),Werte!E452,"not found")</f>
        <v>0.230769230769231</v>
      </c>
      <c r="M452" s="4">
        <f>IF(AND(B452=Werte!B452,LEFT(A452,5)=LEFT(Werte!A452,5)),Werte!F452,"not found")</f>
        <v>1</v>
      </c>
      <c r="N452" s="4" t="str">
        <f t="shared" si="15"/>
        <v>betrueger</v>
      </c>
      <c r="O452" s="4" cm="1">
        <f t="array" ref="O452">_xlfn.SWITCH(A452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52" s="4">
        <f>IF(Nodes[[#This Row],[Bezeichnung2]] = "betrueger",1,"")</f>
        <v>1</v>
      </c>
      <c r="Q452" s="4" t="str">
        <f>IF(Nodes[[#This Row],[Bezeichnung2]] = "betrogener",2,"")</f>
        <v/>
      </c>
      <c r="R452" s="4" t="str">
        <f>IF(Nodes[[#This Row],[Bezeichnung2]] = "liebender",3,"")</f>
        <v/>
      </c>
      <c r="S452" s="4" t="str">
        <f>IF(Nodes[[#This Row],[Bezeichnung2]] = "liebende",4,"")</f>
        <v/>
      </c>
      <c r="T452" s="4" t="str">
        <f>IF(Nodes[[#This Row],[Bezeichnung2]] = "gegenspieler",5,"")</f>
        <v/>
      </c>
    </row>
    <row r="453" spans="1:20" x14ac:dyDescent="0.3">
      <c r="A453" t="s">
        <v>445</v>
      </c>
      <c r="B453" t="s">
        <v>447</v>
      </c>
      <c r="C453" t="s">
        <v>24</v>
      </c>
      <c r="D453" t="s">
        <v>434</v>
      </c>
      <c r="E453" t="s">
        <v>47</v>
      </c>
      <c r="F453" t="s">
        <v>47</v>
      </c>
      <c r="G453" t="s">
        <v>26</v>
      </c>
      <c r="H453" t="str">
        <f t="shared" si="14"/>
        <v>unbekannt</v>
      </c>
      <c r="I453" t="str" cm="1">
        <f t="array" ref="I453">_xlfn.SWITCH(A453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53" s="4">
        <f>IF(AND(B453=Werte!B453,LEFT(A453,5)=LEFT(Werte!A453,5)),Werte!C453,"not found")</f>
        <v>1.3333333333333299</v>
      </c>
      <c r="K453" s="4">
        <f>IF(AND(B453=Werte!B453,LEFT(A453,5)=LEFT(Werte!A453,5)),Werte!D453,"not found")</f>
        <v>0.33333333333333298</v>
      </c>
      <c r="L453" s="4">
        <f>IF(AND(B453=Werte!B453,LEFT(A453,5)=LEFT(Werte!A453,5)),Werte!E453,"not found")</f>
        <v>0.3</v>
      </c>
      <c r="M453" s="4">
        <f>IF(AND(B453=Werte!B453,LEFT(A453,5)=LEFT(Werte!A453,5)),Werte!F453,"not found")</f>
        <v>0.177660242290957</v>
      </c>
      <c r="N453" s="4" t="str">
        <f t="shared" si="15"/>
        <v>unbekannt</v>
      </c>
      <c r="O453" s="4" cm="1">
        <f t="array" ref="O453">_xlfn.SWITCH(A453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53" s="4" t="str">
        <f>IF(Nodes[[#This Row],[Bezeichnung2]] = "betrueger",1,"")</f>
        <v/>
      </c>
      <c r="Q453" s="4" t="str">
        <f>IF(Nodes[[#This Row],[Bezeichnung2]] = "betrogener",2,"")</f>
        <v/>
      </c>
      <c r="R453" s="4" t="str">
        <f>IF(Nodes[[#This Row],[Bezeichnung2]] = "liebender",3,"")</f>
        <v/>
      </c>
      <c r="S453" s="4" t="str">
        <f>IF(Nodes[[#This Row],[Bezeichnung2]] = "liebende",4,"")</f>
        <v/>
      </c>
      <c r="T453" s="4" t="str">
        <f>IF(Nodes[[#This Row],[Bezeichnung2]] = "gegenspieler",5,"")</f>
        <v/>
      </c>
    </row>
    <row r="454" spans="1:20" x14ac:dyDescent="0.3">
      <c r="A454" t="s">
        <v>445</v>
      </c>
      <c r="B454" t="s">
        <v>448</v>
      </c>
      <c r="C454" t="s">
        <v>18</v>
      </c>
      <c r="D454" t="s">
        <v>47</v>
      </c>
      <c r="E454" t="s">
        <v>47</v>
      </c>
      <c r="F454" t="s">
        <v>50</v>
      </c>
      <c r="G454" t="s">
        <v>26</v>
      </c>
      <c r="H454" t="str">
        <f t="shared" si="14"/>
        <v>unbekannt</v>
      </c>
      <c r="I454" t="str" cm="1">
        <f t="array" ref="I454">_xlfn.SWITCH(A454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54" s="4">
        <f>IF(AND(B454=Werte!B454,LEFT(A454,5)=LEFT(Werte!A454,5)),Werte!C454,"not found")</f>
        <v>1.3333333333333299</v>
      </c>
      <c r="K454" s="4">
        <f>IF(AND(B454=Werte!B454,LEFT(A454,5)=LEFT(Werte!A454,5)),Werte!D454,"not found")</f>
        <v>0</v>
      </c>
      <c r="L454" s="4">
        <f>IF(AND(B454=Werte!B454,LEFT(A454,5)=LEFT(Werte!A454,5)),Werte!E454,"not found")</f>
        <v>0.17647058823529399</v>
      </c>
      <c r="M454" s="4">
        <f>IF(AND(B454=Werte!B454,LEFT(A454,5)=LEFT(Werte!A454,5)),Werte!F454,"not found")</f>
        <v>0.49099623494289202</v>
      </c>
      <c r="N454" s="4" t="str">
        <f t="shared" si="15"/>
        <v>betrogener</v>
      </c>
      <c r="O454" s="4" cm="1">
        <f t="array" ref="O454">_xlfn.SWITCH(A454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54" s="4" t="str">
        <f>IF(Nodes[[#This Row],[Bezeichnung2]] = "betrueger",1,"")</f>
        <v/>
      </c>
      <c r="Q454" s="4">
        <f>IF(Nodes[[#This Row],[Bezeichnung2]] = "betrogener",2,"")</f>
        <v>2</v>
      </c>
      <c r="R454" s="4" t="str">
        <f>IF(Nodes[[#This Row],[Bezeichnung2]] = "liebender",3,"")</f>
        <v/>
      </c>
      <c r="S454" s="4" t="str">
        <f>IF(Nodes[[#This Row],[Bezeichnung2]] = "liebende",4,"")</f>
        <v/>
      </c>
      <c r="T454" s="4" t="str">
        <f>IF(Nodes[[#This Row],[Bezeichnung2]] = "gegenspieler",5,"")</f>
        <v/>
      </c>
    </row>
    <row r="455" spans="1:20" x14ac:dyDescent="0.3">
      <c r="A455" t="s">
        <v>449</v>
      </c>
      <c r="B455" t="s">
        <v>411</v>
      </c>
      <c r="C455" t="s">
        <v>24</v>
      </c>
      <c r="D455" t="s">
        <v>108</v>
      </c>
      <c r="E455" t="s">
        <v>20</v>
      </c>
      <c r="F455" t="s">
        <v>25</v>
      </c>
      <c r="G455" t="s">
        <v>22</v>
      </c>
      <c r="H455" t="str">
        <f t="shared" si="14"/>
        <v>buergerlich</v>
      </c>
      <c r="I455" t="str" cm="1">
        <f t="array" ref="I455">_xlfn.SWITCH(A455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455" s="4">
        <f>IF(AND(B455=Werte!B455,LEFT(A455,5)=LEFT(Werte!A455,5)),Werte!C455,"not found")</f>
        <v>1.6666666666666701</v>
      </c>
      <c r="K455" s="4">
        <f>IF(AND(B455=Werte!B455,LEFT(A455,5)=LEFT(Werte!A455,5)),Werte!D455,"not found")</f>
        <v>0.266666666666667</v>
      </c>
      <c r="L455" s="4">
        <f>IF(AND(B455=Werte!B455,LEFT(A455,5)=LEFT(Werte!A455,5)),Werte!E455,"not found")</f>
        <v>0.26086956521739102</v>
      </c>
      <c r="M455" s="4">
        <f>IF(AND(B455=Werte!B455,LEFT(A455,5)=LEFT(Werte!A455,5)),Werte!F455,"not found")</f>
        <v>0.98310577465358695</v>
      </c>
      <c r="N455" s="4" t="str">
        <f t="shared" si="15"/>
        <v>ehefrau</v>
      </c>
      <c r="O455" s="4" cm="1">
        <f t="array" ref="O455">_xlfn.SWITCH(A455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455" s="4" t="str">
        <f>IF(Nodes[[#This Row],[Bezeichnung2]] = "betrueger",1,"")</f>
        <v/>
      </c>
      <c r="Q455" s="4" t="str">
        <f>IF(Nodes[[#This Row],[Bezeichnung2]] = "betrogener",2,"")</f>
        <v/>
      </c>
      <c r="R455" s="4" t="str">
        <f>IF(Nodes[[#This Row],[Bezeichnung2]] = "liebender",3,"")</f>
        <v/>
      </c>
      <c r="S455" s="4" t="str">
        <f>IF(Nodes[[#This Row],[Bezeichnung2]] = "liebende",4,"")</f>
        <v/>
      </c>
      <c r="T455" s="4" t="str">
        <f>IF(Nodes[[#This Row],[Bezeichnung2]] = "gegenspieler",5,"")</f>
        <v/>
      </c>
    </row>
    <row r="456" spans="1:20" x14ac:dyDescent="0.3">
      <c r="A456" t="s">
        <v>449</v>
      </c>
      <c r="B456" t="s">
        <v>56</v>
      </c>
      <c r="C456" t="s">
        <v>18</v>
      </c>
      <c r="D456" t="s">
        <v>57</v>
      </c>
      <c r="E456" t="s">
        <v>47</v>
      </c>
      <c r="F456" t="s">
        <v>39</v>
      </c>
      <c r="G456" t="s">
        <v>22</v>
      </c>
      <c r="H456" t="str">
        <f t="shared" si="14"/>
        <v>adel</v>
      </c>
      <c r="I456" t="str" cm="1">
        <f t="array" ref="I456">_xlfn.SWITCH(A456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456" s="4">
        <f>IF(AND(B456=Werte!B456,LEFT(A456,5)=LEFT(Werte!A456,5)),Werte!C456,"not found")</f>
        <v>2</v>
      </c>
      <c r="K456" s="4">
        <f>IF(AND(B456=Werte!B456,LEFT(A456,5)=LEFT(Werte!A456,5)),Werte!D456,"not found")</f>
        <v>0.4</v>
      </c>
      <c r="L456" s="4">
        <f>IF(AND(B456=Werte!B456,LEFT(A456,5)=LEFT(Werte!A456,5)),Werte!E456,"not found")</f>
        <v>0.3</v>
      </c>
      <c r="M456" s="4">
        <f>IF(AND(B456=Werte!B456,LEFT(A456,5)=LEFT(Werte!A456,5)),Werte!F456,"not found")</f>
        <v>1</v>
      </c>
      <c r="N456" s="4" t="str">
        <f t="shared" si="15"/>
        <v>liebender</v>
      </c>
      <c r="O456" s="4" cm="1">
        <f t="array" ref="O456">_xlfn.SWITCH(A456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456" s="4" t="str">
        <f>IF(Nodes[[#This Row],[Bezeichnung2]] = "betrueger",1,"")</f>
        <v/>
      </c>
      <c r="Q456" s="4" t="str">
        <f>IF(Nodes[[#This Row],[Bezeichnung2]] = "betrogener",2,"")</f>
        <v/>
      </c>
      <c r="R456" s="4">
        <f>IF(Nodes[[#This Row],[Bezeichnung2]] = "liebender",3,"")</f>
        <v>3</v>
      </c>
      <c r="S456" s="4" t="str">
        <f>IF(Nodes[[#This Row],[Bezeichnung2]] = "liebende",4,"")</f>
        <v/>
      </c>
      <c r="T456" s="4" t="str">
        <f>IF(Nodes[[#This Row],[Bezeichnung2]] = "gegenspieler",5,"")</f>
        <v/>
      </c>
    </row>
    <row r="457" spans="1:20" x14ac:dyDescent="0.3">
      <c r="A457" t="s">
        <v>449</v>
      </c>
      <c r="B457" t="s">
        <v>450</v>
      </c>
      <c r="C457" t="s">
        <v>18</v>
      </c>
      <c r="D457" t="s">
        <v>108</v>
      </c>
      <c r="E457" t="s">
        <v>20</v>
      </c>
      <c r="F457" t="s">
        <v>21</v>
      </c>
      <c r="G457" t="s">
        <v>22</v>
      </c>
      <c r="H457" t="str">
        <f t="shared" si="14"/>
        <v>buergerlich</v>
      </c>
      <c r="I457" t="str" cm="1">
        <f t="array" ref="I457">_xlfn.SWITCH(A457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457" s="4">
        <f>IF(AND(B457=Werte!B457,LEFT(A457,5)=LEFT(Werte!A457,5)),Werte!C457,"not found")</f>
        <v>1</v>
      </c>
      <c r="K457" s="4">
        <f>IF(AND(B457=Werte!B457,LEFT(A457,5)=LEFT(Werte!A457,5)),Werte!D457,"not found")</f>
        <v>0</v>
      </c>
      <c r="L457" s="4">
        <f>IF(AND(B457=Werte!B457,LEFT(A457,5)=LEFT(Werte!A457,5)),Werte!E457,"not found")</f>
        <v>0.17142857142857101</v>
      </c>
      <c r="M457" s="4">
        <f>IF(AND(B457=Werte!B457,LEFT(A457,5)=LEFT(Werte!A457,5)),Werte!F457,"not found")</f>
        <v>0.58393144868476099</v>
      </c>
      <c r="N457" s="4" t="str">
        <f t="shared" si="15"/>
        <v>ehemann</v>
      </c>
      <c r="O457" s="4" cm="1">
        <f t="array" ref="O457">_xlfn.SWITCH(A457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457" s="4" t="str">
        <f>IF(Nodes[[#This Row],[Bezeichnung2]] = "betrueger",1,"")</f>
        <v/>
      </c>
      <c r="Q457" s="4" t="str">
        <f>IF(Nodes[[#This Row],[Bezeichnung2]] = "betrogener",2,"")</f>
        <v/>
      </c>
      <c r="R457" s="4" t="str">
        <f>IF(Nodes[[#This Row],[Bezeichnung2]] = "liebender",3,"")</f>
        <v/>
      </c>
      <c r="S457" s="4" t="str">
        <f>IF(Nodes[[#This Row],[Bezeichnung2]] = "liebende",4,"")</f>
        <v/>
      </c>
      <c r="T457" s="4" t="str">
        <f>IF(Nodes[[#This Row],[Bezeichnung2]] = "gegenspieler",5,"")</f>
        <v/>
      </c>
    </row>
    <row r="458" spans="1:20" x14ac:dyDescent="0.3">
      <c r="A458" t="s">
        <v>449</v>
      </c>
      <c r="B458" t="s">
        <v>451</v>
      </c>
      <c r="C458" t="s">
        <v>18</v>
      </c>
      <c r="D458" t="s">
        <v>47</v>
      </c>
      <c r="E458" t="s">
        <v>47</v>
      </c>
      <c r="F458" t="s">
        <v>71</v>
      </c>
      <c r="G458" t="s">
        <v>26</v>
      </c>
      <c r="H458" t="str">
        <f t="shared" si="14"/>
        <v>unbekannt</v>
      </c>
      <c r="I458" t="str" cm="1">
        <f t="array" ref="I458">_xlfn.SWITCH(A458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458" s="4">
        <f>IF(AND(B458=Werte!B458,LEFT(A458,5)=LEFT(Werte!A458,5)),Werte!C458,"not found")</f>
        <v>0.33333333333333298</v>
      </c>
      <c r="K458" s="4">
        <f>IF(AND(B458=Werte!B458,LEFT(A458,5)=LEFT(Werte!A458,5)),Werte!D458,"not found")</f>
        <v>0</v>
      </c>
      <c r="L458" s="4">
        <f>IF(AND(B458=Werte!B458,LEFT(A458,5)=LEFT(Werte!A458,5)),Werte!E458,"not found")</f>
        <v>0.2</v>
      </c>
      <c r="M458" s="4">
        <f>IF(AND(B458=Werte!B458,LEFT(A458,5)=LEFT(Werte!A458,5)),Werte!F458,"not found")</f>
        <v>4.4644943960943498E-2</v>
      </c>
      <c r="N458" s="4" t="str">
        <f t="shared" si="15"/>
        <v>gegner</v>
      </c>
      <c r="O458" s="4" cm="1">
        <f t="array" ref="O458">_xlfn.SWITCH(A458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458" s="4" t="str">
        <f>IF(Nodes[[#This Row],[Bezeichnung2]] = "betrueger",1,"")</f>
        <v/>
      </c>
      <c r="Q458" s="4" t="str">
        <f>IF(Nodes[[#This Row],[Bezeichnung2]] = "betrogener",2,"")</f>
        <v/>
      </c>
      <c r="R458" s="4" t="str">
        <f>IF(Nodes[[#This Row],[Bezeichnung2]] = "liebender",3,"")</f>
        <v/>
      </c>
      <c r="S458" s="4" t="str">
        <f>IF(Nodes[[#This Row],[Bezeichnung2]] = "liebende",4,"")</f>
        <v/>
      </c>
      <c r="T458" s="4" t="str">
        <f>IF(Nodes[[#This Row],[Bezeichnung2]] = "gegenspieler",5,"")</f>
        <v/>
      </c>
    </row>
    <row r="459" spans="1:20" x14ac:dyDescent="0.3">
      <c r="A459" t="s">
        <v>449</v>
      </c>
      <c r="B459" t="s">
        <v>443</v>
      </c>
      <c r="C459" t="s">
        <v>18</v>
      </c>
      <c r="D459" t="s">
        <v>444</v>
      </c>
      <c r="E459" t="s">
        <v>47</v>
      </c>
      <c r="F459" t="s">
        <v>47</v>
      </c>
      <c r="G459" t="s">
        <v>26</v>
      </c>
      <c r="H459" t="str">
        <f t="shared" si="14"/>
        <v>buergerlich</v>
      </c>
      <c r="I459" t="str" cm="1">
        <f t="array" ref="I459">_xlfn.SWITCH(A459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459" s="4">
        <f>IF(AND(B459=Werte!B459,LEFT(A459,5)=LEFT(Werte!A459,5)),Werte!C459,"not found")</f>
        <v>0.66666666666666696</v>
      </c>
      <c r="K459" s="4">
        <f>IF(AND(B459=Werte!B459,LEFT(A459,5)=LEFT(Werte!A459,5)),Werte!D459,"not found")</f>
        <v>0.133333333333333</v>
      </c>
      <c r="L459" s="4">
        <f>IF(AND(B459=Werte!B459,LEFT(A459,5)=LEFT(Werte!A459,5)),Werte!E459,"not found")</f>
        <v>0.25</v>
      </c>
      <c r="M459" s="4">
        <f>IF(AND(B459=Werte!B459,LEFT(A459,5)=LEFT(Werte!A459,5)),Werte!F459,"not found")</f>
        <v>8.8912767049959804E-2</v>
      </c>
      <c r="N459" s="4" t="str">
        <f t="shared" si="15"/>
        <v>unbekannt</v>
      </c>
      <c r="O459" s="4" cm="1">
        <f t="array" ref="O459">_xlfn.SWITCH(A459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459" s="4" t="str">
        <f>IF(Nodes[[#This Row],[Bezeichnung2]] = "betrueger",1,"")</f>
        <v/>
      </c>
      <c r="Q459" s="4" t="str">
        <f>IF(Nodes[[#This Row],[Bezeichnung2]] = "betrogener",2,"")</f>
        <v/>
      </c>
      <c r="R459" s="4" t="str">
        <f>IF(Nodes[[#This Row],[Bezeichnung2]] = "liebender",3,"")</f>
        <v/>
      </c>
      <c r="S459" s="4" t="str">
        <f>IF(Nodes[[#This Row],[Bezeichnung2]] = "liebende",4,"")</f>
        <v/>
      </c>
      <c r="T459" s="4" t="str">
        <f>IF(Nodes[[#This Row],[Bezeichnung2]] = "gegenspieler",5,"")</f>
        <v/>
      </c>
    </row>
    <row r="460" spans="1:20" x14ac:dyDescent="0.3">
      <c r="A460" t="s">
        <v>449</v>
      </c>
      <c r="B460" t="s">
        <v>452</v>
      </c>
      <c r="C460" t="s">
        <v>24</v>
      </c>
      <c r="D460" t="s">
        <v>129</v>
      </c>
      <c r="E460" t="s">
        <v>47</v>
      </c>
      <c r="F460" t="s">
        <v>47</v>
      </c>
      <c r="G460" t="s">
        <v>26</v>
      </c>
      <c r="H460" t="str">
        <f t="shared" si="14"/>
        <v>buergerlich</v>
      </c>
      <c r="I460" t="str" cm="1">
        <f t="array" ref="I460">_xlfn.SWITCH(A460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460" s="4">
        <f>IF(AND(B460=Werte!B460,LEFT(A460,5)=LEFT(Werte!A460,5)),Werte!C460,"not found")</f>
        <v>1</v>
      </c>
      <c r="K460" s="4">
        <f>IF(AND(B460=Werte!B460,LEFT(A460,5)=LEFT(Werte!A460,5)),Werte!D460,"not found")</f>
        <v>0.33333333333333298</v>
      </c>
      <c r="L460" s="4">
        <f>IF(AND(B460=Werte!B460,LEFT(A460,5)=LEFT(Werte!A460,5)),Werte!E460,"not found")</f>
        <v>0.24</v>
      </c>
      <c r="M460" s="4">
        <f>IF(AND(B460=Werte!B460,LEFT(A460,5)=LEFT(Werte!A460,5)),Werte!F460,"not found")</f>
        <v>0.18081840717915701</v>
      </c>
      <c r="N460" s="4" t="str">
        <f t="shared" si="15"/>
        <v>unbekannt</v>
      </c>
      <c r="O460" s="4" cm="1">
        <f t="array" ref="O460">_xlfn.SWITCH(A460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460" s="4" t="str">
        <f>IF(Nodes[[#This Row],[Bezeichnung2]] = "betrueger",1,"")</f>
        <v/>
      </c>
      <c r="Q460" s="4" t="str">
        <f>IF(Nodes[[#This Row],[Bezeichnung2]] = "betrogener",2,"")</f>
        <v/>
      </c>
      <c r="R460" s="4" t="str">
        <f>IF(Nodes[[#This Row],[Bezeichnung2]] = "liebender",3,"")</f>
        <v/>
      </c>
      <c r="S460" s="4" t="str">
        <f>IF(Nodes[[#This Row],[Bezeichnung2]] = "liebende",4,"")</f>
        <v/>
      </c>
      <c r="T460" s="4" t="str">
        <f>IF(Nodes[[#This Row],[Bezeichnung2]] = "gegenspieler",5,"")</f>
        <v/>
      </c>
    </row>
    <row r="461" spans="1:20" x14ac:dyDescent="0.3">
      <c r="A461" t="s">
        <v>449</v>
      </c>
      <c r="B461" t="s">
        <v>453</v>
      </c>
      <c r="C461" t="s">
        <v>46</v>
      </c>
      <c r="D461" t="s">
        <v>119</v>
      </c>
      <c r="E461" t="s">
        <v>47</v>
      </c>
      <c r="F461" t="s">
        <v>47</v>
      </c>
      <c r="G461" t="s">
        <v>26</v>
      </c>
      <c r="H461" t="str">
        <f t="shared" si="14"/>
        <v>adel</v>
      </c>
      <c r="I461" t="str" cm="1">
        <f t="array" ref="I461">_xlfn.SWITCH(A461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461" s="4">
        <f>IF(AND(B461=Werte!B461,LEFT(A461,5)=LEFT(Werte!A461,5)),Werte!C461,"not found")</f>
        <v>0.66666666666666696</v>
      </c>
      <c r="K461" s="4">
        <f>IF(AND(B461=Werte!B461,LEFT(A461,5)=LEFT(Werte!A461,5)),Werte!D461,"not found")</f>
        <v>0</v>
      </c>
      <c r="L461" s="4">
        <f>IF(AND(B461=Werte!B461,LEFT(A461,5)=LEFT(Werte!A461,5)),Werte!E461,"not found")</f>
        <v>0.22222222222222199</v>
      </c>
      <c r="M461" s="4">
        <f>IF(AND(B461=Werte!B461,LEFT(A461,5)=LEFT(Werte!A461,5)),Werte!F461,"not found")</f>
        <v>0.11085811815850501</v>
      </c>
      <c r="N461" s="4" t="str">
        <f t="shared" si="15"/>
        <v>unbekannt</v>
      </c>
      <c r="O461" s="4" cm="1">
        <f t="array" ref="O461">_xlfn.SWITCH(A461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461" s="4" t="str">
        <f>IF(Nodes[[#This Row],[Bezeichnung2]] = "betrueger",1,"")</f>
        <v/>
      </c>
      <c r="Q461" s="4" t="str">
        <f>IF(Nodes[[#This Row],[Bezeichnung2]] = "betrogener",2,"")</f>
        <v/>
      </c>
      <c r="R461" s="4" t="str">
        <f>IF(Nodes[[#This Row],[Bezeichnung2]] = "liebender",3,"")</f>
        <v/>
      </c>
      <c r="S461" s="4" t="str">
        <f>IF(Nodes[[#This Row],[Bezeichnung2]] = "liebende",4,"")</f>
        <v/>
      </c>
      <c r="T461" s="4" t="str">
        <f>IF(Nodes[[#This Row],[Bezeichnung2]] = "gegenspieler",5,"")</f>
        <v/>
      </c>
    </row>
    <row r="462" spans="1:20" x14ac:dyDescent="0.3">
      <c r="A462" t="s">
        <v>454</v>
      </c>
      <c r="B462" t="s">
        <v>49</v>
      </c>
      <c r="C462" t="s">
        <v>18</v>
      </c>
      <c r="D462" t="s">
        <v>57</v>
      </c>
      <c r="E462" t="s">
        <v>47</v>
      </c>
      <c r="F462" t="s">
        <v>33</v>
      </c>
      <c r="G462" t="s">
        <v>22</v>
      </c>
      <c r="H462" t="str">
        <f t="shared" si="14"/>
        <v>adel</v>
      </c>
      <c r="I462" t="str" cm="1">
        <f t="array" ref="I462">_xlfn.SWITCH(A462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62" s="4">
        <f>IF(AND(B462=Werte!B462,LEFT(A462,5)=LEFT(Werte!A462,5)),Werte!C462,"not found")</f>
        <v>1.2</v>
      </c>
      <c r="K462" s="4">
        <f>IF(AND(B462=Werte!B462,LEFT(A462,5)=LEFT(Werte!A462,5)),Werte!D462,"not found")</f>
        <v>0</v>
      </c>
      <c r="L462" s="4">
        <f>IF(AND(B462=Werte!B462,LEFT(A462,5)=LEFT(Werte!A462,5)),Werte!E462,"not found")</f>
        <v>0.12195121951219499</v>
      </c>
      <c r="M462" s="4">
        <f>IF(AND(B462=Werte!B462,LEFT(A462,5)=LEFT(Werte!A462,5)),Werte!F462,"not found")</f>
        <v>0.86660102782214898</v>
      </c>
      <c r="N462" s="4" t="str">
        <f t="shared" si="15"/>
        <v>vater</v>
      </c>
      <c r="O462" s="4" cm="1">
        <f t="array" ref="O462">_xlfn.SWITCH(A462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62" s="4" t="str">
        <f>IF(Nodes[[#This Row],[Bezeichnung2]] = "betrueger",1,"")</f>
        <v/>
      </c>
      <c r="Q462" s="4" t="str">
        <f>IF(Nodes[[#This Row],[Bezeichnung2]] = "betrogener",2,"")</f>
        <v/>
      </c>
      <c r="R462" s="4" t="str">
        <f>IF(Nodes[[#This Row],[Bezeichnung2]] = "liebender",3,"")</f>
        <v/>
      </c>
      <c r="S462" s="4" t="str">
        <f>IF(Nodes[[#This Row],[Bezeichnung2]] = "liebende",4,"")</f>
        <v/>
      </c>
      <c r="T462" s="4" t="str">
        <f>IF(Nodes[[#This Row],[Bezeichnung2]] = "gegenspieler",5,"")</f>
        <v/>
      </c>
    </row>
    <row r="463" spans="1:20" x14ac:dyDescent="0.3">
      <c r="A463" t="s">
        <v>454</v>
      </c>
      <c r="B463" t="s">
        <v>54</v>
      </c>
      <c r="C463" t="s">
        <v>24</v>
      </c>
      <c r="D463" t="s">
        <v>86</v>
      </c>
      <c r="E463" t="s">
        <v>47</v>
      </c>
      <c r="F463" t="s">
        <v>36</v>
      </c>
      <c r="G463" t="s">
        <v>22</v>
      </c>
      <c r="H463" t="str">
        <f t="shared" si="14"/>
        <v>adel</v>
      </c>
      <c r="I463" t="str" cm="1">
        <f t="array" ref="I463">_xlfn.SWITCH(A463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63" s="4">
        <f>IF(AND(B463=Werte!B463,LEFT(A463,5)=LEFT(Werte!A463,5)),Werte!C463,"not found")</f>
        <v>1.6</v>
      </c>
      <c r="K463" s="4">
        <f>IF(AND(B463=Werte!B463,LEFT(A463,5)=LEFT(Werte!A463,5)),Werte!D463,"not found")</f>
        <v>0.1</v>
      </c>
      <c r="L463" s="4">
        <f>IF(AND(B463=Werte!B463,LEFT(A463,5)=LEFT(Werte!A463,5)),Werte!E463,"not found")</f>
        <v>0.27777777777777801</v>
      </c>
      <c r="M463" s="4">
        <f>IF(AND(B463=Werte!B463,LEFT(A463,5)=LEFT(Werte!A463,5)),Werte!F463,"not found")</f>
        <v>0.86875827609624301</v>
      </c>
      <c r="N463" s="4" t="str">
        <f t="shared" si="15"/>
        <v>mutter</v>
      </c>
      <c r="O463" s="4" cm="1">
        <f t="array" ref="O463">_xlfn.SWITCH(A463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63" s="4" t="str">
        <f>IF(Nodes[[#This Row],[Bezeichnung2]] = "betrueger",1,"")</f>
        <v/>
      </c>
      <c r="Q463" s="4" t="str">
        <f>IF(Nodes[[#This Row],[Bezeichnung2]] = "betrogener",2,"")</f>
        <v/>
      </c>
      <c r="R463" s="4" t="str">
        <f>IF(Nodes[[#This Row],[Bezeichnung2]] = "liebender",3,"")</f>
        <v/>
      </c>
      <c r="S463" s="4" t="str">
        <f>IF(Nodes[[#This Row],[Bezeichnung2]] = "liebende",4,"")</f>
        <v/>
      </c>
      <c r="T463" s="4" t="str">
        <f>IF(Nodes[[#This Row],[Bezeichnung2]] = "gegenspieler",5,"")</f>
        <v/>
      </c>
    </row>
    <row r="464" spans="1:20" x14ac:dyDescent="0.3">
      <c r="A464" t="s">
        <v>454</v>
      </c>
      <c r="B464" t="s">
        <v>155</v>
      </c>
      <c r="C464" t="s">
        <v>24</v>
      </c>
      <c r="D464" t="s">
        <v>86</v>
      </c>
      <c r="E464" t="s">
        <v>20</v>
      </c>
      <c r="F464" t="s">
        <v>25</v>
      </c>
      <c r="G464" t="s">
        <v>22</v>
      </c>
      <c r="H464" t="str">
        <f t="shared" si="14"/>
        <v>adel</v>
      </c>
      <c r="I464" t="str" cm="1">
        <f t="array" ref="I464">_xlfn.SWITCH(A464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64" s="4">
        <f>IF(AND(B464=Werte!B464,LEFT(A464,5)=LEFT(Werte!A464,5)),Werte!C464,"not found")</f>
        <v>1.6</v>
      </c>
      <c r="K464" s="4">
        <f>IF(AND(B464=Werte!B464,LEFT(A464,5)=LEFT(Werte!A464,5)),Werte!D464,"not found")</f>
        <v>0.15</v>
      </c>
      <c r="L464" s="4">
        <f>IF(AND(B464=Werte!B464,LEFT(A464,5)=LEFT(Werte!A464,5)),Werte!E464,"not found")</f>
        <v>0.29411764705882398</v>
      </c>
      <c r="M464" s="4">
        <f>IF(AND(B464=Werte!B464,LEFT(A464,5)=LEFT(Werte!A464,5)),Werte!F464,"not found")</f>
        <v>0.90345687342862402</v>
      </c>
      <c r="N464" s="4" t="str">
        <f t="shared" si="15"/>
        <v>ehefrau</v>
      </c>
      <c r="O464" s="4" cm="1">
        <f t="array" ref="O464">_xlfn.SWITCH(A464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64" s="4" t="str">
        <f>IF(Nodes[[#This Row],[Bezeichnung2]] = "betrueger",1,"")</f>
        <v/>
      </c>
      <c r="Q464" s="4" t="str">
        <f>IF(Nodes[[#This Row],[Bezeichnung2]] = "betrogener",2,"")</f>
        <v/>
      </c>
      <c r="R464" s="4" t="str">
        <f>IF(Nodes[[#This Row],[Bezeichnung2]] = "liebender",3,"")</f>
        <v/>
      </c>
      <c r="S464" s="4" t="str">
        <f>IF(Nodes[[#This Row],[Bezeichnung2]] = "liebende",4,"")</f>
        <v/>
      </c>
      <c r="T464" s="4" t="str">
        <f>IF(Nodes[[#This Row],[Bezeichnung2]] = "gegenspieler",5,"")</f>
        <v/>
      </c>
    </row>
    <row r="465" spans="1:20" x14ac:dyDescent="0.3">
      <c r="A465" t="s">
        <v>454</v>
      </c>
      <c r="B465" t="s">
        <v>56</v>
      </c>
      <c r="C465" t="s">
        <v>18</v>
      </c>
      <c r="D465" t="s">
        <v>57</v>
      </c>
      <c r="E465" t="s">
        <v>47</v>
      </c>
      <c r="F465" t="s">
        <v>21</v>
      </c>
      <c r="G465" t="s">
        <v>22</v>
      </c>
      <c r="H465" t="str">
        <f t="shared" si="14"/>
        <v>adel</v>
      </c>
      <c r="I465" t="str" cm="1">
        <f t="array" ref="I465">_xlfn.SWITCH(A465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65" s="4">
        <f>IF(AND(B465=Werte!B465,LEFT(A465,5)=LEFT(Werte!A465,5)),Werte!C465,"not found")</f>
        <v>2</v>
      </c>
      <c r="K465" s="4">
        <f>IF(AND(B465=Werte!B465,LEFT(A465,5)=LEFT(Werte!A465,5)),Werte!D465,"not found")</f>
        <v>0.4</v>
      </c>
      <c r="L465" s="4">
        <f>IF(AND(B465=Werte!B465,LEFT(A465,5)=LEFT(Werte!A465,5)),Werte!E465,"not found")</f>
        <v>0.33333333333333298</v>
      </c>
      <c r="M465" s="4">
        <f>IF(AND(B465=Werte!B465,LEFT(A465,5)=LEFT(Werte!A465,5)),Werte!F465,"not found")</f>
        <v>1</v>
      </c>
      <c r="N465" s="4" t="str">
        <f t="shared" si="15"/>
        <v>ehemann</v>
      </c>
      <c r="O465" s="4" cm="1">
        <f t="array" ref="O465">_xlfn.SWITCH(A465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65" s="4" t="str">
        <f>IF(Nodes[[#This Row],[Bezeichnung2]] = "betrueger",1,"")</f>
        <v/>
      </c>
      <c r="Q465" s="4" t="str">
        <f>IF(Nodes[[#This Row],[Bezeichnung2]] = "betrogener",2,"")</f>
        <v/>
      </c>
      <c r="R465" s="4" t="str">
        <f>IF(Nodes[[#This Row],[Bezeichnung2]] = "liebender",3,"")</f>
        <v/>
      </c>
      <c r="S465" s="4" t="str">
        <f>IF(Nodes[[#This Row],[Bezeichnung2]] = "liebende",4,"")</f>
        <v/>
      </c>
      <c r="T465" s="4" t="str">
        <f>IF(Nodes[[#This Row],[Bezeichnung2]] = "gegenspieler",5,"")</f>
        <v/>
      </c>
    </row>
    <row r="466" spans="1:20" x14ac:dyDescent="0.3">
      <c r="A466" t="s">
        <v>454</v>
      </c>
      <c r="B466" t="s">
        <v>455</v>
      </c>
      <c r="C466" t="s">
        <v>46</v>
      </c>
      <c r="D466" t="s">
        <v>47</v>
      </c>
      <c r="E466" t="s">
        <v>47</v>
      </c>
      <c r="F466" t="s">
        <v>47</v>
      </c>
      <c r="G466" t="s">
        <v>26</v>
      </c>
      <c r="H466" t="str">
        <f t="shared" si="14"/>
        <v>unbekannt</v>
      </c>
      <c r="I466" t="str" cm="1">
        <f t="array" ref="I466">_xlfn.SWITCH(A466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66" s="4">
        <f>IF(AND(B466=Werte!B466,LEFT(A466,5)=LEFT(Werte!A466,5)),Werte!C466,"not found")</f>
        <v>0.8</v>
      </c>
      <c r="K466" s="4">
        <f>IF(AND(B466=Werte!B466,LEFT(A466,5)=LEFT(Werte!A466,5)),Werte!D466,"not found")</f>
        <v>0.35</v>
      </c>
      <c r="L466" s="4">
        <f>IF(AND(B466=Werte!B466,LEFT(A466,5)=LEFT(Werte!A466,5)),Werte!E466,"not found")</f>
        <v>0.33333333333333298</v>
      </c>
      <c r="M466" s="4">
        <f>IF(AND(B466=Werte!B466,LEFT(A466,5)=LEFT(Werte!A466,5)),Werte!F466,"not found")</f>
        <v>7.4055764941341307E-2</v>
      </c>
      <c r="N466" s="4" t="str">
        <f t="shared" si="15"/>
        <v>unbekannt</v>
      </c>
      <c r="O466" s="4" cm="1">
        <f t="array" ref="O466">_xlfn.SWITCH(A466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66" s="4" t="str">
        <f>IF(Nodes[[#This Row],[Bezeichnung2]] = "betrueger",1,"")</f>
        <v/>
      </c>
      <c r="Q466" s="4" t="str">
        <f>IF(Nodes[[#This Row],[Bezeichnung2]] = "betrogener",2,"")</f>
        <v/>
      </c>
      <c r="R466" s="4" t="str">
        <f>IF(Nodes[[#This Row],[Bezeichnung2]] = "liebender",3,"")</f>
        <v/>
      </c>
      <c r="S466" s="4" t="str">
        <f>IF(Nodes[[#This Row],[Bezeichnung2]] = "liebende",4,"")</f>
        <v/>
      </c>
      <c r="T466" s="4" t="str">
        <f>IF(Nodes[[#This Row],[Bezeichnung2]] = "gegenspieler",5,"")</f>
        <v/>
      </c>
    </row>
    <row r="467" spans="1:20" x14ac:dyDescent="0.3">
      <c r="A467" t="s">
        <v>454</v>
      </c>
      <c r="B467" t="s">
        <v>456</v>
      </c>
      <c r="C467" t="s">
        <v>46</v>
      </c>
      <c r="D467" t="s">
        <v>119</v>
      </c>
      <c r="E467" t="s">
        <v>47</v>
      </c>
      <c r="F467" t="s">
        <v>47</v>
      </c>
      <c r="G467" t="s">
        <v>26</v>
      </c>
      <c r="H467" t="str">
        <f t="shared" si="14"/>
        <v>adel</v>
      </c>
      <c r="I467" t="str" cm="1">
        <f t="array" ref="I467">_xlfn.SWITCH(A467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67" s="4">
        <f>IF(AND(B467=Werte!B467,LEFT(A467,5)=LEFT(Werte!A467,5)),Werte!C467,"not found")</f>
        <v>0.8</v>
      </c>
      <c r="K467" s="4">
        <f>IF(AND(B467=Werte!B467,LEFT(A467,5)=LEFT(Werte!A467,5)),Werte!D467,"not found")</f>
        <v>0.3</v>
      </c>
      <c r="L467" s="4">
        <f>IF(AND(B467=Werte!B467,LEFT(A467,5)=LEFT(Werte!A467,5)),Werte!E467,"not found")</f>
        <v>0.3125</v>
      </c>
      <c r="M467" s="4">
        <f>IF(AND(B467=Werte!B467,LEFT(A467,5)=LEFT(Werte!A467,5)),Werte!F467,"not found")</f>
        <v>7.2705783650085301E-2</v>
      </c>
      <c r="N467" s="4" t="str">
        <f t="shared" si="15"/>
        <v>unbekannt</v>
      </c>
      <c r="O467" s="4" cm="1">
        <f t="array" ref="O467">_xlfn.SWITCH(A467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67" s="4" t="str">
        <f>IF(Nodes[[#This Row],[Bezeichnung2]] = "betrueger",1,"")</f>
        <v/>
      </c>
      <c r="Q467" s="4" t="str">
        <f>IF(Nodes[[#This Row],[Bezeichnung2]] = "betrogener",2,"")</f>
        <v/>
      </c>
      <c r="R467" s="4" t="str">
        <f>IF(Nodes[[#This Row],[Bezeichnung2]] = "liebender",3,"")</f>
        <v/>
      </c>
      <c r="S467" s="4" t="str">
        <f>IF(Nodes[[#This Row],[Bezeichnung2]] = "liebende",4,"")</f>
        <v/>
      </c>
      <c r="T467" s="4" t="str">
        <f>IF(Nodes[[#This Row],[Bezeichnung2]] = "gegenspieler",5,"")</f>
        <v/>
      </c>
    </row>
    <row r="468" spans="1:20" x14ac:dyDescent="0.3">
      <c r="A468" t="s">
        <v>457</v>
      </c>
      <c r="B468" t="s">
        <v>458</v>
      </c>
      <c r="C468" t="s">
        <v>18</v>
      </c>
      <c r="D468" t="s">
        <v>308</v>
      </c>
      <c r="E468" t="s">
        <v>47</v>
      </c>
      <c r="F468" t="s">
        <v>87</v>
      </c>
      <c r="G468" t="s">
        <v>22</v>
      </c>
      <c r="H468" t="str">
        <f t="shared" si="14"/>
        <v>adel</v>
      </c>
      <c r="I468" t="str" cm="1">
        <f t="array" ref="I468">_xlfn.SWITCH(A468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468" s="4">
        <f>IF(AND(B468=Werte!B468,LEFT(A468,5)=LEFT(Werte!A468,5)),Werte!C468,"not found")</f>
        <v>1.5</v>
      </c>
      <c r="K468" s="4">
        <f>IF(AND(B468=Werte!B468,LEFT(A468,5)=LEFT(Werte!A468,5)),Werte!D468,"not found")</f>
        <v>0.42857142857142899</v>
      </c>
      <c r="L468" s="4">
        <f>IF(AND(B468=Werte!B468,LEFT(A468,5)=LEFT(Werte!A468,5)),Werte!E468,"not found")</f>
        <v>0.42105263157894701</v>
      </c>
      <c r="M468" s="4">
        <f>IF(AND(B468=Werte!B468,LEFT(A468,5)=LEFT(Werte!A468,5)),Werte!F468,"not found")</f>
        <v>0.979312096629257</v>
      </c>
      <c r="N468" s="4" t="str">
        <f t="shared" si="15"/>
        <v>gegenspieler</v>
      </c>
      <c r="O468" s="4" cm="1">
        <f t="array" ref="O468">_xlfn.SWITCH(A468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468" s="4" t="str">
        <f>IF(Nodes[[#This Row],[Bezeichnung2]] = "betrueger",1,"")</f>
        <v/>
      </c>
      <c r="Q468" s="4" t="str">
        <f>IF(Nodes[[#This Row],[Bezeichnung2]] = "betrogener",2,"")</f>
        <v/>
      </c>
      <c r="R468" s="4" t="str">
        <f>IF(Nodes[[#This Row],[Bezeichnung2]] = "liebender",3,"")</f>
        <v/>
      </c>
      <c r="S468" s="4" t="str">
        <f>IF(Nodes[[#This Row],[Bezeichnung2]] = "liebende",4,"")</f>
        <v/>
      </c>
      <c r="T468" s="4">
        <f>IF(Nodes[[#This Row],[Bezeichnung2]] = "gegenspieler",5,"")</f>
        <v>5</v>
      </c>
    </row>
    <row r="469" spans="1:20" x14ac:dyDescent="0.3">
      <c r="A469" t="s">
        <v>457</v>
      </c>
      <c r="B469" t="s">
        <v>459</v>
      </c>
      <c r="C469" t="s">
        <v>18</v>
      </c>
      <c r="D469" t="s">
        <v>176</v>
      </c>
      <c r="E469" t="s">
        <v>20</v>
      </c>
      <c r="F469" t="s">
        <v>47</v>
      </c>
      <c r="G469" t="s">
        <v>26</v>
      </c>
      <c r="H469" t="str">
        <f t="shared" si="14"/>
        <v>adel</v>
      </c>
      <c r="I469" t="str" cm="1">
        <f t="array" ref="I469">_xlfn.SWITCH(A469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469" s="4">
        <f>IF(AND(B469=Werte!B469,LEFT(A469,5)=LEFT(Werte!A469,5)),Werte!C469,"not found")</f>
        <v>0.75</v>
      </c>
      <c r="K469" s="4">
        <f>IF(AND(B469=Werte!B469,LEFT(A469,5)=LEFT(Werte!A469,5)),Werte!D469,"not found")</f>
        <v>0.107142857142857</v>
      </c>
      <c r="L469" s="4">
        <f>IF(AND(B469=Werte!B469,LEFT(A469,5)=LEFT(Werte!A469,5)),Werte!E469,"not found")</f>
        <v>0.4</v>
      </c>
      <c r="M469" s="4">
        <f>IF(AND(B469=Werte!B469,LEFT(A469,5)=LEFT(Werte!A469,5)),Werte!F469,"not found")</f>
        <v>0.116909047627392</v>
      </c>
      <c r="N469" s="4" t="str">
        <f t="shared" si="15"/>
        <v>unbekannt</v>
      </c>
      <c r="O469" s="4" cm="1">
        <f t="array" ref="O469">_xlfn.SWITCH(A469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469" s="4" t="str">
        <f>IF(Nodes[[#This Row],[Bezeichnung2]] = "betrueger",1,"")</f>
        <v/>
      </c>
      <c r="Q469" s="4" t="str">
        <f>IF(Nodes[[#This Row],[Bezeichnung2]] = "betrogener",2,"")</f>
        <v/>
      </c>
      <c r="R469" s="4" t="str">
        <f>IF(Nodes[[#This Row],[Bezeichnung2]] = "liebender",3,"")</f>
        <v/>
      </c>
      <c r="S469" s="4" t="str">
        <f>IF(Nodes[[#This Row],[Bezeichnung2]] = "liebende",4,"")</f>
        <v/>
      </c>
      <c r="T469" s="4" t="str">
        <f>IF(Nodes[[#This Row],[Bezeichnung2]] = "gegenspieler",5,"")</f>
        <v/>
      </c>
    </row>
    <row r="470" spans="1:20" x14ac:dyDescent="0.3">
      <c r="A470" t="s">
        <v>457</v>
      </c>
      <c r="B470" t="s">
        <v>460</v>
      </c>
      <c r="C470" t="s">
        <v>18</v>
      </c>
      <c r="D470" t="s">
        <v>854</v>
      </c>
      <c r="E470" t="s">
        <v>47</v>
      </c>
      <c r="F470" t="s">
        <v>87</v>
      </c>
      <c r="G470" t="s">
        <v>26</v>
      </c>
      <c r="H470" t="str">
        <f>IF(LEFT(D470,4)="adel","adel",IF(LEFT(D470,11)="buergerlich","buergerlich",IF(LEFT(D470,6)="klerus","klerus",IF(D470="NA","NA",IF(LEFT(D470,9)="unbekannt","unbekannt",IF(LEFT(D470,5)="bauer","bauer","not found"))))))</f>
        <v>adel</v>
      </c>
      <c r="I470" t="str" cm="1">
        <f t="array" ref="I470">_xlfn.SWITCH(A470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470" s="4">
        <f>IF(AND(B470=Werte!B470,LEFT(A470,5)=LEFT(Werte!A470,5)),Werte!C470,"not found")</f>
        <v>0.75</v>
      </c>
      <c r="K470" s="4">
        <f>IF(AND(B470=Werte!B470,LEFT(A470,5)=LEFT(Werte!A470,5)),Werte!D470,"not found")</f>
        <v>0</v>
      </c>
      <c r="L470" s="4">
        <f>IF(AND(B470=Werte!B470,LEFT(A470,5)=LEFT(Werte!A470,5)),Werte!E470,"not found")</f>
        <v>0.34782608695652201</v>
      </c>
      <c r="M470" s="4">
        <f>IF(AND(B470=Werte!B470,LEFT(A470,5)=LEFT(Werte!A470,5)),Werte!F470,"not found")</f>
        <v>0.147888950359849</v>
      </c>
      <c r="N470" s="4" t="str">
        <f t="shared" si="15"/>
        <v>gegenspieler</v>
      </c>
      <c r="O470" s="4" cm="1">
        <f t="array" ref="O470">_xlfn.SWITCH(A470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470" s="4" t="str">
        <f>IF(Nodes[[#This Row],[Bezeichnung2]] = "betrueger",1,"")</f>
        <v/>
      </c>
      <c r="Q470" s="4" t="str">
        <f>IF(Nodes[[#This Row],[Bezeichnung2]] = "betrogener",2,"")</f>
        <v/>
      </c>
      <c r="R470" s="4" t="str">
        <f>IF(Nodes[[#This Row],[Bezeichnung2]] = "liebender",3,"")</f>
        <v/>
      </c>
      <c r="S470" s="4" t="str">
        <f>IF(Nodes[[#This Row],[Bezeichnung2]] = "liebende",4,"")</f>
        <v/>
      </c>
      <c r="T470" s="4">
        <f>IF(Nodes[[#This Row],[Bezeichnung2]] = "gegenspieler",5,"")</f>
        <v>5</v>
      </c>
    </row>
    <row r="471" spans="1:20" x14ac:dyDescent="0.3">
      <c r="A471" t="s">
        <v>457</v>
      </c>
      <c r="B471" t="s">
        <v>461</v>
      </c>
      <c r="C471" t="s">
        <v>18</v>
      </c>
      <c r="D471" t="s">
        <v>57</v>
      </c>
      <c r="E471" t="s">
        <v>47</v>
      </c>
      <c r="F471" t="s">
        <v>93</v>
      </c>
      <c r="G471" t="s">
        <v>22</v>
      </c>
      <c r="H471" t="str">
        <f t="shared" si="14"/>
        <v>adel</v>
      </c>
      <c r="I471" t="str" cm="1">
        <f t="array" ref="I471">_xlfn.SWITCH(A471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471" s="4">
        <f>IF(AND(B471=Werte!B471,LEFT(A471,5)=LEFT(Werte!A471,5)),Werte!C471,"not found")</f>
        <v>1.75</v>
      </c>
      <c r="K471" s="4">
        <f>IF(AND(B471=Werte!B471,LEFT(A471,5)=LEFT(Werte!A471,5)),Werte!D471,"not found")</f>
        <v>0.42857142857142899</v>
      </c>
      <c r="L471" s="4">
        <f>IF(AND(B471=Werte!B471,LEFT(A471,5)=LEFT(Werte!A471,5)),Werte!E471,"not found")</f>
        <v>0.38095238095238099</v>
      </c>
      <c r="M471" s="4">
        <f>IF(AND(B471=Werte!B471,LEFT(A471,5)=LEFT(Werte!A471,5)),Werte!F471,"not found")</f>
        <v>1</v>
      </c>
      <c r="N471" s="4" t="str">
        <f t="shared" si="15"/>
        <v>betrogener</v>
      </c>
      <c r="O471" s="4" cm="1">
        <f t="array" ref="O471">_xlfn.SWITCH(A471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471" s="4" t="str">
        <f>IF(Nodes[[#This Row],[Bezeichnung2]] = "betrueger",1,"")</f>
        <v/>
      </c>
      <c r="Q471" s="4">
        <f>IF(Nodes[[#This Row],[Bezeichnung2]] = "betrogener",2,"")</f>
        <v>2</v>
      </c>
      <c r="R471" s="4" t="str">
        <f>IF(Nodes[[#This Row],[Bezeichnung2]] = "liebender",3,"")</f>
        <v/>
      </c>
      <c r="S471" s="4" t="str">
        <f>IF(Nodes[[#This Row],[Bezeichnung2]] = "liebende",4,"")</f>
        <v/>
      </c>
      <c r="T471" s="4" t="str">
        <f>IF(Nodes[[#This Row],[Bezeichnung2]] = "gegenspieler",5,"")</f>
        <v/>
      </c>
    </row>
    <row r="472" spans="1:20" x14ac:dyDescent="0.3">
      <c r="A472" t="s">
        <v>457</v>
      </c>
      <c r="B472" t="s">
        <v>462</v>
      </c>
      <c r="C472" t="s">
        <v>18</v>
      </c>
      <c r="D472" t="s">
        <v>176</v>
      </c>
      <c r="E472" t="s">
        <v>47</v>
      </c>
      <c r="F472" t="s">
        <v>53</v>
      </c>
      <c r="G472" t="s">
        <v>26</v>
      </c>
      <c r="H472" t="str">
        <f t="shared" si="14"/>
        <v>adel</v>
      </c>
      <c r="I472" t="str" cm="1">
        <f t="array" ref="I472">_xlfn.SWITCH(A472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472" s="4">
        <f>IF(AND(B472=Werte!B472,LEFT(A472,5)=LEFT(Werte!A472,5)),Werte!C472,"not found")</f>
        <v>0.5</v>
      </c>
      <c r="K472" s="4">
        <f>IF(AND(B472=Werte!B472,LEFT(A472,5)=LEFT(Werte!A472,5)),Werte!D472,"not found")</f>
        <v>0</v>
      </c>
      <c r="L472" s="4">
        <f>IF(AND(B472=Werte!B472,LEFT(A472,5)=LEFT(Werte!A472,5)),Werte!E472,"not found")</f>
        <v>0.24242424242424199</v>
      </c>
      <c r="M472" s="4">
        <f>IF(AND(B472=Werte!B472,LEFT(A472,5)=LEFT(Werte!A472,5)),Werte!F472,"not found")</f>
        <v>0.10375008095898</v>
      </c>
      <c r="N472" s="4" t="str">
        <f t="shared" si="15"/>
        <v>helfer</v>
      </c>
      <c r="O472" s="4" cm="1">
        <f t="array" ref="O472">_xlfn.SWITCH(A472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472" s="4" t="str">
        <f>IF(Nodes[[#This Row],[Bezeichnung2]] = "betrueger",1,"")</f>
        <v/>
      </c>
      <c r="Q472" s="4" t="str">
        <f>IF(Nodes[[#This Row],[Bezeichnung2]] = "betrogener",2,"")</f>
        <v/>
      </c>
      <c r="R472" s="4" t="str">
        <f>IF(Nodes[[#This Row],[Bezeichnung2]] = "liebender",3,"")</f>
        <v/>
      </c>
      <c r="S472" s="4" t="str">
        <f>IF(Nodes[[#This Row],[Bezeichnung2]] = "liebende",4,"")</f>
        <v/>
      </c>
      <c r="T472" s="4" t="str">
        <f>IF(Nodes[[#This Row],[Bezeichnung2]] = "gegenspieler",5,"")</f>
        <v/>
      </c>
    </row>
    <row r="473" spans="1:20" x14ac:dyDescent="0.3">
      <c r="A473" t="s">
        <v>457</v>
      </c>
      <c r="B473" t="s">
        <v>205</v>
      </c>
      <c r="C473" t="s">
        <v>18</v>
      </c>
      <c r="D473" t="s">
        <v>47</v>
      </c>
      <c r="E473" t="s">
        <v>47</v>
      </c>
      <c r="F473" t="s">
        <v>104</v>
      </c>
      <c r="G473" t="s">
        <v>26</v>
      </c>
      <c r="H473" t="str">
        <f t="shared" si="14"/>
        <v>unbekannt</v>
      </c>
      <c r="I473" t="str" cm="1">
        <f t="array" ref="I473">_xlfn.SWITCH(A473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473" s="4">
        <f>IF(AND(B473=Werte!B473,LEFT(A473,5)=LEFT(Werte!A473,5)),Werte!C473,"not found")</f>
        <v>0.5</v>
      </c>
      <c r="K473" s="4">
        <f>IF(AND(B473=Werte!B473,LEFT(A473,5)=LEFT(Werte!A473,5)),Werte!D473,"not found")</f>
        <v>0.25</v>
      </c>
      <c r="L473" s="4">
        <f>IF(AND(B473=Werte!B473,LEFT(A473,5)=LEFT(Werte!A473,5)),Werte!E473,"not found")</f>
        <v>0.30769230769230799</v>
      </c>
      <c r="M473" s="4">
        <f>IF(AND(B473=Werte!B473,LEFT(A473,5)=LEFT(Werte!A473,5)),Werte!F473,"not found")</f>
        <v>3.7697681684529097E-2</v>
      </c>
      <c r="N473" s="4" t="str">
        <f t="shared" si="15"/>
        <v>bote</v>
      </c>
      <c r="O473" s="4" cm="1">
        <f t="array" ref="O473">_xlfn.SWITCH(A473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473" s="4" t="str">
        <f>IF(Nodes[[#This Row],[Bezeichnung2]] = "betrueger",1,"")</f>
        <v/>
      </c>
      <c r="Q473" s="4" t="str">
        <f>IF(Nodes[[#This Row],[Bezeichnung2]] = "betrogener",2,"")</f>
        <v/>
      </c>
      <c r="R473" s="4" t="str">
        <f>IF(Nodes[[#This Row],[Bezeichnung2]] = "liebender",3,"")</f>
        <v/>
      </c>
      <c r="S473" s="4" t="str">
        <f>IF(Nodes[[#This Row],[Bezeichnung2]] = "liebende",4,"")</f>
        <v/>
      </c>
      <c r="T473" s="4" t="str">
        <f>IF(Nodes[[#This Row],[Bezeichnung2]] = "gegenspieler",5,"")</f>
        <v/>
      </c>
    </row>
    <row r="474" spans="1:20" x14ac:dyDescent="0.3">
      <c r="A474" t="s">
        <v>457</v>
      </c>
      <c r="B474" t="s">
        <v>123</v>
      </c>
      <c r="C474" t="s">
        <v>46</v>
      </c>
      <c r="D474" t="s">
        <v>254</v>
      </c>
      <c r="E474" t="s">
        <v>47</v>
      </c>
      <c r="F474" t="s">
        <v>71</v>
      </c>
      <c r="G474" t="s">
        <v>26</v>
      </c>
      <c r="H474" t="str">
        <f t="shared" si="14"/>
        <v>buergerlich</v>
      </c>
      <c r="I474" t="str" cm="1">
        <f t="array" ref="I474">_xlfn.SWITCH(A474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474" s="4">
        <f>IF(AND(B474=Werte!B474,LEFT(A474,5)=LEFT(Werte!A474,5)),Werte!C474,"not found")</f>
        <v>0.75</v>
      </c>
      <c r="K474" s="4">
        <f>IF(AND(B474=Werte!B474,LEFT(A474,5)=LEFT(Werte!A474,5)),Werte!D474,"not found")</f>
        <v>0</v>
      </c>
      <c r="L474" s="4">
        <f>IF(AND(B474=Werte!B474,LEFT(A474,5)=LEFT(Werte!A474,5)),Werte!E474,"not found")</f>
        <v>0.25</v>
      </c>
      <c r="M474" s="4">
        <f>IF(AND(B474=Werte!B474,LEFT(A474,5)=LEFT(Werte!A474,5)),Werte!F474,"not found")</f>
        <v>0.31297245224541198</v>
      </c>
      <c r="N474" s="4" t="str">
        <f t="shared" si="15"/>
        <v>gegner</v>
      </c>
      <c r="O474" s="4" cm="1">
        <f t="array" ref="O474">_xlfn.SWITCH(A474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474" s="4" t="str">
        <f>IF(Nodes[[#This Row],[Bezeichnung2]] = "betrueger",1,"")</f>
        <v/>
      </c>
      <c r="Q474" s="4" t="str">
        <f>IF(Nodes[[#This Row],[Bezeichnung2]] = "betrogener",2,"")</f>
        <v/>
      </c>
      <c r="R474" s="4" t="str">
        <f>IF(Nodes[[#This Row],[Bezeichnung2]] = "liebender",3,"")</f>
        <v/>
      </c>
      <c r="S474" s="4" t="str">
        <f>IF(Nodes[[#This Row],[Bezeichnung2]] = "liebende",4,"")</f>
        <v/>
      </c>
      <c r="T474" s="4" t="str">
        <f>IF(Nodes[[#This Row],[Bezeichnung2]] = "gegenspieler",5,"")</f>
        <v/>
      </c>
    </row>
    <row r="475" spans="1:20" x14ac:dyDescent="0.3">
      <c r="A475" t="s">
        <v>457</v>
      </c>
      <c r="B475" t="s">
        <v>463</v>
      </c>
      <c r="C475" t="s">
        <v>46</v>
      </c>
      <c r="D475" t="s">
        <v>47</v>
      </c>
      <c r="E475" t="s">
        <v>47</v>
      </c>
      <c r="F475" t="s">
        <v>71</v>
      </c>
      <c r="G475" t="s">
        <v>26</v>
      </c>
      <c r="H475" t="str">
        <f t="shared" si="14"/>
        <v>unbekannt</v>
      </c>
      <c r="I475" t="str" cm="1">
        <f t="array" ref="I475">_xlfn.SWITCH(A475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475" s="4">
        <f>IF(AND(B475=Werte!B475,LEFT(A475,5)=LEFT(Werte!A475,5)),Werte!C475,"not found")</f>
        <v>0.75</v>
      </c>
      <c r="K475" s="4">
        <f>IF(AND(B475=Werte!B475,LEFT(A475,5)=LEFT(Werte!A475,5)),Werte!D475,"not found")</f>
        <v>0.35714285714285698</v>
      </c>
      <c r="L475" s="4">
        <f>IF(AND(B475=Werte!B475,LEFT(A475,5)=LEFT(Werte!A475,5)),Werte!E475,"not found")</f>
        <v>0.44444444444444398</v>
      </c>
      <c r="M475" s="4">
        <f>IF(AND(B475=Werte!B475,LEFT(A475,5)=LEFT(Werte!A475,5)),Werte!F475,"not found")</f>
        <v>0.12313460552687901</v>
      </c>
      <c r="N475" s="4" t="str">
        <f t="shared" si="15"/>
        <v>gegner</v>
      </c>
      <c r="O475" s="4" cm="1">
        <f t="array" ref="O475">_xlfn.SWITCH(A475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475" s="4" t="str">
        <f>IF(Nodes[[#This Row],[Bezeichnung2]] = "betrueger",1,"")</f>
        <v/>
      </c>
      <c r="Q475" s="4" t="str">
        <f>IF(Nodes[[#This Row],[Bezeichnung2]] = "betrogener",2,"")</f>
        <v/>
      </c>
      <c r="R475" s="4" t="str">
        <f>IF(Nodes[[#This Row],[Bezeichnung2]] = "liebender",3,"")</f>
        <v/>
      </c>
      <c r="S475" s="4" t="str">
        <f>IF(Nodes[[#This Row],[Bezeichnung2]] = "liebende",4,"")</f>
        <v/>
      </c>
      <c r="T475" s="4" t="str">
        <f>IF(Nodes[[#This Row],[Bezeichnung2]] = "gegenspieler",5,"")</f>
        <v/>
      </c>
    </row>
    <row r="476" spans="1:20" x14ac:dyDescent="0.3">
      <c r="A476" t="s">
        <v>457</v>
      </c>
      <c r="B476" t="s">
        <v>337</v>
      </c>
      <c r="C476" t="s">
        <v>46</v>
      </c>
      <c r="D476" t="s">
        <v>338</v>
      </c>
      <c r="E476" t="s">
        <v>47</v>
      </c>
      <c r="F476" t="s">
        <v>47</v>
      </c>
      <c r="G476" t="s">
        <v>26</v>
      </c>
      <c r="H476" t="str">
        <f t="shared" si="14"/>
        <v>adel</v>
      </c>
      <c r="I476" t="str" cm="1">
        <f t="array" ref="I476">_xlfn.SWITCH(A476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476" s="4">
        <f>IF(AND(B476=Werte!B476,LEFT(A476,5)=LEFT(Werte!A476,5)),Werte!C476,"not found")</f>
        <v>0.25</v>
      </c>
      <c r="K476" s="4">
        <f>IF(AND(B476=Werte!B476,LEFT(A476,5)=LEFT(Werte!A476,5)),Werte!D476,"not found")</f>
        <v>0</v>
      </c>
      <c r="L476" s="4">
        <f>IF(AND(B476=Werte!B476,LEFT(A476,5)=LEFT(Werte!A476,5)),Werte!E476,"not found")</f>
        <v>0.30769230769230799</v>
      </c>
      <c r="M476" s="4">
        <f>IF(AND(B476=Werte!B476,LEFT(A476,5)=LEFT(Werte!A476,5)),Werte!F476,"not found")</f>
        <v>3.3447604059483202E-2</v>
      </c>
      <c r="N476" s="4" t="str">
        <f t="shared" si="15"/>
        <v>unbekannt</v>
      </c>
      <c r="O476" s="4" cm="1">
        <f t="array" ref="O476">_xlfn.SWITCH(A476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476" s="4" t="str">
        <f>IF(Nodes[[#This Row],[Bezeichnung2]] = "betrueger",1,"")</f>
        <v/>
      </c>
      <c r="Q476" s="4" t="str">
        <f>IF(Nodes[[#This Row],[Bezeichnung2]] = "betrogener",2,"")</f>
        <v/>
      </c>
      <c r="R476" s="4" t="str">
        <f>IF(Nodes[[#This Row],[Bezeichnung2]] = "liebender",3,"")</f>
        <v/>
      </c>
      <c r="S476" s="4" t="str">
        <f>IF(Nodes[[#This Row],[Bezeichnung2]] = "liebende",4,"")</f>
        <v/>
      </c>
      <c r="T476" s="4" t="str">
        <f>IF(Nodes[[#This Row],[Bezeichnung2]] = "gegenspieler",5,"")</f>
        <v/>
      </c>
    </row>
    <row r="477" spans="1:20" x14ac:dyDescent="0.3">
      <c r="A477" t="s">
        <v>464</v>
      </c>
      <c r="B477" t="s">
        <v>465</v>
      </c>
      <c r="C477" t="s">
        <v>18</v>
      </c>
      <c r="D477" t="s">
        <v>176</v>
      </c>
      <c r="E477" t="s">
        <v>20</v>
      </c>
      <c r="F477" t="s">
        <v>39</v>
      </c>
      <c r="G477" t="s">
        <v>22</v>
      </c>
      <c r="H477" t="str">
        <f t="shared" si="14"/>
        <v>adel</v>
      </c>
      <c r="I477" t="str" cm="1">
        <f t="array" ref="I477">_xlfn.SWITCH(A477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477" s="4">
        <f>IF(AND(B477=Werte!B477,LEFT(A477,5)=LEFT(Werte!A477,5)),Werte!C477,"not found")</f>
        <v>1.1428571428571399</v>
      </c>
      <c r="K477" s="4">
        <f>IF(AND(B477=Werte!B477,LEFT(A477,5)=LEFT(Werte!A477,5)),Werte!D477,"not found")</f>
        <v>0.476190476190476</v>
      </c>
      <c r="L477" s="4">
        <f>IF(AND(B477=Werte!B477,LEFT(A477,5)=LEFT(Werte!A477,5)),Werte!E477,"not found")</f>
        <v>0.28000000000000003</v>
      </c>
      <c r="M477" s="4">
        <f>IF(AND(B477=Werte!B477,LEFT(A477,5)=LEFT(Werte!A477,5)),Werte!F477,"not found")</f>
        <v>1</v>
      </c>
      <c r="N477" s="4" t="str">
        <f t="shared" si="15"/>
        <v>liebender</v>
      </c>
      <c r="O477" s="4" cm="1">
        <f t="array" ref="O477">_xlfn.SWITCH(A477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477" s="4" t="str">
        <f>IF(Nodes[[#This Row],[Bezeichnung2]] = "betrueger",1,"")</f>
        <v/>
      </c>
      <c r="Q477" s="4" t="str">
        <f>IF(Nodes[[#This Row],[Bezeichnung2]] = "betrogener",2,"")</f>
        <v/>
      </c>
      <c r="R477" s="4">
        <f>IF(Nodes[[#This Row],[Bezeichnung2]] = "liebender",3,"")</f>
        <v>3</v>
      </c>
      <c r="S477" s="4" t="str">
        <f>IF(Nodes[[#This Row],[Bezeichnung2]] = "liebende",4,"")</f>
        <v/>
      </c>
      <c r="T477" s="4" t="str">
        <f>IF(Nodes[[#This Row],[Bezeichnung2]] = "gegenspieler",5,"")</f>
        <v/>
      </c>
    </row>
    <row r="478" spans="1:20" x14ac:dyDescent="0.3">
      <c r="A478" t="s">
        <v>464</v>
      </c>
      <c r="B478" t="s">
        <v>466</v>
      </c>
      <c r="C478" t="s">
        <v>18</v>
      </c>
      <c r="D478" t="s">
        <v>176</v>
      </c>
      <c r="E478" t="s">
        <v>32</v>
      </c>
      <c r="F478" t="s">
        <v>33</v>
      </c>
      <c r="G478" t="s">
        <v>26</v>
      </c>
      <c r="H478" t="str">
        <f t="shared" si="14"/>
        <v>adel</v>
      </c>
      <c r="I478" t="str" cm="1">
        <f t="array" ref="I478">_xlfn.SWITCH(A478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478" s="4">
        <f>IF(AND(B478=Werte!B478,LEFT(A478,5)=LEFT(Werte!A478,5)),Werte!C478,"not found")</f>
        <v>0.57142857142857095</v>
      </c>
      <c r="K478" s="4">
        <f>IF(AND(B478=Werte!B478,LEFT(A478,5)=LEFT(Werte!A478,5)),Werte!D478,"not found")</f>
        <v>0</v>
      </c>
      <c r="L478" s="4">
        <f>IF(AND(B478=Werte!B478,LEFT(A478,5)=LEFT(Werte!A478,5)),Werte!E478,"not found")</f>
        <v>0.2</v>
      </c>
      <c r="M478" s="4">
        <f>IF(AND(B478=Werte!B478,LEFT(A478,5)=LEFT(Werte!A478,5)),Werte!F478,"not found")</f>
        <v>0.19612003075071399</v>
      </c>
      <c r="N478" s="4" t="str">
        <f t="shared" si="15"/>
        <v>vater</v>
      </c>
      <c r="O478" s="4" cm="1">
        <f t="array" ref="O478">_xlfn.SWITCH(A478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478" s="4" t="str">
        <f>IF(Nodes[[#This Row],[Bezeichnung2]] = "betrueger",1,"")</f>
        <v/>
      </c>
      <c r="Q478" s="4" t="str">
        <f>IF(Nodes[[#This Row],[Bezeichnung2]] = "betrogener",2,"")</f>
        <v/>
      </c>
      <c r="R478" s="4" t="str">
        <f>IF(Nodes[[#This Row],[Bezeichnung2]] = "liebender",3,"")</f>
        <v/>
      </c>
      <c r="S478" s="4" t="str">
        <f>IF(Nodes[[#This Row],[Bezeichnung2]] = "liebende",4,"")</f>
        <v/>
      </c>
      <c r="T478" s="4" t="str">
        <f>IF(Nodes[[#This Row],[Bezeichnung2]] = "gegenspieler",5,"")</f>
        <v/>
      </c>
    </row>
    <row r="479" spans="1:20" x14ac:dyDescent="0.3">
      <c r="A479" t="s">
        <v>464</v>
      </c>
      <c r="B479" t="s">
        <v>467</v>
      </c>
      <c r="C479" t="s">
        <v>24</v>
      </c>
      <c r="D479" t="s">
        <v>176</v>
      </c>
      <c r="E479" t="s">
        <v>32</v>
      </c>
      <c r="F479" t="s">
        <v>36</v>
      </c>
      <c r="G479" t="s">
        <v>26</v>
      </c>
      <c r="H479" t="str">
        <f t="shared" si="14"/>
        <v>adel</v>
      </c>
      <c r="I479" t="str" cm="1">
        <f t="array" ref="I479">_xlfn.SWITCH(A479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479" s="4">
        <f>IF(AND(B479=Werte!B479,LEFT(A479,5)=LEFT(Werte!A479,5)),Werte!C479,"not found")</f>
        <v>0.57142857142857095</v>
      </c>
      <c r="K479" s="4">
        <f>IF(AND(B479=Werte!B479,LEFT(A479,5)=LEFT(Werte!A479,5)),Werte!D479,"not found")</f>
        <v>0</v>
      </c>
      <c r="L479" s="4">
        <f>IF(AND(B479=Werte!B479,LEFT(A479,5)=LEFT(Werte!A479,5)),Werte!E479,"not found")</f>
        <v>0.2</v>
      </c>
      <c r="M479" s="4">
        <f>IF(AND(B479=Werte!B479,LEFT(A479,5)=LEFT(Werte!A479,5)),Werte!F479,"not found")</f>
        <v>0.19612003075071399</v>
      </c>
      <c r="N479" s="4" t="str">
        <f t="shared" si="15"/>
        <v>mutter</v>
      </c>
      <c r="O479" s="4" cm="1">
        <f t="array" ref="O479">_xlfn.SWITCH(A479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479" s="4" t="str">
        <f>IF(Nodes[[#This Row],[Bezeichnung2]] = "betrueger",1,"")</f>
        <v/>
      </c>
      <c r="Q479" s="4" t="str">
        <f>IF(Nodes[[#This Row],[Bezeichnung2]] = "betrogener",2,"")</f>
        <v/>
      </c>
      <c r="R479" s="4" t="str">
        <f>IF(Nodes[[#This Row],[Bezeichnung2]] = "liebender",3,"")</f>
        <v/>
      </c>
      <c r="S479" s="4" t="str">
        <f>IF(Nodes[[#This Row],[Bezeichnung2]] = "liebende",4,"")</f>
        <v/>
      </c>
      <c r="T479" s="4" t="str">
        <f>IF(Nodes[[#This Row],[Bezeichnung2]] = "gegenspieler",5,"")</f>
        <v/>
      </c>
    </row>
    <row r="480" spans="1:20" x14ac:dyDescent="0.3">
      <c r="A480" t="s">
        <v>464</v>
      </c>
      <c r="B480" t="s">
        <v>468</v>
      </c>
      <c r="C480" t="s">
        <v>24</v>
      </c>
      <c r="D480" t="s">
        <v>336</v>
      </c>
      <c r="E480" t="s">
        <v>20</v>
      </c>
      <c r="F480" t="s">
        <v>44</v>
      </c>
      <c r="G480" t="s">
        <v>22</v>
      </c>
      <c r="H480" t="str">
        <f t="shared" si="14"/>
        <v>adel</v>
      </c>
      <c r="I480" t="str" cm="1">
        <f t="array" ref="I480">_xlfn.SWITCH(A480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480" s="4">
        <f>IF(AND(B480=Werte!B480,LEFT(A480,5)=LEFT(Werte!A480,5)),Werte!C480,"not found")</f>
        <v>1.4285714285714299</v>
      </c>
      <c r="K480" s="4">
        <f>IF(AND(B480=Werte!B480,LEFT(A480,5)=LEFT(Werte!A480,5)),Werte!D480,"not found")</f>
        <v>0.57142857142857095</v>
      </c>
      <c r="L480" s="4">
        <f>IF(AND(B480=Werte!B480,LEFT(A480,5)=LEFT(Werte!A480,5)),Werte!E480,"not found")</f>
        <v>0.33333333333333298</v>
      </c>
      <c r="M480" s="4">
        <f>IF(AND(B480=Werte!B480,LEFT(A480,5)=LEFT(Werte!A480,5)),Werte!F480,"not found")</f>
        <v>0.97859293433193695</v>
      </c>
      <c r="N480" s="4" t="str">
        <f t="shared" si="15"/>
        <v>liebende</v>
      </c>
      <c r="O480" s="4" cm="1">
        <f t="array" ref="O480">_xlfn.SWITCH(A480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480" s="4" t="str">
        <f>IF(Nodes[[#This Row],[Bezeichnung2]] = "betrueger",1,"")</f>
        <v/>
      </c>
      <c r="Q480" s="4" t="str">
        <f>IF(Nodes[[#This Row],[Bezeichnung2]] = "betrogener",2,"")</f>
        <v/>
      </c>
      <c r="R480" s="4" t="str">
        <f>IF(Nodes[[#This Row],[Bezeichnung2]] = "liebender",3,"")</f>
        <v/>
      </c>
      <c r="S480" s="4">
        <f>IF(Nodes[[#This Row],[Bezeichnung2]] = "liebende",4,"")</f>
        <v>4</v>
      </c>
      <c r="T480" s="4" t="str">
        <f>IF(Nodes[[#This Row],[Bezeichnung2]] = "gegenspieler",5,"")</f>
        <v/>
      </c>
    </row>
    <row r="481" spans="1:20" x14ac:dyDescent="0.3">
      <c r="A481" t="s">
        <v>464</v>
      </c>
      <c r="B481" t="s">
        <v>469</v>
      </c>
      <c r="C481" t="s">
        <v>18</v>
      </c>
      <c r="D481" t="s">
        <v>176</v>
      </c>
      <c r="E481" t="s">
        <v>311</v>
      </c>
      <c r="F481" t="s">
        <v>33</v>
      </c>
      <c r="G481" t="s">
        <v>26</v>
      </c>
      <c r="H481" t="str">
        <f t="shared" si="14"/>
        <v>adel</v>
      </c>
      <c r="I481" t="str" cm="1">
        <f t="array" ref="I481">_xlfn.SWITCH(A481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481" s="4">
        <f>IF(AND(B481=Werte!B481,LEFT(A481,5)=LEFT(Werte!A481,5)),Werte!C481,"not found")</f>
        <v>0.85714285714285698</v>
      </c>
      <c r="K481" s="4">
        <f>IF(AND(B481=Werte!B481,LEFT(A481,5)=LEFT(Werte!A481,5)),Werte!D481,"not found")</f>
        <v>0</v>
      </c>
      <c r="L481" s="4">
        <f>IF(AND(B481=Werte!B481,LEFT(A481,5)=LEFT(Werte!A481,5)),Werte!E481,"not found")</f>
        <v>0.28000000000000003</v>
      </c>
      <c r="M481" s="4">
        <f>IF(AND(B481=Werte!B481,LEFT(A481,5)=LEFT(Werte!A481,5)),Werte!F481,"not found")</f>
        <v>9.5960838186805605E-2</v>
      </c>
      <c r="N481" s="4" t="str">
        <f t="shared" si="15"/>
        <v>vater</v>
      </c>
      <c r="O481" s="4" cm="1">
        <f t="array" ref="O481">_xlfn.SWITCH(A481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481" s="4" t="str">
        <f>IF(Nodes[[#This Row],[Bezeichnung2]] = "betrueger",1,"")</f>
        <v/>
      </c>
      <c r="Q481" s="4" t="str">
        <f>IF(Nodes[[#This Row],[Bezeichnung2]] = "betrogener",2,"")</f>
        <v/>
      </c>
      <c r="R481" s="4" t="str">
        <f>IF(Nodes[[#This Row],[Bezeichnung2]] = "liebender",3,"")</f>
        <v/>
      </c>
      <c r="S481" s="4" t="str">
        <f>IF(Nodes[[#This Row],[Bezeichnung2]] = "liebende",4,"")</f>
        <v/>
      </c>
      <c r="T481" s="4" t="str">
        <f>IF(Nodes[[#This Row],[Bezeichnung2]] = "gegenspieler",5,"")</f>
        <v/>
      </c>
    </row>
    <row r="482" spans="1:20" x14ac:dyDescent="0.3">
      <c r="A482" t="s">
        <v>464</v>
      </c>
      <c r="B482" t="s">
        <v>470</v>
      </c>
      <c r="C482" t="s">
        <v>24</v>
      </c>
      <c r="D482" t="s">
        <v>176</v>
      </c>
      <c r="E482" t="s">
        <v>311</v>
      </c>
      <c r="F482" t="s">
        <v>36</v>
      </c>
      <c r="G482" t="s">
        <v>26</v>
      </c>
      <c r="H482" t="str">
        <f t="shared" si="14"/>
        <v>adel</v>
      </c>
      <c r="I482" t="str" cm="1">
        <f t="array" ref="I482">_xlfn.SWITCH(A482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482" s="4">
        <f>IF(AND(B482=Werte!B482,LEFT(A482,5)=LEFT(Werte!A482,5)),Werte!C482,"not found")</f>
        <v>0.85714285714285698</v>
      </c>
      <c r="K482" s="4">
        <f>IF(AND(B482=Werte!B482,LEFT(A482,5)=LEFT(Werte!A482,5)),Werte!D482,"not found")</f>
        <v>0</v>
      </c>
      <c r="L482" s="4">
        <f>IF(AND(B482=Werte!B482,LEFT(A482,5)=LEFT(Werte!A482,5)),Werte!E482,"not found")</f>
        <v>0.28000000000000003</v>
      </c>
      <c r="M482" s="4">
        <f>IF(AND(B482=Werte!B482,LEFT(A482,5)=LEFT(Werte!A482,5)),Werte!F482,"not found")</f>
        <v>9.5960838186805703E-2</v>
      </c>
      <c r="N482" s="4" t="str">
        <f t="shared" si="15"/>
        <v>mutter</v>
      </c>
      <c r="O482" s="4" cm="1">
        <f t="array" ref="O482">_xlfn.SWITCH(A482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482" s="4" t="str">
        <f>IF(Nodes[[#This Row],[Bezeichnung2]] = "betrueger",1,"")</f>
        <v/>
      </c>
      <c r="Q482" s="4" t="str">
        <f>IF(Nodes[[#This Row],[Bezeichnung2]] = "betrogener",2,"")</f>
        <v/>
      </c>
      <c r="R482" s="4" t="str">
        <f>IF(Nodes[[#This Row],[Bezeichnung2]] = "liebender",3,"")</f>
        <v/>
      </c>
      <c r="S482" s="4" t="str">
        <f>IF(Nodes[[#This Row],[Bezeichnung2]] = "liebende",4,"")</f>
        <v/>
      </c>
      <c r="T482" s="4" t="str">
        <f>IF(Nodes[[#This Row],[Bezeichnung2]] = "gegenspieler",5,"")</f>
        <v/>
      </c>
    </row>
    <row r="483" spans="1:20" x14ac:dyDescent="0.3">
      <c r="A483" t="s">
        <v>464</v>
      </c>
      <c r="B483" t="s">
        <v>471</v>
      </c>
      <c r="C483" t="s">
        <v>24</v>
      </c>
      <c r="D483" t="s">
        <v>472</v>
      </c>
      <c r="E483" t="s">
        <v>32</v>
      </c>
      <c r="F483" t="s">
        <v>47</v>
      </c>
      <c r="G483" t="s">
        <v>26</v>
      </c>
      <c r="H483" t="str">
        <f t="shared" si="14"/>
        <v>adel</v>
      </c>
      <c r="I483" t="str" cm="1">
        <f t="array" ref="I483">_xlfn.SWITCH(A483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483" s="4">
        <f>IF(AND(B483=Werte!B483,LEFT(A483,5)=LEFT(Werte!A483,5)),Werte!C483,"not found")</f>
        <v>0.85714285714285698</v>
      </c>
      <c r="K483" s="4">
        <f>IF(AND(B483=Werte!B483,LEFT(A483,5)=LEFT(Werte!A483,5)),Werte!D483,"not found")</f>
        <v>0</v>
      </c>
      <c r="L483" s="4">
        <f>IF(AND(B483=Werte!B483,LEFT(A483,5)=LEFT(Werte!A483,5)),Werte!E483,"not found")</f>
        <v>0.28000000000000003</v>
      </c>
      <c r="M483" s="4">
        <f>IF(AND(B483=Werte!B483,LEFT(A483,5)=LEFT(Werte!A483,5)),Werte!F483,"not found")</f>
        <v>9.59608381868058E-2</v>
      </c>
      <c r="N483" s="4" t="str">
        <f t="shared" si="15"/>
        <v>unbekannt</v>
      </c>
      <c r="O483" s="4" cm="1">
        <f t="array" ref="O483">_xlfn.SWITCH(A483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483" s="4" t="str">
        <f>IF(Nodes[[#This Row],[Bezeichnung2]] = "betrueger",1,"")</f>
        <v/>
      </c>
      <c r="Q483" s="4" t="str">
        <f>IF(Nodes[[#This Row],[Bezeichnung2]] = "betrogener",2,"")</f>
        <v/>
      </c>
      <c r="R483" s="4" t="str">
        <f>IF(Nodes[[#This Row],[Bezeichnung2]] = "liebender",3,"")</f>
        <v/>
      </c>
      <c r="S483" s="4" t="str">
        <f>IF(Nodes[[#This Row],[Bezeichnung2]] = "liebende",4,"")</f>
        <v/>
      </c>
      <c r="T483" s="4" t="str">
        <f>IF(Nodes[[#This Row],[Bezeichnung2]] = "gegenspieler",5,"")</f>
        <v/>
      </c>
    </row>
    <row r="484" spans="1:20" x14ac:dyDescent="0.3">
      <c r="A484" t="s">
        <v>464</v>
      </c>
      <c r="B484" t="s">
        <v>473</v>
      </c>
      <c r="C484" t="s">
        <v>18</v>
      </c>
      <c r="D484" t="s">
        <v>474</v>
      </c>
      <c r="E484" t="s">
        <v>47</v>
      </c>
      <c r="F484" t="s">
        <v>104</v>
      </c>
      <c r="G484" t="s">
        <v>26</v>
      </c>
      <c r="H484" t="str">
        <f t="shared" si="14"/>
        <v>buergerlich</v>
      </c>
      <c r="I484" t="str" cm="1">
        <f t="array" ref="I484">_xlfn.SWITCH(A484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Liebeskonstellation</v>
      </c>
      <c r="J484" s="4">
        <f>IF(AND(B484=Werte!B484,LEFT(A484,5)=LEFT(Werte!A484,5)),Werte!C484,"not found")</f>
        <v>0.57142857142857095</v>
      </c>
      <c r="K484" s="4">
        <f>IF(AND(B484=Werte!B484,LEFT(A484,5)=LEFT(Werte!A484,5)),Werte!D484,"not found")</f>
        <v>0.57142857142857095</v>
      </c>
      <c r="L484" s="4">
        <f>IF(AND(B484=Werte!B484,LEFT(A484,5)=LEFT(Werte!A484,5)),Werte!E484,"not found")</f>
        <v>0.33333333333333298</v>
      </c>
      <c r="M484" s="4">
        <f>IF(AND(B484=Werte!B484,LEFT(A484,5)=LEFT(Werte!A484,5)),Werte!F484,"not found")</f>
        <v>0.324417029351796</v>
      </c>
      <c r="N484" s="4" t="str">
        <f t="shared" si="15"/>
        <v>bote</v>
      </c>
      <c r="O484" s="4" cm="1">
        <f t="array" ref="O484">_xlfn.SWITCH(A484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484" s="4" t="str">
        <f>IF(Nodes[[#This Row],[Bezeichnung2]] = "betrueger",1,"")</f>
        <v/>
      </c>
      <c r="Q484" s="4" t="str">
        <f>IF(Nodes[[#This Row],[Bezeichnung2]] = "betrogener",2,"")</f>
        <v/>
      </c>
      <c r="R484" s="4" t="str">
        <f>IF(Nodes[[#This Row],[Bezeichnung2]] = "liebender",3,"")</f>
        <v/>
      </c>
      <c r="S484" s="4" t="str">
        <f>IF(Nodes[[#This Row],[Bezeichnung2]] = "liebende",4,"")</f>
        <v/>
      </c>
      <c r="T484" s="4" t="str">
        <f>IF(Nodes[[#This Row],[Bezeichnung2]] = "gegenspieler",5,"")</f>
        <v/>
      </c>
    </row>
    <row r="485" spans="1:20" x14ac:dyDescent="0.3">
      <c r="A485" t="s">
        <v>475</v>
      </c>
      <c r="B485" t="s">
        <v>476</v>
      </c>
      <c r="C485" t="s">
        <v>18</v>
      </c>
      <c r="D485" t="s">
        <v>308</v>
      </c>
      <c r="E485" t="s">
        <v>47</v>
      </c>
      <c r="F485" t="s">
        <v>47</v>
      </c>
      <c r="G485" t="s">
        <v>26</v>
      </c>
      <c r="H485" t="str">
        <f t="shared" si="14"/>
        <v>adel</v>
      </c>
      <c r="I485" t="str" cm="1">
        <f t="array" ref="I485">_xlfn.SWITCH(A485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85" s="4">
        <f>IF(AND(B485=Werte!B485,LEFT(A485,5)=LEFT(Werte!A485,5)),Werte!C485,"not found")</f>
        <v>0.4</v>
      </c>
      <c r="K485" s="4">
        <f>IF(AND(B485=Werte!B485,LEFT(A485,5)=LEFT(Werte!A485,5)),Werte!D485,"not found")</f>
        <v>0</v>
      </c>
      <c r="L485" s="4">
        <f>IF(AND(B485=Werte!B485,LEFT(A485,5)=LEFT(Werte!A485,5)),Werte!E485,"not found")</f>
        <v>0.45454545454545497</v>
      </c>
      <c r="M485" s="4">
        <f>IF(AND(B485=Werte!B485,LEFT(A485,5)=LEFT(Werte!A485,5)),Werte!F485,"not found")</f>
        <v>5.6313443279017203E-2</v>
      </c>
      <c r="N485" s="4" t="str">
        <f t="shared" si="15"/>
        <v>unbekannt</v>
      </c>
      <c r="O485" s="4" cm="1">
        <f t="array" ref="O485">_xlfn.SWITCH(A485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485" s="4" t="str">
        <f>IF(Nodes[[#This Row],[Bezeichnung2]] = "betrueger",1,"")</f>
        <v/>
      </c>
      <c r="Q485" s="4" t="str">
        <f>IF(Nodes[[#This Row],[Bezeichnung2]] = "betrogener",2,"")</f>
        <v/>
      </c>
      <c r="R485" s="4" t="str">
        <f>IF(Nodes[[#This Row],[Bezeichnung2]] = "liebender",3,"")</f>
        <v/>
      </c>
      <c r="S485" s="4" t="str">
        <f>IF(Nodes[[#This Row],[Bezeichnung2]] = "liebende",4,"")</f>
        <v/>
      </c>
      <c r="T485" s="4" t="str">
        <f>IF(Nodes[[#This Row],[Bezeichnung2]] = "gegenspieler",5,"")</f>
        <v/>
      </c>
    </row>
    <row r="486" spans="1:20" x14ac:dyDescent="0.3">
      <c r="A486" t="s">
        <v>475</v>
      </c>
      <c r="B486" t="s">
        <v>477</v>
      </c>
      <c r="C486" t="s">
        <v>18</v>
      </c>
      <c r="D486" t="s">
        <v>57</v>
      </c>
      <c r="E486" t="s">
        <v>47</v>
      </c>
      <c r="F486" t="s">
        <v>39</v>
      </c>
      <c r="G486" t="s">
        <v>22</v>
      </c>
      <c r="H486" t="str">
        <f t="shared" si="14"/>
        <v>adel</v>
      </c>
      <c r="I486" t="str" cm="1">
        <f t="array" ref="I486">_xlfn.SWITCH(A486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86" s="4">
        <f>IF(AND(B486=Werte!B486,LEFT(A486,5)=LEFT(Werte!A486,5)),Werte!C486,"not found")</f>
        <v>2</v>
      </c>
      <c r="K486" s="4">
        <f>IF(AND(B486=Werte!B486,LEFT(A486,5)=LEFT(Werte!A486,5)),Werte!D486,"not found")</f>
        <v>0.9</v>
      </c>
      <c r="L486" s="4">
        <f>IF(AND(B486=Werte!B486,LEFT(A486,5)=LEFT(Werte!A486,5)),Werte!E486,"not found")</f>
        <v>0.71428571428571397</v>
      </c>
      <c r="M486" s="4">
        <f>IF(AND(B486=Werte!B486,LEFT(A486,5)=LEFT(Werte!A486,5)),Werte!F486,"not found")</f>
        <v>0.943623203090448</v>
      </c>
      <c r="N486" s="4" t="str">
        <f t="shared" si="15"/>
        <v>liebender</v>
      </c>
      <c r="O486" s="4" cm="1">
        <f t="array" ref="O486">_xlfn.SWITCH(A486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486" s="4" t="str">
        <f>IF(Nodes[[#This Row],[Bezeichnung2]] = "betrueger",1,"")</f>
        <v/>
      </c>
      <c r="Q486" s="4" t="str">
        <f>IF(Nodes[[#This Row],[Bezeichnung2]] = "betrogener",2,"")</f>
        <v/>
      </c>
      <c r="R486" s="4">
        <f>IF(Nodes[[#This Row],[Bezeichnung2]] = "liebender",3,"")</f>
        <v>3</v>
      </c>
      <c r="S486" s="4" t="str">
        <f>IF(Nodes[[#This Row],[Bezeichnung2]] = "liebende",4,"")</f>
        <v/>
      </c>
      <c r="T486" s="4" t="str">
        <f>IF(Nodes[[#This Row],[Bezeichnung2]] = "gegenspieler",5,"")</f>
        <v/>
      </c>
    </row>
    <row r="487" spans="1:20" x14ac:dyDescent="0.3">
      <c r="A487" t="s">
        <v>475</v>
      </c>
      <c r="B487" t="s">
        <v>478</v>
      </c>
      <c r="C487" t="s">
        <v>24</v>
      </c>
      <c r="D487" t="s">
        <v>479</v>
      </c>
      <c r="E487" t="s">
        <v>47</v>
      </c>
      <c r="F487" t="s">
        <v>162</v>
      </c>
      <c r="G487" t="s">
        <v>22</v>
      </c>
      <c r="H487" t="str">
        <f t="shared" si="14"/>
        <v>adel</v>
      </c>
      <c r="I487" t="str" cm="1">
        <f t="array" ref="I487">_xlfn.SWITCH(A487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87" s="4">
        <f>IF(AND(B487=Werte!B487,LEFT(A487,5)=LEFT(Werte!A487,5)),Werte!C487,"not found")</f>
        <v>1.2</v>
      </c>
      <c r="K487" s="4">
        <f>IF(AND(B487=Werte!B487,LEFT(A487,5)=LEFT(Werte!A487,5)),Werte!D487,"not found")</f>
        <v>0</v>
      </c>
      <c r="L487" s="4">
        <f>IF(AND(B487=Werte!B487,LEFT(A487,5)=LEFT(Werte!A487,5)),Werte!E487,"not found")</f>
        <v>0.38461538461538503</v>
      </c>
      <c r="M487" s="4">
        <f>IF(AND(B487=Werte!B487,LEFT(A487,5)=LEFT(Werte!A487,5)),Werte!F487,"not found")</f>
        <v>1</v>
      </c>
      <c r="N487" s="4" t="str">
        <f t="shared" si="15"/>
        <v>betrogener</v>
      </c>
      <c r="O487" s="4" cm="1">
        <f t="array" ref="O487">_xlfn.SWITCH(A487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487" s="4" t="str">
        <f>IF(Nodes[[#This Row],[Bezeichnung2]] = "betrueger",1,"")</f>
        <v/>
      </c>
      <c r="Q487" s="4">
        <f>IF(Nodes[[#This Row],[Bezeichnung2]] = "betrogener",2,"")</f>
        <v>2</v>
      </c>
      <c r="R487" s="4" t="str">
        <f>IF(Nodes[[#This Row],[Bezeichnung2]] = "liebender",3,"")</f>
        <v/>
      </c>
      <c r="S487" s="4" t="str">
        <f>IF(Nodes[[#This Row],[Bezeichnung2]] = "liebende",4,"")</f>
        <v/>
      </c>
      <c r="T487" s="4" t="str">
        <f>IF(Nodes[[#This Row],[Bezeichnung2]] = "gegenspieler",5,"")</f>
        <v/>
      </c>
    </row>
    <row r="488" spans="1:20" x14ac:dyDescent="0.3">
      <c r="A488" t="s">
        <v>475</v>
      </c>
      <c r="B488" t="s">
        <v>480</v>
      </c>
      <c r="C488" t="s">
        <v>18</v>
      </c>
      <c r="D488" t="s">
        <v>357</v>
      </c>
      <c r="E488" t="s">
        <v>47</v>
      </c>
      <c r="F488" t="s">
        <v>21</v>
      </c>
      <c r="G488" t="s">
        <v>26</v>
      </c>
      <c r="H488" t="str">
        <f t="shared" si="14"/>
        <v>adel</v>
      </c>
      <c r="I488" t="str" cm="1">
        <f t="array" ref="I488">_xlfn.SWITCH(A488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88" s="4">
        <f>IF(AND(B488=Werte!B488,LEFT(A488,5)=LEFT(Werte!A488,5)),Werte!C488,"not found")</f>
        <v>0.8</v>
      </c>
      <c r="K488" s="4">
        <f>IF(AND(B488=Werte!B488,LEFT(A488,5)=LEFT(Werte!A488,5)),Werte!D488,"not found")</f>
        <v>0</v>
      </c>
      <c r="L488" s="4">
        <f>IF(AND(B488=Werte!B488,LEFT(A488,5)=LEFT(Werte!A488,5)),Werte!E488,"not found")</f>
        <v>0.45454545454545497</v>
      </c>
      <c r="M488" s="4">
        <f>IF(AND(B488=Werte!B488,LEFT(A488,5)=LEFT(Werte!A488,5)),Werte!F488,"not found")</f>
        <v>0.41438079322072602</v>
      </c>
      <c r="N488" s="4" t="str">
        <f t="shared" si="15"/>
        <v>ehemann</v>
      </c>
      <c r="O488" s="4" cm="1">
        <f t="array" ref="O488">_xlfn.SWITCH(A488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488" s="4" t="str">
        <f>IF(Nodes[[#This Row],[Bezeichnung2]] = "betrueger",1,"")</f>
        <v/>
      </c>
      <c r="Q488" s="4" t="str">
        <f>IF(Nodes[[#This Row],[Bezeichnung2]] = "betrogener",2,"")</f>
        <v/>
      </c>
      <c r="R488" s="4" t="str">
        <f>IF(Nodes[[#This Row],[Bezeichnung2]] = "liebender",3,"")</f>
        <v/>
      </c>
      <c r="S488" s="4" t="str">
        <f>IF(Nodes[[#This Row],[Bezeichnung2]] = "liebende",4,"")</f>
        <v/>
      </c>
      <c r="T488" s="4" t="str">
        <f>IF(Nodes[[#This Row],[Bezeichnung2]] = "gegenspieler",5,"")</f>
        <v/>
      </c>
    </row>
    <row r="489" spans="1:20" x14ac:dyDescent="0.3">
      <c r="A489" t="s">
        <v>475</v>
      </c>
      <c r="B489" t="s">
        <v>56</v>
      </c>
      <c r="C489" t="s">
        <v>18</v>
      </c>
      <c r="D489" t="s">
        <v>57</v>
      </c>
      <c r="E489" t="s">
        <v>47</v>
      </c>
      <c r="F489" t="s">
        <v>71</v>
      </c>
      <c r="G489" t="s">
        <v>26</v>
      </c>
      <c r="H489" t="str">
        <f t="shared" si="14"/>
        <v>adel</v>
      </c>
      <c r="I489" t="str" cm="1">
        <f t="array" ref="I489">_xlfn.SWITCH(A489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89" s="4">
        <f>IF(AND(B489=Werte!B489,LEFT(A489,5)=LEFT(Werte!A489,5)),Werte!C489,"not found")</f>
        <v>0.4</v>
      </c>
      <c r="K489" s="4">
        <f>IF(AND(B489=Werte!B489,LEFT(A489,5)=LEFT(Werte!A489,5)),Werte!D489,"not found")</f>
        <v>0</v>
      </c>
      <c r="L489" s="4">
        <f>IF(AND(B489=Werte!B489,LEFT(A489,5)=LEFT(Werte!A489,5)),Werte!E489,"not found")</f>
        <v>0.33333333333333298</v>
      </c>
      <c r="M489" s="4">
        <f>IF(AND(B489=Werte!B489,LEFT(A489,5)=LEFT(Werte!A489,5)),Werte!F489,"not found")</f>
        <v>0.112626886558034</v>
      </c>
      <c r="N489" s="4" t="str">
        <f t="shared" si="15"/>
        <v>gegner</v>
      </c>
      <c r="O489" s="4" cm="1">
        <f t="array" ref="O489">_xlfn.SWITCH(A489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489" s="4" t="str">
        <f>IF(Nodes[[#This Row],[Bezeichnung2]] = "betrueger",1,"")</f>
        <v/>
      </c>
      <c r="Q489" s="4" t="str">
        <f>IF(Nodes[[#This Row],[Bezeichnung2]] = "betrogener",2,"")</f>
        <v/>
      </c>
      <c r="R489" s="4" t="str">
        <f>IF(Nodes[[#This Row],[Bezeichnung2]] = "liebender",3,"")</f>
        <v/>
      </c>
      <c r="S489" s="4" t="str">
        <f>IF(Nodes[[#This Row],[Bezeichnung2]] = "liebende",4,"")</f>
        <v/>
      </c>
      <c r="T489" s="4" t="str">
        <f>IF(Nodes[[#This Row],[Bezeichnung2]] = "gegenspieler",5,"")</f>
        <v/>
      </c>
    </row>
    <row r="490" spans="1:20" x14ac:dyDescent="0.3">
      <c r="A490" t="s">
        <v>475</v>
      </c>
      <c r="B490" t="s">
        <v>481</v>
      </c>
      <c r="C490" t="s">
        <v>46</v>
      </c>
      <c r="D490" t="s">
        <v>43</v>
      </c>
      <c r="E490" t="s">
        <v>47</v>
      </c>
      <c r="F490" t="s">
        <v>104</v>
      </c>
      <c r="G490" t="s">
        <v>26</v>
      </c>
      <c r="H490" t="str">
        <f t="shared" si="14"/>
        <v>adel</v>
      </c>
      <c r="I490" t="str" cm="1">
        <f t="array" ref="I490">_xlfn.SWITCH(A490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90" s="4">
        <f>IF(AND(B490=Werte!B490,LEFT(A490,5)=LEFT(Werte!A490,5)),Werte!C490,"not found")</f>
        <v>0.8</v>
      </c>
      <c r="K490" s="4">
        <f>IF(AND(B490=Werte!B490,LEFT(A490,5)=LEFT(Werte!A490,5)),Werte!D490,"not found")</f>
        <v>0.4</v>
      </c>
      <c r="L490" s="4">
        <f>IF(AND(B490=Werte!B490,LEFT(A490,5)=LEFT(Werte!A490,5)),Werte!E490,"not found")</f>
        <v>0.55555555555555602</v>
      </c>
      <c r="M490" s="4">
        <f>IF(AND(B490=Werte!B490,LEFT(A490,5)=LEFT(Werte!A490,5)),Werte!F490,"not found")</f>
        <v>0.115991334935969</v>
      </c>
      <c r="N490" s="4" t="str">
        <f t="shared" si="15"/>
        <v>bote</v>
      </c>
      <c r="O490" s="4" cm="1">
        <f t="array" ref="O490">_xlfn.SWITCH(A490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2</v>
      </c>
      <c r="P490" s="4" t="str">
        <f>IF(Nodes[[#This Row],[Bezeichnung2]] = "betrueger",1,"")</f>
        <v/>
      </c>
      <c r="Q490" s="4" t="str">
        <f>IF(Nodes[[#This Row],[Bezeichnung2]] = "betrogener",2,"")</f>
        <v/>
      </c>
      <c r="R490" s="4" t="str">
        <f>IF(Nodes[[#This Row],[Bezeichnung2]] = "liebender",3,"")</f>
        <v/>
      </c>
      <c r="S490" s="4" t="str">
        <f>IF(Nodes[[#This Row],[Bezeichnung2]] = "liebende",4,"")</f>
        <v/>
      </c>
      <c r="T490" s="4" t="str">
        <f>IF(Nodes[[#This Row],[Bezeichnung2]] = "gegenspieler",5,"")</f>
        <v/>
      </c>
    </row>
    <row r="491" spans="1:20" x14ac:dyDescent="0.3">
      <c r="A491" t="s">
        <v>482</v>
      </c>
      <c r="B491" t="s">
        <v>483</v>
      </c>
      <c r="C491" t="s">
        <v>18</v>
      </c>
      <c r="D491" t="s">
        <v>47</v>
      </c>
      <c r="E491" t="s">
        <v>47</v>
      </c>
      <c r="F491" t="s">
        <v>127</v>
      </c>
      <c r="G491" t="s">
        <v>22</v>
      </c>
      <c r="H491" t="str">
        <f t="shared" si="14"/>
        <v>unbekannt</v>
      </c>
      <c r="I491" t="str" cm="1">
        <f t="array" ref="I491">_xlfn.SWITCH(A491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91" s="4">
        <f>IF(AND(B491=Werte!B491,LEFT(A491,5)=LEFT(Werte!A491,5)),Werte!C491,"not found")</f>
        <v>2</v>
      </c>
      <c r="K491" s="4">
        <f>IF(AND(B491=Werte!B491,LEFT(A491,5)=LEFT(Werte!A491,5)),Werte!D491,"not found")</f>
        <v>0.11111111111111099</v>
      </c>
      <c r="L491" s="4">
        <f>IF(AND(B491=Werte!B491,LEFT(A491,5)=LEFT(Werte!A491,5)),Werte!E491,"not found")</f>
        <v>0.269230769230769</v>
      </c>
      <c r="M491" s="4">
        <f>IF(AND(B491=Werte!B491,LEFT(A491,5)=LEFT(Werte!A491,5)),Werte!F491,"not found")</f>
        <v>1</v>
      </c>
      <c r="N491" s="4" t="str">
        <f t="shared" si="15"/>
        <v>betrueger</v>
      </c>
      <c r="O491" s="4" cm="1">
        <f t="array" ref="O491">_xlfn.SWITCH(A491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91" s="4">
        <f>IF(Nodes[[#This Row],[Bezeichnung2]] = "betrueger",1,"")</f>
        <v>1</v>
      </c>
      <c r="Q491" s="4" t="str">
        <f>IF(Nodes[[#This Row],[Bezeichnung2]] = "betrogener",2,"")</f>
        <v/>
      </c>
      <c r="R491" s="4" t="str">
        <f>IF(Nodes[[#This Row],[Bezeichnung2]] = "liebender",3,"")</f>
        <v/>
      </c>
      <c r="S491" s="4" t="str">
        <f>IF(Nodes[[#This Row],[Bezeichnung2]] = "liebende",4,"")</f>
        <v/>
      </c>
      <c r="T491" s="4" t="str">
        <f>IF(Nodes[[#This Row],[Bezeichnung2]] = "gegenspieler",5,"")</f>
        <v/>
      </c>
    </row>
    <row r="492" spans="1:20" x14ac:dyDescent="0.3">
      <c r="A492" t="s">
        <v>482</v>
      </c>
      <c r="B492" t="s">
        <v>484</v>
      </c>
      <c r="C492" t="s">
        <v>18</v>
      </c>
      <c r="D492" t="s">
        <v>47</v>
      </c>
      <c r="E492" t="s">
        <v>47</v>
      </c>
      <c r="F492" t="s">
        <v>127</v>
      </c>
      <c r="G492" t="s">
        <v>22</v>
      </c>
      <c r="H492" t="str">
        <f t="shared" si="14"/>
        <v>unbekannt</v>
      </c>
      <c r="I492" t="str" cm="1">
        <f t="array" ref="I492">_xlfn.SWITCH(A492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92" s="4">
        <f>IF(AND(B492=Werte!B492,LEFT(A492,5)=LEFT(Werte!A492,5)),Werte!C492,"not found")</f>
        <v>2</v>
      </c>
      <c r="K492" s="4">
        <f>IF(AND(B492=Werte!B492,LEFT(A492,5)=LEFT(Werte!A492,5)),Werte!D492,"not found")</f>
        <v>3.1746031746031703E-2</v>
      </c>
      <c r="L492" s="4">
        <f>IF(AND(B492=Werte!B492,LEFT(A492,5)=LEFT(Werte!A492,5)),Werte!E492,"not found")</f>
        <v>0.233333333333333</v>
      </c>
      <c r="M492" s="4">
        <f>IF(AND(B492=Werte!B492,LEFT(A492,5)=LEFT(Werte!A492,5)),Werte!F492,"not found")</f>
        <v>0.83169000866847098</v>
      </c>
      <c r="N492" s="4" t="str">
        <f t="shared" si="15"/>
        <v>betrueger</v>
      </c>
      <c r="O492" s="4" cm="1">
        <f t="array" ref="O492">_xlfn.SWITCH(A492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92" s="4">
        <f>IF(Nodes[[#This Row],[Bezeichnung2]] = "betrueger",1,"")</f>
        <v>1</v>
      </c>
      <c r="Q492" s="4" t="str">
        <f>IF(Nodes[[#This Row],[Bezeichnung2]] = "betrogener",2,"")</f>
        <v/>
      </c>
      <c r="R492" s="4" t="str">
        <f>IF(Nodes[[#This Row],[Bezeichnung2]] = "liebender",3,"")</f>
        <v/>
      </c>
      <c r="S492" s="4" t="str">
        <f>IF(Nodes[[#This Row],[Bezeichnung2]] = "liebende",4,"")</f>
        <v/>
      </c>
      <c r="T492" s="4" t="str">
        <f>IF(Nodes[[#This Row],[Bezeichnung2]] = "gegenspieler",5,"")</f>
        <v/>
      </c>
    </row>
    <row r="493" spans="1:20" x14ac:dyDescent="0.3">
      <c r="A493" t="s">
        <v>482</v>
      </c>
      <c r="B493" t="s">
        <v>106</v>
      </c>
      <c r="C493" t="s">
        <v>24</v>
      </c>
      <c r="D493" t="s">
        <v>47</v>
      </c>
      <c r="E493" t="s">
        <v>20</v>
      </c>
      <c r="F493" t="s">
        <v>485</v>
      </c>
      <c r="G493" t="s">
        <v>22</v>
      </c>
      <c r="H493" t="str">
        <f t="shared" si="14"/>
        <v>unbekannt</v>
      </c>
      <c r="I493" t="str" cm="1">
        <f t="array" ref="I493">_xlfn.SWITCH(A493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93" s="4">
        <f>IF(AND(B493=Werte!B493,LEFT(A493,5)=LEFT(Werte!A493,5)),Werte!C493,"not found")</f>
        <v>1.4285714285714299</v>
      </c>
      <c r="K493" s="4">
        <f>IF(AND(B493=Werte!B493,LEFT(A493,5)=LEFT(Werte!A493,5)),Werte!D493,"not found")</f>
        <v>0</v>
      </c>
      <c r="L493" s="4">
        <f>IF(AND(B493=Werte!B493,LEFT(A493,5)=LEFT(Werte!A493,5)),Werte!E493,"not found")</f>
        <v>0.116666666666667</v>
      </c>
      <c r="M493" s="4">
        <f>IF(AND(B493=Werte!B493,LEFT(A493,5)=LEFT(Werte!A493,5)),Werte!F493,"not found")</f>
        <v>0.739252769085332</v>
      </c>
      <c r="N493" s="4" t="str">
        <f t="shared" si="15"/>
        <v>betrueger</v>
      </c>
      <c r="O493" s="4" cm="1">
        <f t="array" ref="O493">_xlfn.SWITCH(A493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93" s="4">
        <f>IF(Nodes[[#This Row],[Bezeichnung2]] = "betrueger",1,"")</f>
        <v>1</v>
      </c>
      <c r="Q493" s="4" t="str">
        <f>IF(Nodes[[#This Row],[Bezeichnung2]] = "betrogener",2,"")</f>
        <v/>
      </c>
      <c r="R493" s="4" t="str">
        <f>IF(Nodes[[#This Row],[Bezeichnung2]] = "liebender",3,"")</f>
        <v/>
      </c>
      <c r="S493" s="4" t="str">
        <f>IF(Nodes[[#This Row],[Bezeichnung2]] = "liebende",4,"")</f>
        <v/>
      </c>
      <c r="T493" s="4" t="str">
        <f>IF(Nodes[[#This Row],[Bezeichnung2]] = "gegenspieler",5,"")</f>
        <v/>
      </c>
    </row>
    <row r="494" spans="1:20" x14ac:dyDescent="0.3">
      <c r="A494" t="s">
        <v>482</v>
      </c>
      <c r="B494" t="s">
        <v>100</v>
      </c>
      <c r="C494" t="s">
        <v>18</v>
      </c>
      <c r="D494" t="s">
        <v>47</v>
      </c>
      <c r="E494" t="s">
        <v>32</v>
      </c>
      <c r="F494" t="s">
        <v>50</v>
      </c>
      <c r="G494" t="s">
        <v>22</v>
      </c>
      <c r="H494" t="str">
        <f t="shared" si="14"/>
        <v>unbekannt</v>
      </c>
      <c r="I494" t="str" cm="1">
        <f t="array" ref="I494">_xlfn.SWITCH(A494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94" s="4">
        <f>IF(AND(B494=Werte!B494,LEFT(A494,5)=LEFT(Werte!A494,5)),Werte!C494,"not found")</f>
        <v>2</v>
      </c>
      <c r="K494" s="4">
        <f>IF(AND(B494=Werte!B494,LEFT(A494,5)=LEFT(Werte!A494,5)),Werte!D494,"not found")</f>
        <v>0.11111111111111099</v>
      </c>
      <c r="L494" s="4">
        <f>IF(AND(B494=Werte!B494,LEFT(A494,5)=LEFT(Werte!A494,5)),Werte!E494,"not found")</f>
        <v>0.269230769230769</v>
      </c>
      <c r="M494" s="4">
        <f>IF(AND(B494=Werte!B494,LEFT(A494,5)=LEFT(Werte!A494,5)),Werte!F494,"not found")</f>
        <v>0.77204975762844896</v>
      </c>
      <c r="N494" s="4" t="str">
        <f t="shared" si="15"/>
        <v>betrogener</v>
      </c>
      <c r="O494" s="4" cm="1">
        <f t="array" ref="O494">_xlfn.SWITCH(A494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94" s="4" t="str">
        <f>IF(Nodes[[#This Row],[Bezeichnung2]] = "betrueger",1,"")</f>
        <v/>
      </c>
      <c r="Q494" s="4">
        <f>IF(Nodes[[#This Row],[Bezeichnung2]] = "betrogener",2,"")</f>
        <v>2</v>
      </c>
      <c r="R494" s="4" t="str">
        <f>IF(Nodes[[#This Row],[Bezeichnung2]] = "liebender",3,"")</f>
        <v/>
      </c>
      <c r="S494" s="4" t="str">
        <f>IF(Nodes[[#This Row],[Bezeichnung2]] = "liebende",4,"")</f>
        <v/>
      </c>
      <c r="T494" s="4" t="str">
        <f>IF(Nodes[[#This Row],[Bezeichnung2]] = "gegenspieler",5,"")</f>
        <v/>
      </c>
    </row>
    <row r="495" spans="1:20" x14ac:dyDescent="0.3">
      <c r="A495" t="s">
        <v>482</v>
      </c>
      <c r="B495" t="s">
        <v>205</v>
      </c>
      <c r="C495" t="s">
        <v>18</v>
      </c>
      <c r="D495" t="s">
        <v>47</v>
      </c>
      <c r="E495" t="s">
        <v>47</v>
      </c>
      <c r="F495" t="s">
        <v>104</v>
      </c>
      <c r="G495" t="s">
        <v>26</v>
      </c>
      <c r="H495" t="str">
        <f t="shared" si="14"/>
        <v>unbekannt</v>
      </c>
      <c r="I495" t="str" cm="1">
        <f t="array" ref="I495">_xlfn.SWITCH(A495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95" s="4">
        <f>IF(AND(B495=Werte!B495,LEFT(A495,5)=LEFT(Werte!A495,5)),Werte!C495,"not found")</f>
        <v>0.85714285714285698</v>
      </c>
      <c r="K495" s="4">
        <f>IF(AND(B495=Werte!B495,LEFT(A495,5)=LEFT(Werte!A495,5)),Werte!D495,"not found")</f>
        <v>0.182539682539683</v>
      </c>
      <c r="L495" s="4">
        <f>IF(AND(B495=Werte!B495,LEFT(A495,5)=LEFT(Werte!A495,5)),Werte!E495,"not found")</f>
        <v>0.25</v>
      </c>
      <c r="M495" s="4">
        <f>IF(AND(B495=Werte!B495,LEFT(A495,5)=LEFT(Werte!A495,5)),Werte!F495,"not found")</f>
        <v>2.3894815022153799E-2</v>
      </c>
      <c r="N495" s="4" t="str">
        <f t="shared" si="15"/>
        <v>bote</v>
      </c>
      <c r="O495" s="4" cm="1">
        <f t="array" ref="O495">_xlfn.SWITCH(A495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95" s="4" t="str">
        <f>IF(Nodes[[#This Row],[Bezeichnung2]] = "betrueger",1,"")</f>
        <v/>
      </c>
      <c r="Q495" s="4" t="str">
        <f>IF(Nodes[[#This Row],[Bezeichnung2]] = "betrogener",2,"")</f>
        <v/>
      </c>
      <c r="R495" s="4" t="str">
        <f>IF(Nodes[[#This Row],[Bezeichnung2]] = "liebender",3,"")</f>
        <v/>
      </c>
      <c r="S495" s="4" t="str">
        <f>IF(Nodes[[#This Row],[Bezeichnung2]] = "liebende",4,"")</f>
        <v/>
      </c>
      <c r="T495" s="4" t="str">
        <f>IF(Nodes[[#This Row],[Bezeichnung2]] = "gegenspieler",5,"")</f>
        <v/>
      </c>
    </row>
    <row r="496" spans="1:20" x14ac:dyDescent="0.3">
      <c r="A496" t="s">
        <v>482</v>
      </c>
      <c r="B496" t="s">
        <v>51</v>
      </c>
      <c r="C496" t="s">
        <v>46</v>
      </c>
      <c r="D496" t="s">
        <v>47</v>
      </c>
      <c r="E496" t="s">
        <v>47</v>
      </c>
      <c r="F496" t="s">
        <v>47</v>
      </c>
      <c r="G496" t="s">
        <v>26</v>
      </c>
      <c r="H496" t="str">
        <f t="shared" si="14"/>
        <v>unbekannt</v>
      </c>
      <c r="I496" t="str" cm="1">
        <f t="array" ref="I496">_xlfn.SWITCH(A496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96" s="4">
        <f>IF(AND(B496=Werte!B496,LEFT(A496,5)=LEFT(Werte!A496,5)),Werte!C496,"not found")</f>
        <v>1.4285714285714299</v>
      </c>
      <c r="K496" s="4">
        <f>IF(AND(B496=Werte!B496,LEFT(A496,5)=LEFT(Werte!A496,5)),Werte!D496,"not found")</f>
        <v>0.28571428571428598</v>
      </c>
      <c r="L496" s="4">
        <f>IF(AND(B496=Werte!B496,LEFT(A496,5)=LEFT(Werte!A496,5)),Werte!E496,"not found")</f>
        <v>0.194444444444444</v>
      </c>
      <c r="M496" s="4">
        <f>IF(AND(B496=Werte!B496,LEFT(A496,5)=LEFT(Werte!A496,5)),Werte!F496,"not found")</f>
        <v>0.19775098609363001</v>
      </c>
      <c r="N496" s="4" t="str">
        <f t="shared" si="15"/>
        <v>unbekannt</v>
      </c>
      <c r="O496" s="4" cm="1">
        <f t="array" ref="O496">_xlfn.SWITCH(A496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96" s="4" t="str">
        <f>IF(Nodes[[#This Row],[Bezeichnung2]] = "betrueger",1,"")</f>
        <v/>
      </c>
      <c r="Q496" s="4" t="str">
        <f>IF(Nodes[[#This Row],[Bezeichnung2]] = "betrogener",2,"")</f>
        <v/>
      </c>
      <c r="R496" s="4" t="str">
        <f>IF(Nodes[[#This Row],[Bezeichnung2]] = "liebender",3,"")</f>
        <v/>
      </c>
      <c r="S496" s="4" t="str">
        <f>IF(Nodes[[#This Row],[Bezeichnung2]] = "liebende",4,"")</f>
        <v/>
      </c>
      <c r="T496" s="4" t="str">
        <f>IF(Nodes[[#This Row],[Bezeichnung2]] = "gegenspieler",5,"")</f>
        <v/>
      </c>
    </row>
    <row r="497" spans="1:20" x14ac:dyDescent="0.3">
      <c r="A497" t="s">
        <v>482</v>
      </c>
      <c r="B497" t="s">
        <v>486</v>
      </c>
      <c r="C497" t="s">
        <v>24</v>
      </c>
      <c r="D497" t="s">
        <v>47</v>
      </c>
      <c r="E497" t="s">
        <v>20</v>
      </c>
      <c r="F497" t="s">
        <v>55</v>
      </c>
      <c r="G497" t="s">
        <v>22</v>
      </c>
      <c r="H497" t="str">
        <f t="shared" si="14"/>
        <v>unbekannt</v>
      </c>
      <c r="I497" t="str" cm="1">
        <f t="array" ref="I497">_xlfn.SWITCH(A497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97" s="4">
        <f>IF(AND(B497=Werte!B497,LEFT(A497,5)=LEFT(Werte!A497,5)),Werte!C497,"not found")</f>
        <v>1.71428571428571</v>
      </c>
      <c r="K497" s="4">
        <f>IF(AND(B497=Werte!B497,LEFT(A497,5)=LEFT(Werte!A497,5)),Werte!D497,"not found")</f>
        <v>0.34920634920634902</v>
      </c>
      <c r="L497" s="4">
        <f>IF(AND(B497=Werte!B497,LEFT(A497,5)=LEFT(Werte!A497,5)),Werte!E497,"not found")</f>
        <v>0.233333333333333</v>
      </c>
      <c r="M497" s="4">
        <f>IF(AND(B497=Werte!B497,LEFT(A497,5)=LEFT(Werte!A497,5)),Werte!F497,"not found")</f>
        <v>0.59838906358420996</v>
      </c>
      <c r="N497" s="4" t="str">
        <f t="shared" si="15"/>
        <v>betrueger</v>
      </c>
      <c r="O497" s="4" cm="1">
        <f t="array" ref="O497">_xlfn.SWITCH(A497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97" s="4">
        <f>IF(Nodes[[#This Row],[Bezeichnung2]] = "betrueger",1,"")</f>
        <v>1</v>
      </c>
      <c r="Q497" s="4" t="str">
        <f>IF(Nodes[[#This Row],[Bezeichnung2]] = "betrogener",2,"")</f>
        <v/>
      </c>
      <c r="R497" s="4" t="str">
        <f>IF(Nodes[[#This Row],[Bezeichnung2]] = "liebender",3,"")</f>
        <v/>
      </c>
      <c r="S497" s="4" t="str">
        <f>IF(Nodes[[#This Row],[Bezeichnung2]] = "liebende",4,"")</f>
        <v/>
      </c>
      <c r="T497" s="4" t="str">
        <f>IF(Nodes[[#This Row],[Bezeichnung2]] = "gegenspieler",5,"")</f>
        <v/>
      </c>
    </row>
    <row r="498" spans="1:20" x14ac:dyDescent="0.3">
      <c r="A498" t="s">
        <v>482</v>
      </c>
      <c r="B498" t="s">
        <v>149</v>
      </c>
      <c r="C498" t="s">
        <v>47</v>
      </c>
      <c r="D498" t="s">
        <v>47</v>
      </c>
      <c r="E498" t="s">
        <v>28</v>
      </c>
      <c r="F498" t="s">
        <v>136</v>
      </c>
      <c r="G498" t="s">
        <v>26</v>
      </c>
      <c r="H498" t="str">
        <f t="shared" si="14"/>
        <v>unbekannt</v>
      </c>
      <c r="I498" t="str" cm="1">
        <f t="array" ref="I498">_xlfn.SWITCH(A498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498" s="4">
        <f>IF(AND(B498=Werte!B498,LEFT(A498,5)=LEFT(Werte!A498,5)),Werte!C498,"not found")</f>
        <v>1.1428571428571399</v>
      </c>
      <c r="K498" s="4">
        <f>IF(AND(B498=Werte!B498,LEFT(A498,5)=LEFT(Werte!A498,5)),Werte!D498,"not found")</f>
        <v>0.46825396825396798</v>
      </c>
      <c r="L498" s="4">
        <f>IF(AND(B498=Werte!B498,LEFT(A498,5)=LEFT(Werte!A498,5)),Werte!E498,"not found")</f>
        <v>0.29166666666666702</v>
      </c>
      <c r="M498" s="4">
        <f>IF(AND(B498=Werte!B498,LEFT(A498,5)=LEFT(Werte!A498,5)),Werte!F498,"not found")</f>
        <v>5.5634294847443901E-2</v>
      </c>
      <c r="N498" s="4" t="str">
        <f t="shared" si="15"/>
        <v>kind</v>
      </c>
      <c r="O498" s="4" cm="1">
        <f t="array" ref="O498">_xlfn.SWITCH(A498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98" s="4" t="str">
        <f>IF(Nodes[[#This Row],[Bezeichnung2]] = "betrueger",1,"")</f>
        <v/>
      </c>
      <c r="Q498" s="4" t="str">
        <f>IF(Nodes[[#This Row],[Bezeichnung2]] = "betrogener",2,"")</f>
        <v/>
      </c>
      <c r="R498" s="4" t="str">
        <f>IF(Nodes[[#This Row],[Bezeichnung2]] = "liebender",3,"")</f>
        <v/>
      </c>
      <c r="S498" s="4" t="str">
        <f>IF(Nodes[[#This Row],[Bezeichnung2]] = "liebende",4,"")</f>
        <v/>
      </c>
      <c r="T498" s="4" t="str">
        <f>IF(Nodes[[#This Row],[Bezeichnung2]] = "gegenspieler",5,"")</f>
        <v/>
      </c>
    </row>
    <row r="499" spans="1:20" x14ac:dyDescent="0.3">
      <c r="A499" t="s">
        <v>487</v>
      </c>
      <c r="B499" t="s">
        <v>115</v>
      </c>
      <c r="C499" t="s">
        <v>18</v>
      </c>
      <c r="D499" t="s">
        <v>148</v>
      </c>
      <c r="E499" t="s">
        <v>47</v>
      </c>
      <c r="F499" t="s">
        <v>93</v>
      </c>
      <c r="G499" t="s">
        <v>22</v>
      </c>
      <c r="H499" t="str">
        <f t="shared" si="14"/>
        <v>bauer</v>
      </c>
      <c r="I499" t="str" cm="1">
        <f t="array" ref="I499">_xlfn.SWITCH(A499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499" s="4">
        <f>IF(AND(B499=Werte!B499,LEFT(A499,5)=LEFT(Werte!A499,5)),Werte!C499,"not found")</f>
        <v>2</v>
      </c>
      <c r="K499" s="4">
        <f>IF(AND(B499=Werte!B499,LEFT(A499,5)=LEFT(Werte!A499,5)),Werte!D499,"not found")</f>
        <v>0</v>
      </c>
      <c r="L499" s="4">
        <f>IF(AND(B499=Werte!B499,LEFT(A499,5)=LEFT(Werte!A499,5)),Werte!E499,"not found")</f>
        <v>0.29411764705882398</v>
      </c>
      <c r="M499" s="4">
        <f>IF(AND(B499=Werte!B499,LEFT(A499,5)=LEFT(Werte!A499,5)),Werte!F499,"not found")</f>
        <v>1</v>
      </c>
      <c r="N499" s="4" t="str">
        <f t="shared" si="15"/>
        <v>betrogener</v>
      </c>
      <c r="O499" s="4" cm="1">
        <f t="array" ref="O499">_xlfn.SWITCH(A499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499" s="4" t="str">
        <f>IF(Nodes[[#This Row],[Bezeichnung2]] = "betrueger",1,"")</f>
        <v/>
      </c>
      <c r="Q499" s="4">
        <f>IF(Nodes[[#This Row],[Bezeichnung2]] = "betrogener",2,"")</f>
        <v>2</v>
      </c>
      <c r="R499" s="4" t="str">
        <f>IF(Nodes[[#This Row],[Bezeichnung2]] = "liebender",3,"")</f>
        <v/>
      </c>
      <c r="S499" s="4" t="str">
        <f>IF(Nodes[[#This Row],[Bezeichnung2]] = "liebende",4,"")</f>
        <v/>
      </c>
      <c r="T499" s="4" t="str">
        <f>IF(Nodes[[#This Row],[Bezeichnung2]] = "gegenspieler",5,"")</f>
        <v/>
      </c>
    </row>
    <row r="500" spans="1:20" x14ac:dyDescent="0.3">
      <c r="A500" t="s">
        <v>487</v>
      </c>
      <c r="B500" t="s">
        <v>51</v>
      </c>
      <c r="C500" t="s">
        <v>46</v>
      </c>
      <c r="D500" t="s">
        <v>148</v>
      </c>
      <c r="E500" t="s">
        <v>47</v>
      </c>
      <c r="F500" t="s">
        <v>47</v>
      </c>
      <c r="G500" t="s">
        <v>26</v>
      </c>
      <c r="H500" t="str">
        <f t="shared" si="14"/>
        <v>bauer</v>
      </c>
      <c r="I500" t="str" cm="1">
        <f t="array" ref="I500">_xlfn.SWITCH(A500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00" s="4">
        <f>IF(AND(B500=Werte!B500,LEFT(A500,5)=LEFT(Werte!A500,5)),Werte!C500,"not found")</f>
        <v>2</v>
      </c>
      <c r="K500" s="4">
        <f>IF(AND(B500=Werte!B500,LEFT(A500,5)=LEFT(Werte!A500,5)),Werte!D500,"not found")</f>
        <v>0</v>
      </c>
      <c r="L500" s="4">
        <f>IF(AND(B500=Werte!B500,LEFT(A500,5)=LEFT(Werte!A500,5)),Werte!E500,"not found")</f>
        <v>0.41666666666666702</v>
      </c>
      <c r="M500" s="4">
        <f>IF(AND(B500=Werte!B500,LEFT(A500,5)=LEFT(Werte!A500,5)),Werte!F500,"not found")</f>
        <v>0.74076625529934303</v>
      </c>
      <c r="N500" s="4" t="str">
        <f t="shared" si="15"/>
        <v>unbekannt</v>
      </c>
      <c r="O500" s="4" cm="1">
        <f t="array" ref="O500">_xlfn.SWITCH(A500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00" s="4" t="str">
        <f>IF(Nodes[[#This Row],[Bezeichnung2]] = "betrueger",1,"")</f>
        <v/>
      </c>
      <c r="Q500" s="4" t="str">
        <f>IF(Nodes[[#This Row],[Bezeichnung2]] = "betrogener",2,"")</f>
        <v/>
      </c>
      <c r="R500" s="4" t="str">
        <f>IF(Nodes[[#This Row],[Bezeichnung2]] = "liebender",3,"")</f>
        <v/>
      </c>
      <c r="S500" s="4" t="str">
        <f>IF(Nodes[[#This Row],[Bezeichnung2]] = "liebende",4,"")</f>
        <v/>
      </c>
      <c r="T500" s="4" t="str">
        <f>IF(Nodes[[#This Row],[Bezeichnung2]] = "gegenspieler",5,"")</f>
        <v/>
      </c>
    </row>
    <row r="501" spans="1:20" x14ac:dyDescent="0.3">
      <c r="A501" t="s">
        <v>487</v>
      </c>
      <c r="B501" t="s">
        <v>488</v>
      </c>
      <c r="C501" t="s">
        <v>46</v>
      </c>
      <c r="D501" t="s">
        <v>19</v>
      </c>
      <c r="E501" t="s">
        <v>47</v>
      </c>
      <c r="F501" t="s">
        <v>87</v>
      </c>
      <c r="G501" t="s">
        <v>26</v>
      </c>
      <c r="H501" t="str">
        <f t="shared" si="14"/>
        <v>NA</v>
      </c>
      <c r="I501" t="str" cm="1">
        <f t="array" ref="I501">_xlfn.SWITCH(A501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01" s="4">
        <f>IF(AND(B501=Werte!B501,LEFT(A501,5)=LEFT(Werte!A501,5)),Werte!C501,"not found")</f>
        <v>1.2</v>
      </c>
      <c r="K501" s="4">
        <f>IF(AND(B501=Werte!B501,LEFT(A501,5)=LEFT(Werte!A501,5)),Werte!D501,"not found")</f>
        <v>0.15</v>
      </c>
      <c r="L501" s="4">
        <f>IF(AND(B501=Werte!B501,LEFT(A501,5)=LEFT(Werte!A501,5)),Werte!E501,"not found")</f>
        <v>0.41666666666666702</v>
      </c>
      <c r="M501" s="4">
        <f>IF(AND(B501=Werte!B501,LEFT(A501,5)=LEFT(Werte!A501,5)),Werte!F501,"not found")</f>
        <v>0.39059917548970902</v>
      </c>
      <c r="N501" s="4" t="str">
        <f t="shared" si="15"/>
        <v>gegenspieler</v>
      </c>
      <c r="O501" s="4" cm="1">
        <f t="array" ref="O501">_xlfn.SWITCH(A501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01" s="4" t="str">
        <f>IF(Nodes[[#This Row],[Bezeichnung2]] = "betrueger",1,"")</f>
        <v/>
      </c>
      <c r="Q501" s="4" t="str">
        <f>IF(Nodes[[#This Row],[Bezeichnung2]] = "betrogener",2,"")</f>
        <v/>
      </c>
      <c r="R501" s="4" t="str">
        <f>IF(Nodes[[#This Row],[Bezeichnung2]] = "liebender",3,"")</f>
        <v/>
      </c>
      <c r="S501" s="4" t="str">
        <f>IF(Nodes[[#This Row],[Bezeichnung2]] = "liebende",4,"")</f>
        <v/>
      </c>
      <c r="T501" s="4">
        <f>IF(Nodes[[#This Row],[Bezeichnung2]] = "gegenspieler",5,"")</f>
        <v>5</v>
      </c>
    </row>
    <row r="502" spans="1:20" x14ac:dyDescent="0.3">
      <c r="A502" t="s">
        <v>487</v>
      </c>
      <c r="B502" t="s">
        <v>489</v>
      </c>
      <c r="C502" t="s">
        <v>18</v>
      </c>
      <c r="D502" t="s">
        <v>19</v>
      </c>
      <c r="E502" t="s">
        <v>47</v>
      </c>
      <c r="F502" t="s">
        <v>96</v>
      </c>
      <c r="G502" t="s">
        <v>26</v>
      </c>
      <c r="H502" t="str">
        <f t="shared" si="14"/>
        <v>NA</v>
      </c>
      <c r="I502" t="str" cm="1">
        <f t="array" ref="I502">_xlfn.SWITCH(A502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02" s="4">
        <f>IF(AND(B502=Werte!B502,LEFT(A502,5)=LEFT(Werte!A502,5)),Werte!C502,"not found")</f>
        <v>2</v>
      </c>
      <c r="K502" s="4">
        <f>IF(AND(B502=Werte!B502,LEFT(A502,5)=LEFT(Werte!A502,5)),Werte!D502,"not found")</f>
        <v>0.25</v>
      </c>
      <c r="L502" s="4">
        <f>IF(AND(B502=Werte!B502,LEFT(A502,5)=LEFT(Werte!A502,5)),Werte!E502,"not found")</f>
        <v>0.5</v>
      </c>
      <c r="M502" s="4">
        <f>IF(AND(B502=Werte!B502,LEFT(A502,5)=LEFT(Werte!A502,5)),Werte!F502,"not found")</f>
        <v>0.735962824898442</v>
      </c>
      <c r="N502" s="4" t="str">
        <f t="shared" si="15"/>
        <v>betrueger</v>
      </c>
      <c r="O502" s="4" cm="1">
        <f t="array" ref="O502">_xlfn.SWITCH(A502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02" s="4">
        <f>IF(Nodes[[#This Row],[Bezeichnung2]] = "betrueger",1,"")</f>
        <v>1</v>
      </c>
      <c r="Q502" s="4" t="str">
        <f>IF(Nodes[[#This Row],[Bezeichnung2]] = "betrogener",2,"")</f>
        <v/>
      </c>
      <c r="R502" s="4" t="str">
        <f>IF(Nodes[[#This Row],[Bezeichnung2]] = "liebender",3,"")</f>
        <v/>
      </c>
      <c r="S502" s="4" t="str">
        <f>IF(Nodes[[#This Row],[Bezeichnung2]] = "liebende",4,"")</f>
        <v/>
      </c>
      <c r="T502" s="4" t="str">
        <f>IF(Nodes[[#This Row],[Bezeichnung2]] = "gegenspieler",5,"")</f>
        <v/>
      </c>
    </row>
    <row r="503" spans="1:20" x14ac:dyDescent="0.3">
      <c r="A503" t="s">
        <v>487</v>
      </c>
      <c r="B503" t="s">
        <v>490</v>
      </c>
      <c r="C503" t="s">
        <v>46</v>
      </c>
      <c r="D503" t="s">
        <v>185</v>
      </c>
      <c r="E503" t="s">
        <v>47</v>
      </c>
      <c r="F503" t="s">
        <v>47</v>
      </c>
      <c r="G503" t="s">
        <v>26</v>
      </c>
      <c r="H503" t="str">
        <f t="shared" si="14"/>
        <v>bauer</v>
      </c>
      <c r="I503" t="str" cm="1">
        <f t="array" ref="I503">_xlfn.SWITCH(A503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03" s="4">
        <f>IF(AND(B503=Werte!B503,LEFT(A503,5)=LEFT(Werte!A503,5)),Werte!C503,"not found")</f>
        <v>1.6</v>
      </c>
      <c r="K503" s="4">
        <f>IF(AND(B503=Werte!B503,LEFT(A503,5)=LEFT(Werte!A503,5)),Werte!D503,"not found")</f>
        <v>0.05</v>
      </c>
      <c r="L503" s="4">
        <f>IF(AND(B503=Werte!B503,LEFT(A503,5)=LEFT(Werte!A503,5)),Werte!E503,"not found")</f>
        <v>0.45454545454545497</v>
      </c>
      <c r="M503" s="4">
        <f>IF(AND(B503=Werte!B503,LEFT(A503,5)=LEFT(Werte!A503,5)),Werte!F503,"not found")</f>
        <v>0.50120521923078298</v>
      </c>
      <c r="N503" s="4" t="str">
        <f t="shared" si="15"/>
        <v>unbekannt</v>
      </c>
      <c r="O503" s="4" cm="1">
        <f t="array" ref="O503">_xlfn.SWITCH(A503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03" s="4" t="str">
        <f>IF(Nodes[[#This Row],[Bezeichnung2]] = "betrueger",1,"")</f>
        <v/>
      </c>
      <c r="Q503" s="4" t="str">
        <f>IF(Nodes[[#This Row],[Bezeichnung2]] = "betrogener",2,"")</f>
        <v/>
      </c>
      <c r="R503" s="4" t="str">
        <f>IF(Nodes[[#This Row],[Bezeichnung2]] = "liebender",3,"")</f>
        <v/>
      </c>
      <c r="S503" s="4" t="str">
        <f>IF(Nodes[[#This Row],[Bezeichnung2]] = "liebende",4,"")</f>
        <v/>
      </c>
      <c r="T503" s="4" t="str">
        <f>IF(Nodes[[#This Row],[Bezeichnung2]] = "gegenspieler",5,"")</f>
        <v/>
      </c>
    </row>
    <row r="504" spans="1:20" x14ac:dyDescent="0.3">
      <c r="A504" t="s">
        <v>487</v>
      </c>
      <c r="B504" t="s">
        <v>85</v>
      </c>
      <c r="C504" t="s">
        <v>24</v>
      </c>
      <c r="D504" t="s">
        <v>148</v>
      </c>
      <c r="E504" t="s">
        <v>47</v>
      </c>
      <c r="F504" t="s">
        <v>25</v>
      </c>
      <c r="G504" t="s">
        <v>26</v>
      </c>
      <c r="H504" t="str">
        <f t="shared" si="14"/>
        <v>bauer</v>
      </c>
      <c r="I504" t="str" cm="1">
        <f t="array" ref="I504">_xlfn.SWITCH(A504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04" s="4">
        <f>IF(AND(B504=Werte!B504,LEFT(A504,5)=LEFT(Werte!A504,5)),Werte!C504,"not found")</f>
        <v>1.6</v>
      </c>
      <c r="K504" s="4">
        <f>IF(AND(B504=Werte!B504,LEFT(A504,5)=LEFT(Werte!A504,5)),Werte!D504,"not found")</f>
        <v>0</v>
      </c>
      <c r="L504" s="4">
        <f>IF(AND(B504=Werte!B504,LEFT(A504,5)=LEFT(Werte!A504,5)),Werte!E504,"not found")</f>
        <v>0.41666666666666702</v>
      </c>
      <c r="M504" s="4">
        <f>IF(AND(B504=Werte!B504,LEFT(A504,5)=LEFT(Werte!A504,5)),Werte!F504,"not found")</f>
        <v>0.56931726303234798</v>
      </c>
      <c r="N504" s="4" t="str">
        <f t="shared" si="15"/>
        <v>ehefrau</v>
      </c>
      <c r="O504" s="4" cm="1">
        <f t="array" ref="O504">_xlfn.SWITCH(A504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04" s="4" t="str">
        <f>IF(Nodes[[#This Row],[Bezeichnung2]] = "betrueger",1,"")</f>
        <v/>
      </c>
      <c r="Q504" s="4" t="str">
        <f>IF(Nodes[[#This Row],[Bezeichnung2]] = "betrogener",2,"")</f>
        <v/>
      </c>
      <c r="R504" s="4" t="str">
        <f>IF(Nodes[[#This Row],[Bezeichnung2]] = "liebender",3,"")</f>
        <v/>
      </c>
      <c r="S504" s="4" t="str">
        <f>IF(Nodes[[#This Row],[Bezeichnung2]] = "liebende",4,"")</f>
        <v/>
      </c>
      <c r="T504" s="4" t="str">
        <f>IF(Nodes[[#This Row],[Bezeichnung2]] = "gegenspieler",5,"")</f>
        <v/>
      </c>
    </row>
    <row r="505" spans="1:20" x14ac:dyDescent="0.3">
      <c r="A505" t="s">
        <v>491</v>
      </c>
      <c r="B505" t="s">
        <v>85</v>
      </c>
      <c r="C505" t="s">
        <v>24</v>
      </c>
      <c r="D505" t="s">
        <v>108</v>
      </c>
      <c r="E505" t="s">
        <v>20</v>
      </c>
      <c r="F505" t="s">
        <v>55</v>
      </c>
      <c r="G505" t="s">
        <v>22</v>
      </c>
      <c r="H505" t="str">
        <f t="shared" si="14"/>
        <v>buergerlich</v>
      </c>
      <c r="I505" t="str" cm="1">
        <f t="array" ref="I505">_xlfn.SWITCH(A505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05" s="4">
        <f>IF(AND(B505=Werte!B505,LEFT(A505,5)=LEFT(Werte!A505,5)),Werte!C505,"not found")</f>
        <v>2</v>
      </c>
      <c r="K505" s="4">
        <f>IF(AND(B505=Werte!B505,LEFT(A505,5)=LEFT(Werte!A505,5)),Werte!D505,"not found")</f>
        <v>0.16666666666666699</v>
      </c>
      <c r="L505" s="4">
        <f>IF(AND(B505=Werte!B505,LEFT(A505,5)=LEFT(Werte!A505,5)),Werte!E505,"not found")</f>
        <v>0.44444444444444398</v>
      </c>
      <c r="M505" s="4">
        <f>IF(AND(B505=Werte!B505,LEFT(A505,5)=LEFT(Werte!A505,5)),Werte!F505,"not found")</f>
        <v>1</v>
      </c>
      <c r="N505" s="4" t="str">
        <f t="shared" si="15"/>
        <v>betrueger</v>
      </c>
      <c r="O505" s="4" cm="1">
        <f t="array" ref="O505">_xlfn.SWITCH(A505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05" s="4">
        <f>IF(Nodes[[#This Row],[Bezeichnung2]] = "betrueger",1,"")</f>
        <v>1</v>
      </c>
      <c r="Q505" s="4" t="str">
        <f>IF(Nodes[[#This Row],[Bezeichnung2]] = "betrogener",2,"")</f>
        <v/>
      </c>
      <c r="R505" s="4" t="str">
        <f>IF(Nodes[[#This Row],[Bezeichnung2]] = "liebender",3,"")</f>
        <v/>
      </c>
      <c r="S505" s="4" t="str">
        <f>IF(Nodes[[#This Row],[Bezeichnung2]] = "liebende",4,"")</f>
        <v/>
      </c>
      <c r="T505" s="4" t="str">
        <f>IF(Nodes[[#This Row],[Bezeichnung2]] = "gegenspieler",5,"")</f>
        <v/>
      </c>
    </row>
    <row r="506" spans="1:20" x14ac:dyDescent="0.3">
      <c r="A506" t="s">
        <v>491</v>
      </c>
      <c r="B506" t="s">
        <v>115</v>
      </c>
      <c r="C506" t="s">
        <v>18</v>
      </c>
      <c r="D506" t="s">
        <v>108</v>
      </c>
      <c r="E506" t="s">
        <v>47</v>
      </c>
      <c r="F506" t="s">
        <v>50</v>
      </c>
      <c r="G506" t="s">
        <v>26</v>
      </c>
      <c r="H506" t="str">
        <f t="shared" si="14"/>
        <v>buergerlich</v>
      </c>
      <c r="I506" t="str" cm="1">
        <f t="array" ref="I506">_xlfn.SWITCH(A506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06" s="4">
        <f>IF(AND(B506=Werte!B506,LEFT(A506,5)=LEFT(Werte!A506,5)),Werte!C506,"not found")</f>
        <v>2</v>
      </c>
      <c r="K506" s="4">
        <f>IF(AND(B506=Werte!B506,LEFT(A506,5)=LEFT(Werte!A506,5)),Werte!D506,"not found")</f>
        <v>0.16666666666666699</v>
      </c>
      <c r="L506" s="4">
        <f>IF(AND(B506=Werte!B506,LEFT(A506,5)=LEFT(Werte!A506,5)),Werte!E506,"not found")</f>
        <v>0.44444444444444398</v>
      </c>
      <c r="M506" s="4">
        <f>IF(AND(B506=Werte!B506,LEFT(A506,5)=LEFT(Werte!A506,5)),Werte!F506,"not found")</f>
        <v>0.78652875862854299</v>
      </c>
      <c r="N506" s="4" t="str">
        <f t="shared" si="15"/>
        <v>betrogener</v>
      </c>
      <c r="O506" s="4" cm="1">
        <f t="array" ref="O506">_xlfn.SWITCH(A506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06" s="4" t="str">
        <f>IF(Nodes[[#This Row],[Bezeichnung2]] = "betrueger",1,"")</f>
        <v/>
      </c>
      <c r="Q506" s="4">
        <f>IF(Nodes[[#This Row],[Bezeichnung2]] = "betrogener",2,"")</f>
        <v>2</v>
      </c>
      <c r="R506" s="4" t="str">
        <f>IF(Nodes[[#This Row],[Bezeichnung2]] = "liebender",3,"")</f>
        <v/>
      </c>
      <c r="S506" s="4" t="str">
        <f>IF(Nodes[[#This Row],[Bezeichnung2]] = "liebende",4,"")</f>
        <v/>
      </c>
      <c r="T506" s="4" t="str">
        <f>IF(Nodes[[#This Row],[Bezeichnung2]] = "gegenspieler",5,"")</f>
        <v/>
      </c>
    </row>
    <row r="507" spans="1:20" x14ac:dyDescent="0.3">
      <c r="A507" t="s">
        <v>491</v>
      </c>
      <c r="B507" t="s">
        <v>492</v>
      </c>
      <c r="C507" t="s">
        <v>18</v>
      </c>
      <c r="D507" t="s">
        <v>47</v>
      </c>
      <c r="E507" t="s">
        <v>20</v>
      </c>
      <c r="F507" t="s">
        <v>127</v>
      </c>
      <c r="G507" t="s">
        <v>22</v>
      </c>
      <c r="H507" t="str">
        <f t="shared" si="14"/>
        <v>unbekannt</v>
      </c>
      <c r="I507" t="str" cm="1">
        <f t="array" ref="I507">_xlfn.SWITCH(A507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07" s="4">
        <f>IF(AND(B507=Werte!B507,LEFT(A507,5)=LEFT(Werte!A507,5)),Werte!C507,"not found")</f>
        <v>1.5</v>
      </c>
      <c r="K507" s="4">
        <f>IF(AND(B507=Werte!B507,LEFT(A507,5)=LEFT(Werte!A507,5)),Werte!D507,"not found")</f>
        <v>0</v>
      </c>
      <c r="L507" s="4">
        <f>IF(AND(B507=Werte!B507,LEFT(A507,5)=LEFT(Werte!A507,5)),Werte!E507,"not found")</f>
        <v>0.266666666666667</v>
      </c>
      <c r="M507" s="4">
        <f>IF(AND(B507=Werte!B507,LEFT(A507,5)=LEFT(Werte!A507,5)),Werte!F507,"not found")</f>
        <v>0.93947963678087598</v>
      </c>
      <c r="N507" s="4" t="str">
        <f t="shared" si="15"/>
        <v>betrueger</v>
      </c>
      <c r="O507" s="4" cm="1">
        <f t="array" ref="O507">_xlfn.SWITCH(A507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07" s="4">
        <f>IF(Nodes[[#This Row],[Bezeichnung2]] = "betrueger",1,"")</f>
        <v>1</v>
      </c>
      <c r="Q507" s="4" t="str">
        <f>IF(Nodes[[#This Row],[Bezeichnung2]] = "betrogener",2,"")</f>
        <v/>
      </c>
      <c r="R507" s="4" t="str">
        <f>IF(Nodes[[#This Row],[Bezeichnung2]] = "liebender",3,"")</f>
        <v/>
      </c>
      <c r="S507" s="4" t="str">
        <f>IF(Nodes[[#This Row],[Bezeichnung2]] = "liebende",4,"")</f>
        <v/>
      </c>
      <c r="T507" s="4" t="str">
        <f>IF(Nodes[[#This Row],[Bezeichnung2]] = "gegenspieler",5,"")</f>
        <v/>
      </c>
    </row>
    <row r="508" spans="1:20" x14ac:dyDescent="0.3">
      <c r="A508" t="s">
        <v>491</v>
      </c>
      <c r="B508" t="s">
        <v>493</v>
      </c>
      <c r="C508" t="s">
        <v>18</v>
      </c>
      <c r="D508" t="s">
        <v>494</v>
      </c>
      <c r="E508" t="s">
        <v>47</v>
      </c>
      <c r="F508" t="s">
        <v>33</v>
      </c>
      <c r="G508" t="s">
        <v>26</v>
      </c>
      <c r="H508" t="str">
        <f t="shared" si="14"/>
        <v>buergerlich</v>
      </c>
      <c r="I508" t="str" cm="1">
        <f t="array" ref="I508">_xlfn.SWITCH(A508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08" s="4">
        <f>IF(AND(B508=Werte!B508,LEFT(A508,5)=LEFT(Werte!A508,5)),Werte!C508,"not found")</f>
        <v>1.5</v>
      </c>
      <c r="K508" s="4">
        <f>IF(AND(B508=Werte!B508,LEFT(A508,5)=LEFT(Werte!A508,5)),Werte!D508,"not found")</f>
        <v>0.5</v>
      </c>
      <c r="L508" s="4">
        <f>IF(AND(B508=Werte!B508,LEFT(A508,5)=LEFT(Werte!A508,5)),Werte!E508,"not found")</f>
        <v>0.44444444444444398</v>
      </c>
      <c r="M508" s="4">
        <f>IF(AND(B508=Werte!B508,LEFT(A508,5)=LEFT(Werte!A508,5)),Werte!F508,"not found")</f>
        <v>0.22521804258280201</v>
      </c>
      <c r="N508" s="4" t="str">
        <f t="shared" si="15"/>
        <v>vater</v>
      </c>
      <c r="O508" s="4" cm="1">
        <f t="array" ref="O508">_xlfn.SWITCH(A508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08" s="4" t="str">
        <f>IF(Nodes[[#This Row],[Bezeichnung2]] = "betrueger",1,"")</f>
        <v/>
      </c>
      <c r="Q508" s="4" t="str">
        <f>IF(Nodes[[#This Row],[Bezeichnung2]] = "betrogener",2,"")</f>
        <v/>
      </c>
      <c r="R508" s="4" t="str">
        <f>IF(Nodes[[#This Row],[Bezeichnung2]] = "liebender",3,"")</f>
        <v/>
      </c>
      <c r="S508" s="4" t="str">
        <f>IF(Nodes[[#This Row],[Bezeichnung2]] = "liebende",4,"")</f>
        <v/>
      </c>
      <c r="T508" s="4" t="str">
        <f>IF(Nodes[[#This Row],[Bezeichnung2]] = "gegenspieler",5,"")</f>
        <v/>
      </c>
    </row>
    <row r="509" spans="1:20" x14ac:dyDescent="0.3">
      <c r="A509" t="s">
        <v>491</v>
      </c>
      <c r="B509" t="s">
        <v>100</v>
      </c>
      <c r="C509" t="s">
        <v>18</v>
      </c>
      <c r="D509" t="s">
        <v>101</v>
      </c>
      <c r="E509" t="s">
        <v>47</v>
      </c>
      <c r="F509" t="s">
        <v>47</v>
      </c>
      <c r="G509" t="s">
        <v>26</v>
      </c>
      <c r="H509" t="str">
        <f t="shared" si="14"/>
        <v>buergerlich</v>
      </c>
      <c r="I509" t="str" cm="1">
        <f t="array" ref="I509">_xlfn.SWITCH(A509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09" s="4">
        <f>IF(AND(B509=Werte!B509,LEFT(A509,5)=LEFT(Werte!A509,5)),Werte!C509,"not found")</f>
        <v>1</v>
      </c>
      <c r="K509" s="4">
        <f>IF(AND(B509=Werte!B509,LEFT(A509,5)=LEFT(Werte!A509,5)),Werte!D509,"not found")</f>
        <v>0.16666666666666699</v>
      </c>
      <c r="L509" s="4">
        <f>IF(AND(B509=Werte!B509,LEFT(A509,5)=LEFT(Werte!A509,5)),Werte!E509,"not found")</f>
        <v>0.4</v>
      </c>
      <c r="M509" s="4">
        <f>IF(AND(B509=Werte!B509,LEFT(A509,5)=LEFT(Werte!A509,5)),Werte!F509,"not found")</f>
        <v>7.3799939632206296E-2</v>
      </c>
      <c r="N509" s="4" t="str">
        <f t="shared" si="15"/>
        <v>unbekannt</v>
      </c>
      <c r="O509" s="4" cm="1">
        <f t="array" ref="O509">_xlfn.SWITCH(A509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09" s="4" t="str">
        <f>IF(Nodes[[#This Row],[Bezeichnung2]] = "betrueger",1,"")</f>
        <v/>
      </c>
      <c r="Q509" s="4" t="str">
        <f>IF(Nodes[[#This Row],[Bezeichnung2]] = "betrogener",2,"")</f>
        <v/>
      </c>
      <c r="R509" s="4" t="str">
        <f>IF(Nodes[[#This Row],[Bezeichnung2]] = "liebender",3,"")</f>
        <v/>
      </c>
      <c r="S509" s="4" t="str">
        <f>IF(Nodes[[#This Row],[Bezeichnung2]] = "liebende",4,"")</f>
        <v/>
      </c>
      <c r="T509" s="4" t="str">
        <f>IF(Nodes[[#This Row],[Bezeichnung2]] = "gegenspieler",5,"")</f>
        <v/>
      </c>
    </row>
    <row r="510" spans="1:20" x14ac:dyDescent="0.3">
      <c r="A510" t="s">
        <v>495</v>
      </c>
      <c r="B510" t="s">
        <v>56</v>
      </c>
      <c r="C510" t="s">
        <v>18</v>
      </c>
      <c r="D510" t="s">
        <v>57</v>
      </c>
      <c r="E510" t="s">
        <v>311</v>
      </c>
      <c r="F510" t="s">
        <v>53</v>
      </c>
      <c r="G510" t="s">
        <v>22</v>
      </c>
      <c r="H510" t="str">
        <f t="shared" si="14"/>
        <v>adel</v>
      </c>
      <c r="I510" t="str" cm="1">
        <f t="array" ref="I510">_xlfn.SWITCH(A510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510" s="4">
        <f>IF(AND(B510=Werte!B510,LEFT(A510,5)=LEFT(Werte!A510,5)),Werte!C510,"not found")</f>
        <v>0.33333333333333298</v>
      </c>
      <c r="K510" s="4">
        <f>IF(AND(B510=Werte!B510,LEFT(A510,5)=LEFT(Werte!A510,5)),Werte!D510,"not found")</f>
        <v>0</v>
      </c>
      <c r="L510" s="4">
        <f>IF(AND(B510=Werte!B510,LEFT(A510,5)=LEFT(Werte!A510,5)),Werte!E510,"not found")</f>
        <v>0.26086956521739102</v>
      </c>
      <c r="M510" s="4">
        <f>IF(AND(B510=Werte!B510,LEFT(A510,5)=LEFT(Werte!A510,5)),Werte!F510,"not found")</f>
        <v>0.58180079134140095</v>
      </c>
      <c r="N510" s="4" t="str">
        <f t="shared" si="15"/>
        <v>helfer</v>
      </c>
      <c r="O510" s="4" cm="1">
        <f t="array" ref="O510">_xlfn.SWITCH(A510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510" s="4" t="str">
        <f>IF(Nodes[[#This Row],[Bezeichnung2]] = "betrueger",1,"")</f>
        <v/>
      </c>
      <c r="Q510" s="4" t="str">
        <f>IF(Nodes[[#This Row],[Bezeichnung2]] = "betrogener",2,"")</f>
        <v/>
      </c>
      <c r="R510" s="4" t="str">
        <f>IF(Nodes[[#This Row],[Bezeichnung2]] = "liebender",3,"")</f>
        <v/>
      </c>
      <c r="S510" s="4" t="str">
        <f>IF(Nodes[[#This Row],[Bezeichnung2]] = "liebende",4,"")</f>
        <v/>
      </c>
      <c r="T510" s="4" t="str">
        <f>IF(Nodes[[#This Row],[Bezeichnung2]] = "gegenspieler",5,"")</f>
        <v/>
      </c>
    </row>
    <row r="511" spans="1:20" x14ac:dyDescent="0.3">
      <c r="A511" t="s">
        <v>495</v>
      </c>
      <c r="B511" t="s">
        <v>496</v>
      </c>
      <c r="C511" t="s">
        <v>18</v>
      </c>
      <c r="D511" t="s">
        <v>57</v>
      </c>
      <c r="E511" t="s">
        <v>20</v>
      </c>
      <c r="F511" t="s">
        <v>47</v>
      </c>
      <c r="G511" t="s">
        <v>22</v>
      </c>
      <c r="H511" t="str">
        <f t="shared" si="14"/>
        <v>adel</v>
      </c>
      <c r="I511" t="str" cm="1">
        <f t="array" ref="I511">_xlfn.SWITCH(A511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511" s="4">
        <f>IF(AND(B511=Werte!B511,LEFT(A511,5)=LEFT(Werte!A511,5)),Werte!C511,"not found")</f>
        <v>1.6666666666666701</v>
      </c>
      <c r="K511" s="4">
        <f>IF(AND(B511=Werte!B511,LEFT(A511,5)=LEFT(Werte!A511,5)),Werte!D511,"not found")</f>
        <v>0.174242424242424</v>
      </c>
      <c r="L511" s="4">
        <f>IF(AND(B511=Werte!B511,LEFT(A511,5)=LEFT(Werte!A511,5)),Werte!E511,"not found")</f>
        <v>0.33333333333333298</v>
      </c>
      <c r="M511" s="4">
        <f>IF(AND(B511=Werte!B511,LEFT(A511,5)=LEFT(Werte!A511,5)),Werte!F511,"not found")</f>
        <v>1</v>
      </c>
      <c r="N511" s="4" t="str">
        <f t="shared" si="15"/>
        <v>unbekannt</v>
      </c>
      <c r="O511" s="4" cm="1">
        <f t="array" ref="O511">_xlfn.SWITCH(A511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511" s="4" t="str">
        <f>IF(Nodes[[#This Row],[Bezeichnung2]] = "betrueger",1,"")</f>
        <v/>
      </c>
      <c r="Q511" s="4" t="str">
        <f>IF(Nodes[[#This Row],[Bezeichnung2]] = "betrogener",2,"")</f>
        <v/>
      </c>
      <c r="R511" s="4" t="str">
        <f>IF(Nodes[[#This Row],[Bezeichnung2]] = "liebender",3,"")</f>
        <v/>
      </c>
      <c r="S511" s="4" t="str">
        <f>IF(Nodes[[#This Row],[Bezeichnung2]] = "liebende",4,"")</f>
        <v/>
      </c>
      <c r="T511" s="4" t="str">
        <f>IF(Nodes[[#This Row],[Bezeichnung2]] = "gegenspieler",5,"")</f>
        <v/>
      </c>
    </row>
    <row r="512" spans="1:20" x14ac:dyDescent="0.3">
      <c r="A512" t="s">
        <v>495</v>
      </c>
      <c r="B512" t="s">
        <v>497</v>
      </c>
      <c r="C512" t="s">
        <v>18</v>
      </c>
      <c r="D512" t="s">
        <v>176</v>
      </c>
      <c r="E512" t="s">
        <v>32</v>
      </c>
      <c r="F512" t="s">
        <v>33</v>
      </c>
      <c r="G512" t="s">
        <v>26</v>
      </c>
      <c r="H512" t="str">
        <f t="shared" si="14"/>
        <v>adel</v>
      </c>
      <c r="I512" t="str" cm="1">
        <f t="array" ref="I512">_xlfn.SWITCH(A512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512" s="4">
        <f>IF(AND(B512=Werte!B512,LEFT(A512,5)=LEFT(Werte!A512,5)),Werte!C512,"not found")</f>
        <v>0.66666666666666696</v>
      </c>
      <c r="K512" s="4">
        <f>IF(AND(B512=Werte!B512,LEFT(A512,5)=LEFT(Werte!A512,5)),Werte!D512,"not found")</f>
        <v>7.5757575757575801E-2</v>
      </c>
      <c r="L512" s="4">
        <f>IF(AND(B512=Werte!B512,LEFT(A512,5)=LEFT(Werte!A512,5)),Werte!E512,"not found")</f>
        <v>0.375</v>
      </c>
      <c r="M512" s="4">
        <f>IF(AND(B512=Werte!B512,LEFT(A512,5)=LEFT(Werte!A512,5)),Werte!F512,"not found")</f>
        <v>0.25966705918486499</v>
      </c>
      <c r="N512" s="4" t="str">
        <f t="shared" si="15"/>
        <v>vater</v>
      </c>
      <c r="O512" s="4" cm="1">
        <f t="array" ref="O512">_xlfn.SWITCH(A512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512" s="4" t="str">
        <f>IF(Nodes[[#This Row],[Bezeichnung2]] = "betrueger",1,"")</f>
        <v/>
      </c>
      <c r="Q512" s="4" t="str">
        <f>IF(Nodes[[#This Row],[Bezeichnung2]] = "betrogener",2,"")</f>
        <v/>
      </c>
      <c r="R512" s="4" t="str">
        <f>IF(Nodes[[#This Row],[Bezeichnung2]] = "liebender",3,"")</f>
        <v/>
      </c>
      <c r="S512" s="4" t="str">
        <f>IF(Nodes[[#This Row],[Bezeichnung2]] = "liebende",4,"")</f>
        <v/>
      </c>
      <c r="T512" s="4" t="str">
        <f>IF(Nodes[[#This Row],[Bezeichnung2]] = "gegenspieler",5,"")</f>
        <v/>
      </c>
    </row>
    <row r="513" spans="1:20" x14ac:dyDescent="0.3">
      <c r="A513" t="s">
        <v>495</v>
      </c>
      <c r="B513" t="s">
        <v>255</v>
      </c>
      <c r="C513" t="s">
        <v>24</v>
      </c>
      <c r="D513" t="s">
        <v>86</v>
      </c>
      <c r="E513" t="s">
        <v>20</v>
      </c>
      <c r="F513" t="s">
        <v>53</v>
      </c>
      <c r="G513" t="s">
        <v>26</v>
      </c>
      <c r="H513" t="str">
        <f t="shared" si="14"/>
        <v>adel</v>
      </c>
      <c r="I513" t="str" cm="1">
        <f t="array" ref="I513">_xlfn.SWITCH(A513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513" s="4">
        <f>IF(AND(B513=Werte!B513,LEFT(A513,5)=LEFT(Werte!A513,5)),Werte!C513,"not found")</f>
        <v>1.3333333333333299</v>
      </c>
      <c r="K513" s="4">
        <f>IF(AND(B513=Werte!B513,LEFT(A513,5)=LEFT(Werte!A513,5)),Werte!D513,"not found")</f>
        <v>0.54545454545454497</v>
      </c>
      <c r="L513" s="4">
        <f>IF(AND(B513=Werte!B513,LEFT(A513,5)=LEFT(Werte!A513,5)),Werte!E513,"not found")</f>
        <v>0.5</v>
      </c>
      <c r="M513" s="4">
        <f>IF(AND(B513=Werte!B513,LEFT(A513,5)=LEFT(Werte!A513,5)),Werte!F513,"not found")</f>
        <v>0.61955072261073696</v>
      </c>
      <c r="N513" s="4" t="str">
        <f t="shared" si="15"/>
        <v>helfer</v>
      </c>
      <c r="O513" s="4" cm="1">
        <f t="array" ref="O513">_xlfn.SWITCH(A513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513" s="4" t="str">
        <f>IF(Nodes[[#This Row],[Bezeichnung2]] = "betrueger",1,"")</f>
        <v/>
      </c>
      <c r="Q513" s="4" t="str">
        <f>IF(Nodes[[#This Row],[Bezeichnung2]] = "betrogener",2,"")</f>
        <v/>
      </c>
      <c r="R513" s="4" t="str">
        <f>IF(Nodes[[#This Row],[Bezeichnung2]] = "liebender",3,"")</f>
        <v/>
      </c>
      <c r="S513" s="4" t="str">
        <f>IF(Nodes[[#This Row],[Bezeichnung2]] = "liebende",4,"")</f>
        <v/>
      </c>
      <c r="T513" s="4" t="str">
        <f>IF(Nodes[[#This Row],[Bezeichnung2]] = "gegenspieler",5,"")</f>
        <v/>
      </c>
    </row>
    <row r="514" spans="1:20" x14ac:dyDescent="0.3">
      <c r="A514" t="s">
        <v>495</v>
      </c>
      <c r="B514" t="s">
        <v>498</v>
      </c>
      <c r="C514" t="s">
        <v>46</v>
      </c>
      <c r="D514" t="s">
        <v>202</v>
      </c>
      <c r="E514" t="s">
        <v>47</v>
      </c>
      <c r="F514" t="s">
        <v>204</v>
      </c>
      <c r="G514" t="s">
        <v>26</v>
      </c>
      <c r="H514" t="str">
        <f t="shared" ref="H514:H568" si="16">IF(LEFT(D514,4)="adel","adel",IF(LEFT(D514,11)="buergerlich","buergerlich",IF(LEFT(D514,6)="klerus","klerus",IF(D514="NA","NA",IF(LEFT(D514,9)="unbekannt","unbekannt",IF(LEFT(D514,5)="bauer","bauer","not found"))))))</f>
        <v>adel</v>
      </c>
      <c r="I514" t="str" cm="1">
        <f t="array" ref="I514">_xlfn.SWITCH(A514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514" s="4">
        <f>IF(AND(B514=Werte!B514,LEFT(A514,5)=LEFT(Werte!A514,5)),Werte!C514,"not found")</f>
        <v>0.16666666666666699</v>
      </c>
      <c r="K514" s="4">
        <f>IF(AND(B514=Werte!B514,LEFT(A514,5)=LEFT(Werte!A514,5)),Werte!D514,"not found")</f>
        <v>0</v>
      </c>
      <c r="L514" s="4">
        <f>IF(AND(B514=Werte!B514,LEFT(A514,5)=LEFT(Werte!A514,5)),Werte!E514,"not found")</f>
        <v>0.34285714285714303</v>
      </c>
      <c r="M514" s="4">
        <f>IF(AND(B514=Werte!B514,LEFT(A514,5)=LEFT(Werte!A514,5)),Werte!F514,"not found")</f>
        <v>1.9762766371668E-2</v>
      </c>
      <c r="N514" s="4" t="str">
        <f t="shared" ref="N514:N568" si="17">IF(RIGHT(F514,10)="betrogener","betrogener",IF(RIGHT(F514,9)="betrueger","betrueger",F514))</f>
        <v>ratgeber</v>
      </c>
      <c r="O514" s="4" cm="1">
        <f t="array" ref="O514">_xlfn.SWITCH(A514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514" s="4" t="str">
        <f>IF(Nodes[[#This Row],[Bezeichnung2]] = "betrueger",1,"")</f>
        <v/>
      </c>
      <c r="Q514" s="4" t="str">
        <f>IF(Nodes[[#This Row],[Bezeichnung2]] = "betrogener",2,"")</f>
        <v/>
      </c>
      <c r="R514" s="4" t="str">
        <f>IF(Nodes[[#This Row],[Bezeichnung2]] = "liebender",3,"")</f>
        <v/>
      </c>
      <c r="S514" s="4" t="str">
        <f>IF(Nodes[[#This Row],[Bezeichnung2]] = "liebende",4,"")</f>
        <v/>
      </c>
      <c r="T514" s="4" t="str">
        <f>IF(Nodes[[#This Row],[Bezeichnung2]] = "gegenspieler",5,"")</f>
        <v/>
      </c>
    </row>
    <row r="515" spans="1:20" x14ac:dyDescent="0.3">
      <c r="A515" t="s">
        <v>495</v>
      </c>
      <c r="B515" t="s">
        <v>499</v>
      </c>
      <c r="C515" t="s">
        <v>46</v>
      </c>
      <c r="D515" t="s">
        <v>119</v>
      </c>
      <c r="E515" t="s">
        <v>47</v>
      </c>
      <c r="F515" t="s">
        <v>47</v>
      </c>
      <c r="G515" t="s">
        <v>26</v>
      </c>
      <c r="H515" t="str">
        <f t="shared" si="16"/>
        <v>adel</v>
      </c>
      <c r="I515" t="str" cm="1">
        <f t="array" ref="I515">_xlfn.SWITCH(A515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515" s="4">
        <f>IF(AND(B515=Werte!B515,LEFT(A515,5)=LEFT(Werte!A515,5)),Werte!C515,"not found")</f>
        <v>0.66666666666666696</v>
      </c>
      <c r="K515" s="4">
        <f>IF(AND(B515=Werte!B515,LEFT(A515,5)=LEFT(Werte!A515,5)),Werte!D515,"not found")</f>
        <v>0.11363636363636399</v>
      </c>
      <c r="L515" s="4">
        <f>IF(AND(B515=Werte!B515,LEFT(A515,5)=LEFT(Werte!A515,5)),Werte!E515,"not found")</f>
        <v>0.38709677419354799</v>
      </c>
      <c r="M515" s="4">
        <f>IF(AND(B515=Werte!B515,LEFT(A515,5)=LEFT(Werte!A515,5)),Werte!F515,"not found")</f>
        <v>0.12399173468724201</v>
      </c>
      <c r="N515" s="4" t="str">
        <f t="shared" si="17"/>
        <v>unbekannt</v>
      </c>
      <c r="O515" s="4" cm="1">
        <f t="array" ref="O515">_xlfn.SWITCH(A515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515" s="4" t="str">
        <f>IF(Nodes[[#This Row],[Bezeichnung2]] = "betrueger",1,"")</f>
        <v/>
      </c>
      <c r="Q515" s="4" t="str">
        <f>IF(Nodes[[#This Row],[Bezeichnung2]] = "betrogener",2,"")</f>
        <v/>
      </c>
      <c r="R515" s="4" t="str">
        <f>IF(Nodes[[#This Row],[Bezeichnung2]] = "liebender",3,"")</f>
        <v/>
      </c>
      <c r="S515" s="4" t="str">
        <f>IF(Nodes[[#This Row],[Bezeichnung2]] = "liebende",4,"")</f>
        <v/>
      </c>
      <c r="T515" s="4" t="str">
        <f>IF(Nodes[[#This Row],[Bezeichnung2]] = "gegenspieler",5,"")</f>
        <v/>
      </c>
    </row>
    <row r="516" spans="1:20" x14ac:dyDescent="0.3">
      <c r="A516" t="s">
        <v>495</v>
      </c>
      <c r="B516" t="s">
        <v>500</v>
      </c>
      <c r="C516" t="s">
        <v>18</v>
      </c>
      <c r="D516" t="s">
        <v>501</v>
      </c>
      <c r="E516" t="s">
        <v>47</v>
      </c>
      <c r="F516" t="s">
        <v>104</v>
      </c>
      <c r="G516" t="s">
        <v>26</v>
      </c>
      <c r="H516" t="str">
        <f t="shared" si="16"/>
        <v>buergerlich</v>
      </c>
      <c r="I516" t="str" cm="1">
        <f t="array" ref="I516">_xlfn.SWITCH(A516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516" s="4">
        <f>IF(AND(B516=Werte!B516,LEFT(A516,5)=LEFT(Werte!A516,5)),Werte!C516,"not found")</f>
        <v>0.66666666666666696</v>
      </c>
      <c r="K516" s="4">
        <f>IF(AND(B516=Werte!B516,LEFT(A516,5)=LEFT(Werte!A516,5)),Werte!D516,"not found")</f>
        <v>2.5252525252525301E-2</v>
      </c>
      <c r="L516" s="4">
        <f>IF(AND(B516=Werte!B516,LEFT(A516,5)=LEFT(Werte!A516,5)),Werte!E516,"not found")</f>
        <v>0.38709677419354799</v>
      </c>
      <c r="M516" s="4">
        <f>IF(AND(B516=Werte!B516,LEFT(A516,5)=LEFT(Werte!A516,5)),Werte!F516,"not found")</f>
        <v>0.23995819381793601</v>
      </c>
      <c r="N516" s="4" t="str">
        <f t="shared" si="17"/>
        <v>bote</v>
      </c>
      <c r="O516" s="4" cm="1">
        <f t="array" ref="O516">_xlfn.SWITCH(A516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516" s="4" t="str">
        <f>IF(Nodes[[#This Row],[Bezeichnung2]] = "betrueger",1,"")</f>
        <v/>
      </c>
      <c r="Q516" s="4" t="str">
        <f>IF(Nodes[[#This Row],[Bezeichnung2]] = "betrogener",2,"")</f>
        <v/>
      </c>
      <c r="R516" s="4" t="str">
        <f>IF(Nodes[[#This Row],[Bezeichnung2]] = "liebender",3,"")</f>
        <v/>
      </c>
      <c r="S516" s="4" t="str">
        <f>IF(Nodes[[#This Row],[Bezeichnung2]] = "liebende",4,"")</f>
        <v/>
      </c>
      <c r="T516" s="4" t="str">
        <f>IF(Nodes[[#This Row],[Bezeichnung2]] = "gegenspieler",5,"")</f>
        <v/>
      </c>
    </row>
    <row r="517" spans="1:20" x14ac:dyDescent="0.3">
      <c r="A517" t="s">
        <v>495</v>
      </c>
      <c r="B517" t="s">
        <v>502</v>
      </c>
      <c r="C517" t="s">
        <v>18</v>
      </c>
      <c r="D517" t="s">
        <v>119</v>
      </c>
      <c r="E517" t="s">
        <v>47</v>
      </c>
      <c r="F517" t="s">
        <v>104</v>
      </c>
      <c r="G517" t="s">
        <v>26</v>
      </c>
      <c r="H517" t="str">
        <f t="shared" si="16"/>
        <v>adel</v>
      </c>
      <c r="I517" t="str" cm="1">
        <f t="array" ref="I517">_xlfn.SWITCH(A517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517" s="4">
        <f>IF(AND(B517=Werte!B517,LEFT(A517,5)=LEFT(Werte!A517,5)),Werte!C517,"not found")</f>
        <v>0.83333333333333304</v>
      </c>
      <c r="K517" s="4">
        <f>IF(AND(B517=Werte!B517,LEFT(A517,5)=LEFT(Werte!A517,5)),Werte!D517,"not found")</f>
        <v>2.27272727272727E-2</v>
      </c>
      <c r="L517" s="4">
        <f>IF(AND(B517=Werte!B517,LEFT(A517,5)=LEFT(Werte!A517,5)),Werte!E517,"not found")</f>
        <v>0.30769230769230799</v>
      </c>
      <c r="M517" s="4">
        <f>IF(AND(B517=Werte!B517,LEFT(A517,5)=LEFT(Werte!A517,5)),Werte!F517,"not found")</f>
        <v>0.40048964481880001</v>
      </c>
      <c r="N517" s="4" t="str">
        <f t="shared" si="17"/>
        <v>bote</v>
      </c>
      <c r="O517" s="4" cm="1">
        <f t="array" ref="O517">_xlfn.SWITCH(A517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517" s="4" t="str">
        <f>IF(Nodes[[#This Row],[Bezeichnung2]] = "betrueger",1,"")</f>
        <v/>
      </c>
      <c r="Q517" s="4" t="str">
        <f>IF(Nodes[[#This Row],[Bezeichnung2]] = "betrogener",2,"")</f>
        <v/>
      </c>
      <c r="R517" s="4" t="str">
        <f>IF(Nodes[[#This Row],[Bezeichnung2]] = "liebender",3,"")</f>
        <v/>
      </c>
      <c r="S517" s="4" t="str">
        <f>IF(Nodes[[#This Row],[Bezeichnung2]] = "liebende",4,"")</f>
        <v/>
      </c>
      <c r="T517" s="4" t="str">
        <f>IF(Nodes[[#This Row],[Bezeichnung2]] = "gegenspieler",5,"")</f>
        <v/>
      </c>
    </row>
    <row r="518" spans="1:20" x14ac:dyDescent="0.3">
      <c r="A518" t="s">
        <v>495</v>
      </c>
      <c r="B518" t="s">
        <v>503</v>
      </c>
      <c r="C518" t="s">
        <v>24</v>
      </c>
      <c r="D518" t="s">
        <v>86</v>
      </c>
      <c r="E518" t="s">
        <v>32</v>
      </c>
      <c r="F518" t="s">
        <v>36</v>
      </c>
      <c r="G518" t="s">
        <v>26</v>
      </c>
      <c r="H518" t="str">
        <f t="shared" si="16"/>
        <v>adel</v>
      </c>
      <c r="I518" t="str" cm="1">
        <f t="array" ref="I518">_xlfn.SWITCH(A518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518" s="4">
        <f>IF(AND(B518=Werte!B518,LEFT(A518,5)=LEFT(Werte!A518,5)),Werte!C518,"not found")</f>
        <v>0.16666666666666699</v>
      </c>
      <c r="K518" s="4">
        <f>IF(AND(B518=Werte!B518,LEFT(A518,5)=LEFT(Werte!A518,5)),Werte!D518,"not found")</f>
        <v>0</v>
      </c>
      <c r="L518" s="4">
        <f>IF(AND(B518=Werte!B518,LEFT(A518,5)=LEFT(Werte!A518,5)),Werte!E518,"not found")</f>
        <v>0.25531914893617003</v>
      </c>
      <c r="M518" s="4">
        <f>IF(AND(B518=Werte!B518,LEFT(A518,5)=LEFT(Werte!A518,5)),Werte!F518,"not found")</f>
        <v>3.1898544623415598E-2</v>
      </c>
      <c r="N518" s="4" t="str">
        <f t="shared" si="17"/>
        <v>mutter</v>
      </c>
      <c r="O518" s="4" cm="1">
        <f t="array" ref="O518">_xlfn.SWITCH(A518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518" s="4" t="str">
        <f>IF(Nodes[[#This Row],[Bezeichnung2]] = "betrueger",1,"")</f>
        <v/>
      </c>
      <c r="Q518" s="4" t="str">
        <f>IF(Nodes[[#This Row],[Bezeichnung2]] = "betrogener",2,"")</f>
        <v/>
      </c>
      <c r="R518" s="4" t="str">
        <f>IF(Nodes[[#This Row],[Bezeichnung2]] = "liebender",3,"")</f>
        <v/>
      </c>
      <c r="S518" s="4" t="str">
        <f>IF(Nodes[[#This Row],[Bezeichnung2]] = "liebende",4,"")</f>
        <v/>
      </c>
      <c r="T518" s="4" t="str">
        <f>IF(Nodes[[#This Row],[Bezeichnung2]] = "gegenspieler",5,"")</f>
        <v/>
      </c>
    </row>
    <row r="519" spans="1:20" x14ac:dyDescent="0.3">
      <c r="A519" t="s">
        <v>495</v>
      </c>
      <c r="B519" t="s">
        <v>504</v>
      </c>
      <c r="C519" t="s">
        <v>46</v>
      </c>
      <c r="D519" t="s">
        <v>254</v>
      </c>
      <c r="E519" t="s">
        <v>47</v>
      </c>
      <c r="F519" t="s">
        <v>47</v>
      </c>
      <c r="G519" t="s">
        <v>26</v>
      </c>
      <c r="H519" t="str">
        <f t="shared" si="16"/>
        <v>buergerlich</v>
      </c>
      <c r="I519" t="str" cm="1">
        <f t="array" ref="I519">_xlfn.SWITCH(A519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519" s="4">
        <f>IF(AND(B519=Werte!B519,LEFT(A519,5)=LEFT(Werte!A519,5)),Werte!C519,"not found")</f>
        <v>0.33333333333333298</v>
      </c>
      <c r="K519" s="4">
        <f>IF(AND(B519=Werte!B519,LEFT(A519,5)=LEFT(Werte!A519,5)),Werte!D519,"not found")</f>
        <v>1.5151515151515201E-2</v>
      </c>
      <c r="L519" s="4">
        <f>IF(AND(B519=Werte!B519,LEFT(A519,5)=LEFT(Werte!A519,5)),Werte!E519,"not found")</f>
        <v>0.34285714285714303</v>
      </c>
      <c r="M519" s="4">
        <f>IF(AND(B519=Werte!B519,LEFT(A519,5)=LEFT(Werte!A519,5)),Werte!F519,"not found")</f>
        <v>3.8564869156755999E-2</v>
      </c>
      <c r="N519" s="4" t="str">
        <f t="shared" si="17"/>
        <v>unbekannt</v>
      </c>
      <c r="O519" s="4" cm="1">
        <f t="array" ref="O519">_xlfn.SWITCH(A519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519" s="4" t="str">
        <f>IF(Nodes[[#This Row],[Bezeichnung2]] = "betrueger",1,"")</f>
        <v/>
      </c>
      <c r="Q519" s="4" t="str">
        <f>IF(Nodes[[#This Row],[Bezeichnung2]] = "betrogener",2,"")</f>
        <v/>
      </c>
      <c r="R519" s="4" t="str">
        <f>IF(Nodes[[#This Row],[Bezeichnung2]] = "liebender",3,"")</f>
        <v/>
      </c>
      <c r="S519" s="4" t="str">
        <f>IF(Nodes[[#This Row],[Bezeichnung2]] = "liebende",4,"")</f>
        <v/>
      </c>
      <c r="T519" s="4" t="str">
        <f>IF(Nodes[[#This Row],[Bezeichnung2]] = "gegenspieler",5,"")</f>
        <v/>
      </c>
    </row>
    <row r="520" spans="1:20" x14ac:dyDescent="0.3">
      <c r="A520" t="s">
        <v>495</v>
      </c>
      <c r="B520" t="s">
        <v>100</v>
      </c>
      <c r="C520" t="s">
        <v>18</v>
      </c>
      <c r="D520" t="s">
        <v>101</v>
      </c>
      <c r="E520" t="s">
        <v>47</v>
      </c>
      <c r="F520" t="s">
        <v>53</v>
      </c>
      <c r="G520" t="s">
        <v>26</v>
      </c>
      <c r="H520" t="str">
        <f t="shared" si="16"/>
        <v>buergerlich</v>
      </c>
      <c r="I520" t="str" cm="1">
        <f t="array" ref="I520">_xlfn.SWITCH(A520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520" s="4">
        <f>IF(AND(B520=Werte!B520,LEFT(A520,5)=LEFT(Werte!A520,5)),Werte!C520,"not found")</f>
        <v>1</v>
      </c>
      <c r="K520" s="4">
        <f>IF(AND(B520=Werte!B520,LEFT(A520,5)=LEFT(Werte!A520,5)),Werte!D520,"not found")</f>
        <v>0.26767676767676801</v>
      </c>
      <c r="L520" s="4">
        <f>IF(AND(B520=Werte!B520,LEFT(A520,5)=LEFT(Werte!A520,5)),Werte!E520,"not found")</f>
        <v>0.46153846153846201</v>
      </c>
      <c r="M520" s="4">
        <f>IF(AND(B520=Werte!B520,LEFT(A520,5)=LEFT(Werte!A520,5)),Werte!F520,"not found")</f>
        <v>0.40800593561455401</v>
      </c>
      <c r="N520" s="4" t="str">
        <f t="shared" si="17"/>
        <v>helfer</v>
      </c>
      <c r="O520" s="4" cm="1">
        <f t="array" ref="O520">_xlfn.SWITCH(A520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520" s="4" t="str">
        <f>IF(Nodes[[#This Row],[Bezeichnung2]] = "betrueger",1,"")</f>
        <v/>
      </c>
      <c r="Q520" s="4" t="str">
        <f>IF(Nodes[[#This Row],[Bezeichnung2]] = "betrogener",2,"")</f>
        <v/>
      </c>
      <c r="R520" s="4" t="str">
        <f>IF(Nodes[[#This Row],[Bezeichnung2]] = "liebender",3,"")</f>
        <v/>
      </c>
      <c r="S520" s="4" t="str">
        <f>IF(Nodes[[#This Row],[Bezeichnung2]] = "liebende",4,"")</f>
        <v/>
      </c>
      <c r="T520" s="4" t="str">
        <f>IF(Nodes[[#This Row],[Bezeichnung2]] = "gegenspieler",5,"")</f>
        <v/>
      </c>
    </row>
    <row r="521" spans="1:20" x14ac:dyDescent="0.3">
      <c r="A521" t="s">
        <v>495</v>
      </c>
      <c r="B521" t="s">
        <v>505</v>
      </c>
      <c r="C521" t="s">
        <v>46</v>
      </c>
      <c r="D521" t="s">
        <v>57</v>
      </c>
      <c r="E521" t="s">
        <v>47</v>
      </c>
      <c r="F521" t="s">
        <v>147</v>
      </c>
      <c r="G521" t="s">
        <v>26</v>
      </c>
      <c r="H521" t="str">
        <f t="shared" si="16"/>
        <v>adel</v>
      </c>
      <c r="I521" t="str" cm="1">
        <f t="array" ref="I521">_xlfn.SWITCH(A521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521" s="4">
        <f>IF(AND(B521=Werte!B521,LEFT(A521,5)=LEFT(Werte!A521,5)),Werte!C521,"not found")</f>
        <v>0.5</v>
      </c>
      <c r="K521" s="4">
        <f>IF(AND(B521=Werte!B521,LEFT(A521,5)=LEFT(Werte!A521,5)),Werte!D521,"not found")</f>
        <v>4.5454545454545497E-2</v>
      </c>
      <c r="L521" s="4">
        <f>IF(AND(B521=Werte!B521,LEFT(A521,5)=LEFT(Werte!A521,5)),Werte!E521,"not found")</f>
        <v>0.32432432432432401</v>
      </c>
      <c r="M521" s="4">
        <f>IF(AND(B521=Werte!B521,LEFT(A521,5)=LEFT(Werte!A521,5)),Werte!F521,"not found")</f>
        <v>0.10260171714093801</v>
      </c>
      <c r="N521" s="4" t="str">
        <f t="shared" si="17"/>
        <v>begleiter</v>
      </c>
      <c r="O521" s="4" cm="1">
        <f t="array" ref="O521">_xlfn.SWITCH(A521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521" s="4" t="str">
        <f>IF(Nodes[[#This Row],[Bezeichnung2]] = "betrueger",1,"")</f>
        <v/>
      </c>
      <c r="Q521" s="4" t="str">
        <f>IF(Nodes[[#This Row],[Bezeichnung2]] = "betrogener",2,"")</f>
        <v/>
      </c>
      <c r="R521" s="4" t="str">
        <f>IF(Nodes[[#This Row],[Bezeichnung2]] = "liebender",3,"")</f>
        <v/>
      </c>
      <c r="S521" s="4" t="str">
        <f>IF(Nodes[[#This Row],[Bezeichnung2]] = "liebende",4,"")</f>
        <v/>
      </c>
      <c r="T521" s="4" t="str">
        <f>IF(Nodes[[#This Row],[Bezeichnung2]] = "gegenspieler",5,"")</f>
        <v/>
      </c>
    </row>
    <row r="522" spans="1:20" x14ac:dyDescent="0.3">
      <c r="A522" t="s">
        <v>495</v>
      </c>
      <c r="B522" t="s">
        <v>197</v>
      </c>
      <c r="C522" t="s">
        <v>18</v>
      </c>
      <c r="D522" t="s">
        <v>57</v>
      </c>
      <c r="E522" t="s">
        <v>47</v>
      </c>
      <c r="F522" t="s">
        <v>71</v>
      </c>
      <c r="G522" t="s">
        <v>26</v>
      </c>
      <c r="H522" t="str">
        <f t="shared" si="16"/>
        <v>adel</v>
      </c>
      <c r="I522" t="str" cm="1">
        <f t="array" ref="I522">_xlfn.SWITCH(A522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522" s="4">
        <f>IF(AND(B522=Werte!B522,LEFT(A522,5)=LEFT(Werte!A522,5)),Werte!C522,"not found")</f>
        <v>0.33333333333333298</v>
      </c>
      <c r="K522" s="4">
        <f>IF(AND(B522=Werte!B522,LEFT(A522,5)=LEFT(Werte!A522,5)),Werte!D522,"not found")</f>
        <v>0.12121212121212099</v>
      </c>
      <c r="L522" s="4">
        <f>IF(AND(B522=Werte!B522,LEFT(A522,5)=LEFT(Werte!A522,5)),Werte!E522,"not found")</f>
        <v>0.38709677419354799</v>
      </c>
      <c r="M522" s="4">
        <f>IF(AND(B522=Werte!B522,LEFT(A522,5)=LEFT(Werte!A522,5)),Werte!F522,"not found")</f>
        <v>8.3559855618499199E-2</v>
      </c>
      <c r="N522" s="4" t="str">
        <f t="shared" si="17"/>
        <v>gegner</v>
      </c>
      <c r="O522" s="4" cm="1">
        <f t="array" ref="O522">_xlfn.SWITCH(A522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3</v>
      </c>
      <c r="P522" s="4" t="str">
        <f>IF(Nodes[[#This Row],[Bezeichnung2]] = "betrueger",1,"")</f>
        <v/>
      </c>
      <c r="Q522" s="4" t="str">
        <f>IF(Nodes[[#This Row],[Bezeichnung2]] = "betrogener",2,"")</f>
        <v/>
      </c>
      <c r="R522" s="4" t="str">
        <f>IF(Nodes[[#This Row],[Bezeichnung2]] = "liebender",3,"")</f>
        <v/>
      </c>
      <c r="S522" s="4" t="str">
        <f>IF(Nodes[[#This Row],[Bezeichnung2]] = "liebende",4,"")</f>
        <v/>
      </c>
      <c r="T522" s="4" t="str">
        <f>IF(Nodes[[#This Row],[Bezeichnung2]] = "gegenspieler",5,"")</f>
        <v/>
      </c>
    </row>
    <row r="523" spans="1:20" x14ac:dyDescent="0.3">
      <c r="A523" t="s">
        <v>506</v>
      </c>
      <c r="B523" t="s">
        <v>115</v>
      </c>
      <c r="C523" t="s">
        <v>18</v>
      </c>
      <c r="D523" t="s">
        <v>47</v>
      </c>
      <c r="E523" t="s">
        <v>47</v>
      </c>
      <c r="F523" t="s">
        <v>21</v>
      </c>
      <c r="G523" t="s">
        <v>22</v>
      </c>
      <c r="H523" t="str">
        <f t="shared" si="16"/>
        <v>unbekannt</v>
      </c>
      <c r="I523" t="str" cm="1">
        <f t="array" ref="I523">_xlfn.SWITCH(A523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23" s="4">
        <f>IF(AND(B523=Werte!B523,LEFT(A523,5)=LEFT(Werte!A523,5)),Werte!C523,"not found")</f>
        <v>0</v>
      </c>
      <c r="K523" s="4">
        <f>IF(AND(B523=Werte!B523,LEFT(A523,5)=LEFT(Werte!A523,5)),Werte!D523,"not found")</f>
        <v>0</v>
      </c>
      <c r="L523" s="4">
        <f>IF(AND(B523=Werte!B523,LEFT(A523,5)=LEFT(Werte!A523,5)),Werte!E523,"not found")</f>
        <v>0</v>
      </c>
      <c r="M523" s="4">
        <f>IF(AND(B523=Werte!B523,LEFT(A523,5)=LEFT(Werte!A523,5)),Werte!F523,"not found")</f>
        <v>0</v>
      </c>
      <c r="N523" s="4" t="str">
        <f t="shared" si="17"/>
        <v>ehemann</v>
      </c>
      <c r="O523" s="4" cm="1">
        <f t="array" ref="O523">_xlfn.SWITCH(A523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23" s="4" t="str">
        <f>IF(Nodes[[#This Row],[Bezeichnung2]] = "betrueger",1,"")</f>
        <v/>
      </c>
      <c r="Q523" s="4" t="str">
        <f>IF(Nodes[[#This Row],[Bezeichnung2]] = "betrogener",2,"")</f>
        <v/>
      </c>
      <c r="R523" s="4" t="str">
        <f>IF(Nodes[[#This Row],[Bezeichnung2]] = "liebender",3,"")</f>
        <v/>
      </c>
      <c r="S523" s="4" t="str">
        <f>IF(Nodes[[#This Row],[Bezeichnung2]] = "liebende",4,"")</f>
        <v/>
      </c>
      <c r="T523" s="4" t="str">
        <f>IF(Nodes[[#This Row],[Bezeichnung2]] = "gegenspieler",5,"")</f>
        <v/>
      </c>
    </row>
    <row r="524" spans="1:20" x14ac:dyDescent="0.3">
      <c r="A524" t="s">
        <v>506</v>
      </c>
      <c r="B524" t="s">
        <v>323</v>
      </c>
      <c r="C524" t="s">
        <v>24</v>
      </c>
      <c r="D524" t="s">
        <v>47</v>
      </c>
      <c r="E524" t="s">
        <v>47</v>
      </c>
      <c r="F524" t="s">
        <v>25</v>
      </c>
      <c r="G524" t="s">
        <v>22</v>
      </c>
      <c r="H524" t="str">
        <f t="shared" si="16"/>
        <v>unbekannt</v>
      </c>
      <c r="I524" t="str" cm="1">
        <f t="array" ref="I524">_xlfn.SWITCH(A524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24" s="4">
        <f>IF(AND(B524=Werte!B524,LEFT(A524,5)=LEFT(Werte!A524,5)),Werte!C524,"not found")</f>
        <v>0</v>
      </c>
      <c r="K524" s="4">
        <f>IF(AND(B524=Werte!B524,LEFT(A524,5)=LEFT(Werte!A524,5)),Werte!D524,"not found")</f>
        <v>0</v>
      </c>
      <c r="L524" s="4">
        <f>IF(AND(B524=Werte!B524,LEFT(A524,5)=LEFT(Werte!A524,5)),Werte!E524,"not found")</f>
        <v>0</v>
      </c>
      <c r="M524" s="4">
        <f>IF(AND(B524=Werte!B524,LEFT(A524,5)=LEFT(Werte!A524,5)),Werte!F524,"not found")</f>
        <v>0</v>
      </c>
      <c r="N524" s="4" t="str">
        <f t="shared" si="17"/>
        <v>ehefrau</v>
      </c>
      <c r="O524" s="4" cm="1">
        <f t="array" ref="O524">_xlfn.SWITCH(A524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24" s="4" t="str">
        <f>IF(Nodes[[#This Row],[Bezeichnung2]] = "betrueger",1,"")</f>
        <v/>
      </c>
      <c r="Q524" s="4" t="str">
        <f>IF(Nodes[[#This Row],[Bezeichnung2]] = "betrogener",2,"")</f>
        <v/>
      </c>
      <c r="R524" s="4" t="str">
        <f>IF(Nodes[[#This Row],[Bezeichnung2]] = "liebender",3,"")</f>
        <v/>
      </c>
      <c r="S524" s="4" t="str">
        <f>IF(Nodes[[#This Row],[Bezeichnung2]] = "liebende",4,"")</f>
        <v/>
      </c>
      <c r="T524" s="4" t="str">
        <f>IF(Nodes[[#This Row],[Bezeichnung2]] = "gegenspieler",5,"")</f>
        <v/>
      </c>
    </row>
    <row r="525" spans="1:20" x14ac:dyDescent="0.3">
      <c r="A525" t="s">
        <v>507</v>
      </c>
      <c r="B525" t="s">
        <v>508</v>
      </c>
      <c r="C525" t="s">
        <v>46</v>
      </c>
      <c r="D525" t="s">
        <v>257</v>
      </c>
      <c r="E525" t="s">
        <v>20</v>
      </c>
      <c r="F525" t="s">
        <v>53</v>
      </c>
      <c r="G525" t="s">
        <v>22</v>
      </c>
      <c r="H525" t="str">
        <f t="shared" si="16"/>
        <v>buergerlich</v>
      </c>
      <c r="I525" t="str" cm="1">
        <f t="array" ref="I525">_xlfn.SWITCH(A525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25" s="4">
        <f>IF(AND(B525=Werte!B525,LEFT(A525,5)=LEFT(Werte!A525,5)),Werte!C525,"not found")</f>
        <v>1</v>
      </c>
      <c r="K525" s="4">
        <f>IF(AND(B525=Werte!B525,LEFT(A525,5)=LEFT(Werte!A525,5)),Werte!D525,"not found")</f>
        <v>0.5</v>
      </c>
      <c r="L525" s="4">
        <f>IF(AND(B525=Werte!B525,LEFT(A525,5)=LEFT(Werte!A525,5)),Werte!E525,"not found")</f>
        <v>0.133333333333333</v>
      </c>
      <c r="M525" s="4">
        <f>IF(AND(B525=Werte!B525,LEFT(A525,5)=LEFT(Werte!A525,5)),Werte!F525,"not found")</f>
        <v>1</v>
      </c>
      <c r="N525" s="4" t="str">
        <f t="shared" si="17"/>
        <v>helfer</v>
      </c>
      <c r="O525" s="4" cm="1">
        <f t="array" ref="O525">_xlfn.SWITCH(A525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25" s="4" t="str">
        <f>IF(Nodes[[#This Row],[Bezeichnung2]] = "betrueger",1,"")</f>
        <v/>
      </c>
      <c r="Q525" s="4" t="str">
        <f>IF(Nodes[[#This Row],[Bezeichnung2]] = "betrogener",2,"")</f>
        <v/>
      </c>
      <c r="R525" s="4" t="str">
        <f>IF(Nodes[[#This Row],[Bezeichnung2]] = "liebender",3,"")</f>
        <v/>
      </c>
      <c r="S525" s="4" t="str">
        <f>IF(Nodes[[#This Row],[Bezeichnung2]] = "liebende",4,"")</f>
        <v/>
      </c>
      <c r="T525" s="4" t="str">
        <f>IF(Nodes[[#This Row],[Bezeichnung2]] = "gegenspieler",5,"")</f>
        <v/>
      </c>
    </row>
    <row r="526" spans="1:20" x14ac:dyDescent="0.3">
      <c r="A526" t="s">
        <v>507</v>
      </c>
      <c r="B526" t="s">
        <v>509</v>
      </c>
      <c r="C526" t="s">
        <v>18</v>
      </c>
      <c r="D526" t="s">
        <v>257</v>
      </c>
      <c r="E526" t="s">
        <v>20</v>
      </c>
      <c r="F526" t="s">
        <v>53</v>
      </c>
      <c r="G526" t="s">
        <v>26</v>
      </c>
      <c r="H526" t="str">
        <f t="shared" si="16"/>
        <v>buergerlich</v>
      </c>
      <c r="I526" t="str" cm="1">
        <f t="array" ref="I526">_xlfn.SWITCH(A526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26" s="4">
        <f>IF(AND(B526=Werte!B526,LEFT(A526,5)=LEFT(Werte!A526,5)),Werte!C526,"not found")</f>
        <v>0.5</v>
      </c>
      <c r="K526" s="4">
        <f>IF(AND(B526=Werte!B526,LEFT(A526,5)=LEFT(Werte!A526,5)),Werte!D526,"not found")</f>
        <v>0</v>
      </c>
      <c r="L526" s="4">
        <f>IF(AND(B526=Werte!B526,LEFT(A526,5)=LEFT(Werte!A526,5)),Werte!E526,"not found")</f>
        <v>0.102564102564103</v>
      </c>
      <c r="M526" s="4">
        <f>IF(AND(B526=Werte!B526,LEFT(A526,5)=LEFT(Werte!A526,5)),Werte!F526,"not found")</f>
        <v>0.33993198216549397</v>
      </c>
      <c r="N526" s="4" t="str">
        <f t="shared" si="17"/>
        <v>helfer</v>
      </c>
      <c r="O526" s="4" cm="1">
        <f t="array" ref="O526">_xlfn.SWITCH(A526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26" s="4" t="str">
        <f>IF(Nodes[[#This Row],[Bezeichnung2]] = "betrueger",1,"")</f>
        <v/>
      </c>
      <c r="Q526" s="4" t="str">
        <f>IF(Nodes[[#This Row],[Bezeichnung2]] = "betrogener",2,"")</f>
        <v/>
      </c>
      <c r="R526" s="4" t="str">
        <f>IF(Nodes[[#This Row],[Bezeichnung2]] = "liebender",3,"")</f>
        <v/>
      </c>
      <c r="S526" s="4" t="str">
        <f>IF(Nodes[[#This Row],[Bezeichnung2]] = "liebende",4,"")</f>
        <v/>
      </c>
      <c r="T526" s="4" t="str">
        <f>IF(Nodes[[#This Row],[Bezeichnung2]] = "gegenspieler",5,"")</f>
        <v/>
      </c>
    </row>
    <row r="527" spans="1:20" x14ac:dyDescent="0.3">
      <c r="A527" t="s">
        <v>507</v>
      </c>
      <c r="B527" t="s">
        <v>510</v>
      </c>
      <c r="C527" t="s">
        <v>18</v>
      </c>
      <c r="D527" t="s">
        <v>257</v>
      </c>
      <c r="E527" t="s">
        <v>20</v>
      </c>
      <c r="F527" t="s">
        <v>47</v>
      </c>
      <c r="G527" t="s">
        <v>22</v>
      </c>
      <c r="H527" t="str">
        <f t="shared" si="16"/>
        <v>buergerlich</v>
      </c>
      <c r="I527" t="str" cm="1">
        <f t="array" ref="I527">_xlfn.SWITCH(A527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27" s="4">
        <f>IF(AND(B527=Werte!B527,LEFT(A527,5)=LEFT(Werte!A527,5)),Werte!C527,"not found")</f>
        <v>1.5</v>
      </c>
      <c r="K527" s="4">
        <f>IF(AND(B527=Werte!B527,LEFT(A527,5)=LEFT(Werte!A527,5)),Werte!D527,"not found")</f>
        <v>0.66666666666666696</v>
      </c>
      <c r="L527" s="4">
        <f>IF(AND(B527=Werte!B527,LEFT(A527,5)=LEFT(Werte!A527,5)),Werte!E527,"not found")</f>
        <v>0.18181818181818199</v>
      </c>
      <c r="M527" s="4">
        <f>IF(AND(B527=Werte!B527,LEFT(A527,5)=LEFT(Werte!A527,5)),Werte!F527,"not found")</f>
        <v>0.97568737339759604</v>
      </c>
      <c r="N527" s="4" t="str">
        <f t="shared" si="17"/>
        <v>unbekannt</v>
      </c>
      <c r="O527" s="4" cm="1">
        <f t="array" ref="O527">_xlfn.SWITCH(A527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27" s="4" t="str">
        <f>IF(Nodes[[#This Row],[Bezeichnung2]] = "betrueger",1,"")</f>
        <v/>
      </c>
      <c r="Q527" s="4" t="str">
        <f>IF(Nodes[[#This Row],[Bezeichnung2]] = "betrogener",2,"")</f>
        <v/>
      </c>
      <c r="R527" s="4" t="str">
        <f>IF(Nodes[[#This Row],[Bezeichnung2]] = "liebender",3,"")</f>
        <v/>
      </c>
      <c r="S527" s="4" t="str">
        <f>IF(Nodes[[#This Row],[Bezeichnung2]] = "liebende",4,"")</f>
        <v/>
      </c>
      <c r="T527" s="4" t="str">
        <f>IF(Nodes[[#This Row],[Bezeichnung2]] = "gegenspieler",5,"")</f>
        <v/>
      </c>
    </row>
    <row r="528" spans="1:20" x14ac:dyDescent="0.3">
      <c r="A528" t="s">
        <v>507</v>
      </c>
      <c r="B528" t="s">
        <v>511</v>
      </c>
      <c r="C528" t="s">
        <v>18</v>
      </c>
      <c r="D528" t="s">
        <v>512</v>
      </c>
      <c r="E528" t="s">
        <v>311</v>
      </c>
      <c r="F528" t="s">
        <v>47</v>
      </c>
      <c r="G528" t="s">
        <v>26</v>
      </c>
      <c r="H528" t="str">
        <f t="shared" si="16"/>
        <v>klerus</v>
      </c>
      <c r="I528" t="str" cm="1">
        <f t="array" ref="I528">_xlfn.SWITCH(A528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28" s="4">
        <f>IF(AND(B528=Werte!B528,LEFT(A528,5)=LEFT(Werte!A528,5)),Werte!C528,"not found")</f>
        <v>1</v>
      </c>
      <c r="K528" s="4">
        <f>IF(AND(B528=Werte!B528,LEFT(A528,5)=LEFT(Werte!A528,5)),Werte!D528,"not found")</f>
        <v>0.25</v>
      </c>
      <c r="L528" s="4">
        <f>IF(AND(B528=Werte!B528,LEFT(A528,5)=LEFT(Werte!A528,5)),Werte!E528,"not found")</f>
        <v>0.173913043478261</v>
      </c>
      <c r="M528" s="4">
        <f>IF(AND(B528=Werte!B528,LEFT(A528,5)=LEFT(Werte!A528,5)),Werte!F528,"not found")</f>
        <v>0.13737386314941699</v>
      </c>
      <c r="N528" s="4" t="str">
        <f t="shared" si="17"/>
        <v>unbekannt</v>
      </c>
      <c r="O528" s="4" cm="1">
        <f t="array" ref="O528">_xlfn.SWITCH(A528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28" s="4" t="str">
        <f>IF(Nodes[[#This Row],[Bezeichnung2]] = "betrueger",1,"")</f>
        <v/>
      </c>
      <c r="Q528" s="4" t="str">
        <f>IF(Nodes[[#This Row],[Bezeichnung2]] = "betrogener",2,"")</f>
        <v/>
      </c>
      <c r="R528" s="4" t="str">
        <f>IF(Nodes[[#This Row],[Bezeichnung2]] = "liebender",3,"")</f>
        <v/>
      </c>
      <c r="S528" s="4" t="str">
        <f>IF(Nodes[[#This Row],[Bezeichnung2]] = "liebende",4,"")</f>
        <v/>
      </c>
      <c r="T528" s="4" t="str">
        <f>IF(Nodes[[#This Row],[Bezeichnung2]] = "gegenspieler",5,"")</f>
        <v/>
      </c>
    </row>
    <row r="529" spans="1:20" x14ac:dyDescent="0.3">
      <c r="A529" t="s">
        <v>507</v>
      </c>
      <c r="B529" t="s">
        <v>513</v>
      </c>
      <c r="C529" t="s">
        <v>18</v>
      </c>
      <c r="D529" t="s">
        <v>514</v>
      </c>
      <c r="E529" t="s">
        <v>47</v>
      </c>
      <c r="F529" t="s">
        <v>47</v>
      </c>
      <c r="G529" t="s">
        <v>26</v>
      </c>
      <c r="H529" t="str">
        <f t="shared" si="16"/>
        <v>klerus</v>
      </c>
      <c r="I529" t="str" cm="1">
        <f t="array" ref="I529">_xlfn.SWITCH(A529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29" s="4">
        <f>IF(AND(B529=Werte!B529,LEFT(A529,5)=LEFT(Werte!A529,5)),Werte!C529,"not found")</f>
        <v>1</v>
      </c>
      <c r="K529" s="4">
        <f>IF(AND(B529=Werte!B529,LEFT(A529,5)=LEFT(Werte!A529,5)),Werte!D529,"not found")</f>
        <v>0</v>
      </c>
      <c r="L529" s="4">
        <f>IF(AND(B529=Werte!B529,LEFT(A529,5)=LEFT(Werte!A529,5)),Werte!E529,"not found")</f>
        <v>0.15384615384615399</v>
      </c>
      <c r="M529" s="4">
        <f>IF(AND(B529=Werte!B529,LEFT(A529,5)=LEFT(Werte!A529,5)),Werte!F529,"not found")</f>
        <v>0.23667748507462999</v>
      </c>
      <c r="N529" s="4" t="str">
        <f t="shared" si="17"/>
        <v>unbekannt</v>
      </c>
      <c r="O529" s="4" cm="1">
        <f t="array" ref="O529">_xlfn.SWITCH(A529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29" s="4" t="str">
        <f>IF(Nodes[[#This Row],[Bezeichnung2]] = "betrueger",1,"")</f>
        <v/>
      </c>
      <c r="Q529" s="4" t="str">
        <f>IF(Nodes[[#This Row],[Bezeichnung2]] = "betrogener",2,"")</f>
        <v/>
      </c>
      <c r="R529" s="4" t="str">
        <f>IF(Nodes[[#This Row],[Bezeichnung2]] = "liebender",3,"")</f>
        <v/>
      </c>
      <c r="S529" s="4" t="str">
        <f>IF(Nodes[[#This Row],[Bezeichnung2]] = "liebende",4,"")</f>
        <v/>
      </c>
      <c r="T529" s="4" t="str">
        <f>IF(Nodes[[#This Row],[Bezeichnung2]] = "gegenspieler",5,"")</f>
        <v/>
      </c>
    </row>
    <row r="530" spans="1:20" x14ac:dyDescent="0.3">
      <c r="A530" t="s">
        <v>515</v>
      </c>
      <c r="B530" t="s">
        <v>333</v>
      </c>
      <c r="C530" t="s">
        <v>18</v>
      </c>
      <c r="D530" t="s">
        <v>31</v>
      </c>
      <c r="E530" t="s">
        <v>47</v>
      </c>
      <c r="F530" t="s">
        <v>33</v>
      </c>
      <c r="G530" t="s">
        <v>26</v>
      </c>
      <c r="H530" t="str">
        <f t="shared" si="16"/>
        <v>adel</v>
      </c>
      <c r="I530" t="str" cm="1">
        <f t="array" ref="I530">_xlfn.SWITCH(A530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30" s="4">
        <f>IF(AND(B530=Werte!B530,LEFT(A530,5)=LEFT(Werte!A530,5)),Werte!C530,"not found")</f>
        <v>0.8</v>
      </c>
      <c r="K530" s="4">
        <f>IF(AND(B530=Werte!B530,LEFT(A530,5)=LEFT(Werte!A530,5)),Werte!D530,"not found")</f>
        <v>0</v>
      </c>
      <c r="L530" s="4">
        <f>IF(AND(B530=Werte!B530,LEFT(A530,5)=LEFT(Werte!A530,5)),Werte!E530,"not found")</f>
        <v>0.26315789473684198</v>
      </c>
      <c r="M530" s="4">
        <f>IF(AND(B530=Werte!B530,LEFT(A530,5)=LEFT(Werte!A530,5)),Werte!F530,"not found")</f>
        <v>0.38297489003732998</v>
      </c>
      <c r="N530" s="4" t="str">
        <f t="shared" si="17"/>
        <v>vater</v>
      </c>
      <c r="O530" s="4" cm="1">
        <f t="array" ref="O530">_xlfn.SWITCH(A530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30" s="4" t="str">
        <f>IF(Nodes[[#This Row],[Bezeichnung2]] = "betrueger",1,"")</f>
        <v/>
      </c>
      <c r="Q530" s="4" t="str">
        <f>IF(Nodes[[#This Row],[Bezeichnung2]] = "betrogener",2,"")</f>
        <v/>
      </c>
      <c r="R530" s="4" t="str">
        <f>IF(Nodes[[#This Row],[Bezeichnung2]] = "liebender",3,"")</f>
        <v/>
      </c>
      <c r="S530" s="4" t="str">
        <f>IF(Nodes[[#This Row],[Bezeichnung2]] = "liebende",4,"")</f>
        <v/>
      </c>
      <c r="T530" s="4" t="str">
        <f>IF(Nodes[[#This Row],[Bezeichnung2]] = "gegenspieler",5,"")</f>
        <v/>
      </c>
    </row>
    <row r="531" spans="1:20" x14ac:dyDescent="0.3">
      <c r="A531" t="s">
        <v>515</v>
      </c>
      <c r="B531" t="s">
        <v>155</v>
      </c>
      <c r="C531" t="s">
        <v>24</v>
      </c>
      <c r="D531" t="s">
        <v>336</v>
      </c>
      <c r="E531" t="s">
        <v>20</v>
      </c>
      <c r="F531" t="s">
        <v>87</v>
      </c>
      <c r="G531" t="s">
        <v>22</v>
      </c>
      <c r="H531" t="str">
        <f t="shared" si="16"/>
        <v>adel</v>
      </c>
      <c r="I531" t="str" cm="1">
        <f t="array" ref="I531">_xlfn.SWITCH(A531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31" s="4">
        <f>IF(AND(B531=Werte!B531,LEFT(A531,5)=LEFT(Werte!A531,5)),Werte!C531,"not found")</f>
        <v>2</v>
      </c>
      <c r="K531" s="4">
        <f>IF(AND(B531=Werte!B531,LEFT(A531,5)=LEFT(Werte!A531,5)),Werte!D531,"not found")</f>
        <v>0.4</v>
      </c>
      <c r="L531" s="4">
        <f>IF(AND(B531=Werte!B531,LEFT(A531,5)=LEFT(Werte!A531,5)),Werte!E531,"not found")</f>
        <v>0.55555555555555602</v>
      </c>
      <c r="M531" s="4">
        <f>IF(AND(B531=Werte!B531,LEFT(A531,5)=LEFT(Werte!A531,5)),Werte!F531,"not found")</f>
        <v>0.90094010786408596</v>
      </c>
      <c r="N531" s="4" t="str">
        <f t="shared" si="17"/>
        <v>gegenspieler</v>
      </c>
      <c r="O531" s="4" cm="1">
        <f t="array" ref="O531">_xlfn.SWITCH(A531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31" s="4" t="str">
        <f>IF(Nodes[[#This Row],[Bezeichnung2]] = "betrueger",1,"")</f>
        <v/>
      </c>
      <c r="Q531" s="4" t="str">
        <f>IF(Nodes[[#This Row],[Bezeichnung2]] = "betrogener",2,"")</f>
        <v/>
      </c>
      <c r="R531" s="4" t="str">
        <f>IF(Nodes[[#This Row],[Bezeichnung2]] = "liebender",3,"")</f>
        <v/>
      </c>
      <c r="S531" s="4" t="str">
        <f>IF(Nodes[[#This Row],[Bezeichnung2]] = "liebende",4,"")</f>
        <v/>
      </c>
      <c r="T531" s="4">
        <f>IF(Nodes[[#This Row],[Bezeichnung2]] = "gegenspieler",5,"")</f>
        <v>5</v>
      </c>
    </row>
    <row r="532" spans="1:20" x14ac:dyDescent="0.3">
      <c r="A532" t="s">
        <v>515</v>
      </c>
      <c r="B532" t="s">
        <v>516</v>
      </c>
      <c r="C532" t="s">
        <v>18</v>
      </c>
      <c r="D532" t="s">
        <v>47</v>
      </c>
      <c r="E532" t="s">
        <v>47</v>
      </c>
      <c r="F532" t="s">
        <v>33</v>
      </c>
      <c r="G532" t="s">
        <v>26</v>
      </c>
      <c r="H532" t="str">
        <f t="shared" si="16"/>
        <v>unbekannt</v>
      </c>
      <c r="I532" t="str" cm="1">
        <f t="array" ref="I532">_xlfn.SWITCH(A532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32" s="4">
        <f>IF(AND(B532=Werte!B532,LEFT(A532,5)=LEFT(Werte!A532,5)),Werte!C532,"not found")</f>
        <v>0.8</v>
      </c>
      <c r="K532" s="4">
        <f>IF(AND(B532=Werte!B532,LEFT(A532,5)=LEFT(Werte!A532,5)),Werte!D532,"not found")</f>
        <v>0</v>
      </c>
      <c r="L532" s="4">
        <f>IF(AND(B532=Werte!B532,LEFT(A532,5)=LEFT(Werte!A532,5)),Werte!E532,"not found")</f>
        <v>0.41666666666666702</v>
      </c>
      <c r="M532" s="4">
        <f>IF(AND(B532=Werte!B532,LEFT(A532,5)=LEFT(Werte!A532,5)),Werte!F532,"not found")</f>
        <v>0.19481364584081901</v>
      </c>
      <c r="N532" s="4" t="str">
        <f t="shared" si="17"/>
        <v>vater</v>
      </c>
      <c r="O532" s="4" cm="1">
        <f t="array" ref="O532">_xlfn.SWITCH(A532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32" s="4" t="str">
        <f>IF(Nodes[[#This Row],[Bezeichnung2]] = "betrueger",1,"")</f>
        <v/>
      </c>
      <c r="Q532" s="4" t="str">
        <f>IF(Nodes[[#This Row],[Bezeichnung2]] = "betrogener",2,"")</f>
        <v/>
      </c>
      <c r="R532" s="4" t="str">
        <f>IF(Nodes[[#This Row],[Bezeichnung2]] = "liebender",3,"")</f>
        <v/>
      </c>
      <c r="S532" s="4" t="str">
        <f>IF(Nodes[[#This Row],[Bezeichnung2]] = "liebende",4,"")</f>
        <v/>
      </c>
      <c r="T532" s="4" t="str">
        <f>IF(Nodes[[#This Row],[Bezeichnung2]] = "gegenspieler",5,"")</f>
        <v/>
      </c>
    </row>
    <row r="533" spans="1:20" x14ac:dyDescent="0.3">
      <c r="A533" t="s">
        <v>515</v>
      </c>
      <c r="B533" t="s">
        <v>517</v>
      </c>
      <c r="C533" t="s">
        <v>18</v>
      </c>
      <c r="D533" t="s">
        <v>612</v>
      </c>
      <c r="E533" t="s">
        <v>20</v>
      </c>
      <c r="F533" t="s">
        <v>47</v>
      </c>
      <c r="G533" t="s">
        <v>22</v>
      </c>
      <c r="H533" t="str">
        <f t="shared" si="16"/>
        <v>bauer</v>
      </c>
      <c r="I533" t="str" cm="1">
        <f t="array" ref="I533">_xlfn.SWITCH(A533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33" s="4">
        <f>IF(AND(B533=Werte!B533,LEFT(A533,5)=LEFT(Werte!A533,5)),Werte!C533,"not found")</f>
        <v>2</v>
      </c>
      <c r="K533" s="4">
        <f>IF(AND(B533=Werte!B533,LEFT(A533,5)=LEFT(Werte!A533,5)),Werte!D533,"not found")</f>
        <v>0.1</v>
      </c>
      <c r="L533" s="4">
        <f>IF(AND(B533=Werte!B533,LEFT(A533,5)=LEFT(Werte!A533,5)),Werte!E533,"not found")</f>
        <v>0.5</v>
      </c>
      <c r="M533" s="4">
        <f>IF(AND(B533=Werte!B533,LEFT(A533,5)=LEFT(Werte!A533,5)),Werte!F533,"not found")</f>
        <v>1</v>
      </c>
      <c r="N533" s="4" t="str">
        <f t="shared" si="17"/>
        <v>unbekannt</v>
      </c>
      <c r="O533" s="4" cm="1">
        <f t="array" ref="O533">_xlfn.SWITCH(A533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33" s="4" t="str">
        <f>IF(Nodes[[#This Row],[Bezeichnung2]] = "betrueger",1,"")</f>
        <v/>
      </c>
      <c r="Q533" s="4" t="str">
        <f>IF(Nodes[[#This Row],[Bezeichnung2]] = "betrogener",2,"")</f>
        <v/>
      </c>
      <c r="R533" s="4" t="str">
        <f>IF(Nodes[[#This Row],[Bezeichnung2]] = "liebender",3,"")</f>
        <v/>
      </c>
      <c r="S533" s="4" t="str">
        <f>IF(Nodes[[#This Row],[Bezeichnung2]] = "liebende",4,"")</f>
        <v/>
      </c>
      <c r="T533" s="4" t="str">
        <f>IF(Nodes[[#This Row],[Bezeichnung2]] = "gegenspieler",5,"")</f>
        <v/>
      </c>
    </row>
    <row r="534" spans="1:20" x14ac:dyDescent="0.3">
      <c r="A534" t="s">
        <v>515</v>
      </c>
      <c r="B534" t="s">
        <v>518</v>
      </c>
      <c r="C534" t="s">
        <v>18</v>
      </c>
      <c r="D534" t="s">
        <v>519</v>
      </c>
      <c r="E534" t="s">
        <v>20</v>
      </c>
      <c r="F534" t="s">
        <v>147</v>
      </c>
      <c r="G534" t="s">
        <v>26</v>
      </c>
      <c r="H534" t="str">
        <f t="shared" si="16"/>
        <v>adel</v>
      </c>
      <c r="I534" t="str" cm="1">
        <f t="array" ref="I534">_xlfn.SWITCH(A534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34" s="4">
        <f>IF(AND(B534=Werte!B534,LEFT(A534,5)=LEFT(Werte!A534,5)),Werte!C534,"not found")</f>
        <v>1.2</v>
      </c>
      <c r="K534" s="4">
        <f>IF(AND(B534=Werte!B534,LEFT(A534,5)=LEFT(Werte!A534,5)),Werte!D534,"not found")</f>
        <v>0</v>
      </c>
      <c r="L534" s="4">
        <f>IF(AND(B534=Werte!B534,LEFT(A534,5)=LEFT(Werte!A534,5)),Werte!E534,"not found")</f>
        <v>0.38461538461538503</v>
      </c>
      <c r="M534" s="4">
        <f>IF(AND(B534=Werte!B534,LEFT(A534,5)=LEFT(Werte!A534,5)),Werte!F534,"not found")</f>
        <v>0.72393701245144604</v>
      </c>
      <c r="N534" s="4" t="str">
        <f t="shared" si="17"/>
        <v>begleiter</v>
      </c>
      <c r="O534" s="4" cm="1">
        <f t="array" ref="O534">_xlfn.SWITCH(A534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34" s="4" t="str">
        <f>IF(Nodes[[#This Row],[Bezeichnung2]] = "betrueger",1,"")</f>
        <v/>
      </c>
      <c r="Q534" s="4" t="str">
        <f>IF(Nodes[[#This Row],[Bezeichnung2]] = "betrogener",2,"")</f>
        <v/>
      </c>
      <c r="R534" s="4" t="str">
        <f>IF(Nodes[[#This Row],[Bezeichnung2]] = "liebender",3,"")</f>
        <v/>
      </c>
      <c r="S534" s="4" t="str">
        <f>IF(Nodes[[#This Row],[Bezeichnung2]] = "liebende",4,"")</f>
        <v/>
      </c>
      <c r="T534" s="4" t="str">
        <f>IF(Nodes[[#This Row],[Bezeichnung2]] = "gegenspieler",5,"")</f>
        <v/>
      </c>
    </row>
    <row r="535" spans="1:20" x14ac:dyDescent="0.3">
      <c r="A535" t="s">
        <v>515</v>
      </c>
      <c r="B535" t="s">
        <v>520</v>
      </c>
      <c r="C535" t="s">
        <v>46</v>
      </c>
      <c r="D535" t="s">
        <v>57</v>
      </c>
      <c r="E535" t="s">
        <v>311</v>
      </c>
      <c r="F535" t="s">
        <v>47</v>
      </c>
      <c r="G535" t="s">
        <v>26</v>
      </c>
      <c r="H535" t="str">
        <f t="shared" si="16"/>
        <v>adel</v>
      </c>
      <c r="I535" t="str" cm="1">
        <f t="array" ref="I535">_xlfn.SWITCH(A535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Unerotisches Verhältnis</v>
      </c>
      <c r="J535" s="4">
        <f>IF(AND(B535=Werte!B535,LEFT(A535,5)=LEFT(Werte!A535,5)),Werte!C535,"not found")</f>
        <v>1.2</v>
      </c>
      <c r="K535" s="4">
        <f>IF(AND(B535=Werte!B535,LEFT(A535,5)=LEFT(Werte!A535,5)),Werte!D535,"not found")</f>
        <v>0.5</v>
      </c>
      <c r="L535" s="4">
        <f>IF(AND(B535=Werte!B535,LEFT(A535,5)=LEFT(Werte!A535,5)),Werte!E535,"not found")</f>
        <v>0.55555555555555602</v>
      </c>
      <c r="M535" s="4">
        <f>IF(AND(B535=Werte!B535,LEFT(A535,5)=LEFT(Werte!A535,5)),Werte!F535,"not found")</f>
        <v>0.17627453952137201</v>
      </c>
      <c r="N535" s="4" t="str">
        <f t="shared" si="17"/>
        <v>unbekannt</v>
      </c>
      <c r="O535" s="4" cm="1">
        <f t="array" ref="O535">_xlfn.SWITCH(A535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35" s="4" t="str">
        <f>IF(Nodes[[#This Row],[Bezeichnung2]] = "betrueger",1,"")</f>
        <v/>
      </c>
      <c r="Q535" s="4" t="str">
        <f>IF(Nodes[[#This Row],[Bezeichnung2]] = "betrogener",2,"")</f>
        <v/>
      </c>
      <c r="R535" s="4" t="str">
        <f>IF(Nodes[[#This Row],[Bezeichnung2]] = "liebender",3,"")</f>
        <v/>
      </c>
      <c r="S535" s="4" t="str">
        <f>IF(Nodes[[#This Row],[Bezeichnung2]] = "liebende",4,"")</f>
        <v/>
      </c>
      <c r="T535" s="4" t="str">
        <f>IF(Nodes[[#This Row],[Bezeichnung2]] = "gegenspieler",5,"")</f>
        <v/>
      </c>
    </row>
    <row r="536" spans="1:20" x14ac:dyDescent="0.3">
      <c r="A536" t="s">
        <v>521</v>
      </c>
      <c r="B536" t="s">
        <v>56</v>
      </c>
      <c r="C536" t="s">
        <v>18</v>
      </c>
      <c r="D536" t="s">
        <v>57</v>
      </c>
      <c r="E536" t="s">
        <v>47</v>
      </c>
      <c r="F536" t="s">
        <v>39</v>
      </c>
      <c r="G536" t="s">
        <v>22</v>
      </c>
      <c r="H536" t="str">
        <f t="shared" si="16"/>
        <v>adel</v>
      </c>
      <c r="I536" t="str" cm="1">
        <f t="array" ref="I536">_xlfn.SWITCH(A536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536" s="4">
        <f>IF(AND(B536=Werte!B536,LEFT(A536,5)=LEFT(Werte!A536,5)),Werte!C536,"not found")</f>
        <v>1.5</v>
      </c>
      <c r="K536" s="4">
        <f>IF(AND(B536=Werte!B536,LEFT(A536,5)=LEFT(Werte!A536,5)),Werte!D536,"not found")</f>
        <v>0.32142857142857101</v>
      </c>
      <c r="L536" s="4">
        <f>IF(AND(B536=Werte!B536,LEFT(A536,5)=LEFT(Werte!A536,5)),Werte!E536,"not found")</f>
        <v>0.42105263157894701</v>
      </c>
      <c r="M536" s="4">
        <f>IF(AND(B536=Werte!B536,LEFT(A536,5)=LEFT(Werte!A536,5)),Werte!F536,"not found")</f>
        <v>1</v>
      </c>
      <c r="N536" s="4" t="str">
        <f t="shared" si="17"/>
        <v>liebender</v>
      </c>
      <c r="O536" s="4" cm="1">
        <f t="array" ref="O536">_xlfn.SWITCH(A536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36" s="4" t="str">
        <f>IF(Nodes[[#This Row],[Bezeichnung2]] = "betrueger",1,"")</f>
        <v/>
      </c>
      <c r="Q536" s="4" t="str">
        <f>IF(Nodes[[#This Row],[Bezeichnung2]] = "betrogener",2,"")</f>
        <v/>
      </c>
      <c r="R536" s="4">
        <f>IF(Nodes[[#This Row],[Bezeichnung2]] = "liebender",3,"")</f>
        <v>3</v>
      </c>
      <c r="S536" s="4" t="str">
        <f>IF(Nodes[[#This Row],[Bezeichnung2]] = "liebende",4,"")</f>
        <v/>
      </c>
      <c r="T536" s="4" t="str">
        <f>IF(Nodes[[#This Row],[Bezeichnung2]] = "gegenspieler",5,"")</f>
        <v/>
      </c>
    </row>
    <row r="537" spans="1:20" x14ac:dyDescent="0.3">
      <c r="A537" t="s">
        <v>521</v>
      </c>
      <c r="B537" t="s">
        <v>100</v>
      </c>
      <c r="C537" t="s">
        <v>18</v>
      </c>
      <c r="D537" t="s">
        <v>101</v>
      </c>
      <c r="E537" t="s">
        <v>47</v>
      </c>
      <c r="F537" t="s">
        <v>47</v>
      </c>
      <c r="G537" t="s">
        <v>26</v>
      </c>
      <c r="H537" t="str">
        <f t="shared" si="16"/>
        <v>buergerlich</v>
      </c>
      <c r="I537" t="str" cm="1">
        <f t="array" ref="I537">_xlfn.SWITCH(A537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537" s="4">
        <f>IF(AND(B537=Werte!B537,LEFT(A537,5)=LEFT(Werte!A537,5)),Werte!C537,"not found")</f>
        <v>0.25</v>
      </c>
      <c r="K537" s="4">
        <f>IF(AND(B537=Werte!B537,LEFT(A537,5)=LEFT(Werte!A537,5)),Werte!D537,"not found")</f>
        <v>0</v>
      </c>
      <c r="L537" s="4">
        <f>IF(AND(B537=Werte!B537,LEFT(A537,5)=LEFT(Werte!A537,5)),Werte!E537,"not found")</f>
        <v>0.32</v>
      </c>
      <c r="M537" s="4">
        <f>IF(AND(B537=Werte!B537,LEFT(A537,5)=LEFT(Werte!A537,5)),Werte!F537,"not found")</f>
        <v>7.8383965115572801E-2</v>
      </c>
      <c r="N537" s="4" t="str">
        <f t="shared" si="17"/>
        <v>unbekannt</v>
      </c>
      <c r="O537" s="4" cm="1">
        <f t="array" ref="O537">_xlfn.SWITCH(A537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37" s="4" t="str">
        <f>IF(Nodes[[#This Row],[Bezeichnung2]] = "betrueger",1,"")</f>
        <v/>
      </c>
      <c r="Q537" s="4" t="str">
        <f>IF(Nodes[[#This Row],[Bezeichnung2]] = "betrogener",2,"")</f>
        <v/>
      </c>
      <c r="R537" s="4" t="str">
        <f>IF(Nodes[[#This Row],[Bezeichnung2]] = "liebender",3,"")</f>
        <v/>
      </c>
      <c r="S537" s="4" t="str">
        <f>IF(Nodes[[#This Row],[Bezeichnung2]] = "liebende",4,"")</f>
        <v/>
      </c>
      <c r="T537" s="4" t="str">
        <f>IF(Nodes[[#This Row],[Bezeichnung2]] = "gegenspieler",5,"")</f>
        <v/>
      </c>
    </row>
    <row r="538" spans="1:20" x14ac:dyDescent="0.3">
      <c r="A538" t="s">
        <v>521</v>
      </c>
      <c r="B538" t="s">
        <v>106</v>
      </c>
      <c r="C538" t="s">
        <v>24</v>
      </c>
      <c r="D538" t="s">
        <v>47</v>
      </c>
      <c r="E538" t="s">
        <v>20</v>
      </c>
      <c r="F538" t="s">
        <v>44</v>
      </c>
      <c r="G538" t="s">
        <v>22</v>
      </c>
      <c r="H538" t="str">
        <f t="shared" si="16"/>
        <v>unbekannt</v>
      </c>
      <c r="I538" t="str" cm="1">
        <f t="array" ref="I538">_xlfn.SWITCH(A538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538" s="4">
        <f>IF(AND(B538=Werte!B538,LEFT(A538,5)=LEFT(Werte!A538,5)),Werte!C538,"not found")</f>
        <v>1.25</v>
      </c>
      <c r="K538" s="4">
        <f>IF(AND(B538=Werte!B538,LEFT(A538,5)=LEFT(Werte!A538,5)),Werte!D538,"not found")</f>
        <v>0.107142857142857</v>
      </c>
      <c r="L538" s="4">
        <f>IF(AND(B538=Werte!B538,LEFT(A538,5)=LEFT(Werte!A538,5)),Werte!E538,"not found")</f>
        <v>0.38095238095238099</v>
      </c>
      <c r="M538" s="4">
        <f>IF(AND(B538=Werte!B538,LEFT(A538,5)=LEFT(Werte!A538,5)),Werte!F538,"not found")</f>
        <v>0.99683395754702397</v>
      </c>
      <c r="N538" s="4" t="str">
        <f t="shared" si="17"/>
        <v>liebende</v>
      </c>
      <c r="O538" s="4" cm="1">
        <f t="array" ref="O538">_xlfn.SWITCH(A538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38" s="4" t="str">
        <f>IF(Nodes[[#This Row],[Bezeichnung2]] = "betrueger",1,"")</f>
        <v/>
      </c>
      <c r="Q538" s="4" t="str">
        <f>IF(Nodes[[#This Row],[Bezeichnung2]] = "betrogener",2,"")</f>
        <v/>
      </c>
      <c r="R538" s="4" t="str">
        <f>IF(Nodes[[#This Row],[Bezeichnung2]] = "liebender",3,"")</f>
        <v/>
      </c>
      <c r="S538" s="4">
        <f>IF(Nodes[[#This Row],[Bezeichnung2]] = "liebende",4,"")</f>
        <v>4</v>
      </c>
      <c r="T538" s="4" t="str">
        <f>IF(Nodes[[#This Row],[Bezeichnung2]] = "gegenspieler",5,"")</f>
        <v/>
      </c>
    </row>
    <row r="539" spans="1:20" x14ac:dyDescent="0.3">
      <c r="A539" t="s">
        <v>521</v>
      </c>
      <c r="B539" t="s">
        <v>258</v>
      </c>
      <c r="C539" t="s">
        <v>18</v>
      </c>
      <c r="D539" t="s">
        <v>47</v>
      </c>
      <c r="E539" t="s">
        <v>47</v>
      </c>
      <c r="F539" t="s">
        <v>33</v>
      </c>
      <c r="G539" t="s">
        <v>26</v>
      </c>
      <c r="H539" t="str">
        <f t="shared" si="16"/>
        <v>unbekannt</v>
      </c>
      <c r="I539" t="str" cm="1">
        <f t="array" ref="I539">_xlfn.SWITCH(A539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539" s="4">
        <f>IF(AND(B539=Werte!B539,LEFT(A539,5)=LEFT(Werte!A539,5)),Werte!C539,"not found")</f>
        <v>1</v>
      </c>
      <c r="K539" s="4">
        <f>IF(AND(B539=Werte!B539,LEFT(A539,5)=LEFT(Werte!A539,5)),Werte!D539,"not found")</f>
        <v>1.7857142857142901E-2</v>
      </c>
      <c r="L539" s="4">
        <f>IF(AND(B539=Werte!B539,LEFT(A539,5)=LEFT(Werte!A539,5)),Werte!E539,"not found")</f>
        <v>0.38095238095238099</v>
      </c>
      <c r="M539" s="4">
        <f>IF(AND(B539=Werte!B539,LEFT(A539,5)=LEFT(Werte!A539,5)),Werte!F539,"not found")</f>
        <v>0.185618845489193</v>
      </c>
      <c r="N539" s="4" t="str">
        <f t="shared" si="17"/>
        <v>vater</v>
      </c>
      <c r="O539" s="4" cm="1">
        <f t="array" ref="O539">_xlfn.SWITCH(A539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39" s="4" t="str">
        <f>IF(Nodes[[#This Row],[Bezeichnung2]] = "betrueger",1,"")</f>
        <v/>
      </c>
      <c r="Q539" s="4" t="str">
        <f>IF(Nodes[[#This Row],[Bezeichnung2]] = "betrogener",2,"")</f>
        <v/>
      </c>
      <c r="R539" s="4" t="str">
        <f>IF(Nodes[[#This Row],[Bezeichnung2]] = "liebender",3,"")</f>
        <v/>
      </c>
      <c r="S539" s="4" t="str">
        <f>IF(Nodes[[#This Row],[Bezeichnung2]] = "liebende",4,"")</f>
        <v/>
      </c>
      <c r="T539" s="4" t="str">
        <f>IF(Nodes[[#This Row],[Bezeichnung2]] = "gegenspieler",5,"")</f>
        <v/>
      </c>
    </row>
    <row r="540" spans="1:20" x14ac:dyDescent="0.3">
      <c r="A540" t="s">
        <v>521</v>
      </c>
      <c r="B540" t="s">
        <v>407</v>
      </c>
      <c r="C540" t="s">
        <v>24</v>
      </c>
      <c r="D540" t="s">
        <v>47</v>
      </c>
      <c r="E540" t="s">
        <v>47</v>
      </c>
      <c r="F540" t="s">
        <v>36</v>
      </c>
      <c r="G540" t="s">
        <v>26</v>
      </c>
      <c r="H540" t="str">
        <f t="shared" si="16"/>
        <v>unbekannt</v>
      </c>
      <c r="I540" t="str" cm="1">
        <f t="array" ref="I540">_xlfn.SWITCH(A540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540" s="4">
        <f>IF(AND(B540=Werte!B540,LEFT(A540,5)=LEFT(Werte!A540,5)),Werte!C540,"not found")</f>
        <v>1</v>
      </c>
      <c r="K540" s="4">
        <f>IF(AND(B540=Werte!B540,LEFT(A540,5)=LEFT(Werte!A540,5)),Werte!D540,"not found")</f>
        <v>1.7857142857142901E-2</v>
      </c>
      <c r="L540" s="4">
        <f>IF(AND(B540=Werte!B540,LEFT(A540,5)=LEFT(Werte!A540,5)),Werte!E540,"not found")</f>
        <v>0.38095238095238099</v>
      </c>
      <c r="M540" s="4">
        <f>IF(AND(B540=Werte!B540,LEFT(A540,5)=LEFT(Werte!A540,5)),Werte!F540,"not found")</f>
        <v>0.185618845489192</v>
      </c>
      <c r="N540" s="4" t="str">
        <f t="shared" si="17"/>
        <v>mutter</v>
      </c>
      <c r="O540" s="4" cm="1">
        <f t="array" ref="O540">_xlfn.SWITCH(A540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40" s="4" t="str">
        <f>IF(Nodes[[#This Row],[Bezeichnung2]] = "betrueger",1,"")</f>
        <v/>
      </c>
      <c r="Q540" s="4" t="str">
        <f>IF(Nodes[[#This Row],[Bezeichnung2]] = "betrogener",2,"")</f>
        <v/>
      </c>
      <c r="R540" s="4" t="str">
        <f>IF(Nodes[[#This Row],[Bezeichnung2]] = "liebender",3,"")</f>
        <v/>
      </c>
      <c r="S540" s="4" t="str">
        <f>IF(Nodes[[#This Row],[Bezeichnung2]] = "liebende",4,"")</f>
        <v/>
      </c>
      <c r="T540" s="4" t="str">
        <f>IF(Nodes[[#This Row],[Bezeichnung2]] = "gegenspieler",5,"")</f>
        <v/>
      </c>
    </row>
    <row r="541" spans="1:20" x14ac:dyDescent="0.3">
      <c r="A541" t="s">
        <v>521</v>
      </c>
      <c r="B541" t="s">
        <v>85</v>
      </c>
      <c r="C541" t="s">
        <v>24</v>
      </c>
      <c r="D541" t="s">
        <v>47</v>
      </c>
      <c r="E541" t="s">
        <v>47</v>
      </c>
      <c r="F541" t="s">
        <v>47</v>
      </c>
      <c r="G541" t="s">
        <v>26</v>
      </c>
      <c r="H541" t="str">
        <f t="shared" si="16"/>
        <v>unbekannt</v>
      </c>
      <c r="I541" t="str" cm="1">
        <f t="array" ref="I541">_xlfn.SWITCH(A541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541" s="4">
        <f>IF(AND(B541=Werte!B541,LEFT(A541,5)=LEFT(Werte!A541,5)),Werte!C541,"not found")</f>
        <v>1</v>
      </c>
      <c r="K541" s="4">
        <f>IF(AND(B541=Werte!B541,LEFT(A541,5)=LEFT(Werte!A541,5)),Werte!D541,"not found")</f>
        <v>1.7857142857142901E-2</v>
      </c>
      <c r="L541" s="4">
        <f>IF(AND(B541=Werte!B541,LEFT(A541,5)=LEFT(Werte!A541,5)),Werte!E541,"not found")</f>
        <v>0.38095238095238099</v>
      </c>
      <c r="M541" s="4">
        <f>IF(AND(B541=Werte!B541,LEFT(A541,5)=LEFT(Werte!A541,5)),Werte!F541,"not found")</f>
        <v>0.185618845489193</v>
      </c>
      <c r="N541" s="4" t="str">
        <f t="shared" si="17"/>
        <v>unbekannt</v>
      </c>
      <c r="O541" s="4" cm="1">
        <f t="array" ref="O541">_xlfn.SWITCH(A541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41" s="4" t="str">
        <f>IF(Nodes[[#This Row],[Bezeichnung2]] = "betrueger",1,"")</f>
        <v/>
      </c>
      <c r="Q541" s="4" t="str">
        <f>IF(Nodes[[#This Row],[Bezeichnung2]] = "betrogener",2,"")</f>
        <v/>
      </c>
      <c r="R541" s="4" t="str">
        <f>IF(Nodes[[#This Row],[Bezeichnung2]] = "liebender",3,"")</f>
        <v/>
      </c>
      <c r="S541" s="4" t="str">
        <f>IF(Nodes[[#This Row],[Bezeichnung2]] = "liebende",4,"")</f>
        <v/>
      </c>
      <c r="T541" s="4" t="str">
        <f>IF(Nodes[[#This Row],[Bezeichnung2]] = "gegenspieler",5,"")</f>
        <v/>
      </c>
    </row>
    <row r="542" spans="1:20" x14ac:dyDescent="0.3">
      <c r="A542" t="s">
        <v>521</v>
      </c>
      <c r="B542" t="s">
        <v>256</v>
      </c>
      <c r="C542" t="s">
        <v>18</v>
      </c>
      <c r="D542" t="s">
        <v>257</v>
      </c>
      <c r="E542" t="s">
        <v>20</v>
      </c>
      <c r="F542" t="s">
        <v>53</v>
      </c>
      <c r="G542" t="s">
        <v>26</v>
      </c>
      <c r="H542" t="str">
        <f t="shared" si="16"/>
        <v>buergerlich</v>
      </c>
      <c r="I542" t="str" cm="1">
        <f t="array" ref="I542">_xlfn.SWITCH(A542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542" s="4">
        <f>IF(AND(B542=Werte!B542,LEFT(A542,5)=LEFT(Werte!A542,5)),Werte!C542,"not found")</f>
        <v>0.75</v>
      </c>
      <c r="K542" s="4">
        <f>IF(AND(B542=Werte!B542,LEFT(A542,5)=LEFT(Werte!A542,5)),Werte!D542,"not found")</f>
        <v>0.23214285714285701</v>
      </c>
      <c r="L542" s="4">
        <f>IF(AND(B542=Werte!B542,LEFT(A542,5)=LEFT(Werte!A542,5)),Werte!E542,"not found")</f>
        <v>0.38095238095238099</v>
      </c>
      <c r="M542" s="4">
        <f>IF(AND(B542=Werte!B542,LEFT(A542,5)=LEFT(Werte!A542,5)),Werte!F542,"not found")</f>
        <v>0.16046333982659999</v>
      </c>
      <c r="N542" s="4" t="str">
        <f t="shared" si="17"/>
        <v>helfer</v>
      </c>
      <c r="O542" s="4" cm="1">
        <f t="array" ref="O542">_xlfn.SWITCH(A542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42" s="4" t="str">
        <f>IF(Nodes[[#This Row],[Bezeichnung2]] = "betrueger",1,"")</f>
        <v/>
      </c>
      <c r="Q542" s="4" t="str">
        <f>IF(Nodes[[#This Row],[Bezeichnung2]] = "betrogener",2,"")</f>
        <v/>
      </c>
      <c r="R542" s="4" t="str">
        <f>IF(Nodes[[#This Row],[Bezeichnung2]] = "liebender",3,"")</f>
        <v/>
      </c>
      <c r="S542" s="4" t="str">
        <f>IF(Nodes[[#This Row],[Bezeichnung2]] = "liebende",4,"")</f>
        <v/>
      </c>
      <c r="T542" s="4" t="str">
        <f>IF(Nodes[[#This Row],[Bezeichnung2]] = "gegenspieler",5,"")</f>
        <v/>
      </c>
    </row>
    <row r="543" spans="1:20" x14ac:dyDescent="0.3">
      <c r="A543" t="s">
        <v>521</v>
      </c>
      <c r="B543" t="s">
        <v>289</v>
      </c>
      <c r="C543" t="s">
        <v>18</v>
      </c>
      <c r="D543" t="s">
        <v>47</v>
      </c>
      <c r="E543" t="s">
        <v>47</v>
      </c>
      <c r="F543" t="s">
        <v>47</v>
      </c>
      <c r="G543" t="s">
        <v>26</v>
      </c>
      <c r="H543" t="str">
        <f t="shared" si="16"/>
        <v>unbekannt</v>
      </c>
      <c r="I543" t="str" cm="1">
        <f t="array" ref="I543">_xlfn.SWITCH(A543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543" s="4">
        <f>IF(AND(B543=Werte!B543,LEFT(A543,5)=LEFT(Werte!A543,5)),Werte!C543,"not found")</f>
        <v>0.25</v>
      </c>
      <c r="K543" s="4">
        <f>IF(AND(B543=Werte!B543,LEFT(A543,5)=LEFT(Werte!A543,5)),Werte!D543,"not found")</f>
        <v>0</v>
      </c>
      <c r="L543" s="4">
        <f>IF(AND(B543=Werte!B543,LEFT(A543,5)=LEFT(Werte!A543,5)),Werte!E543,"not found")</f>
        <v>0.24242424242424199</v>
      </c>
      <c r="M543" s="4">
        <f>IF(AND(B543=Werte!B543,LEFT(A543,5)=LEFT(Werte!A543,5)),Werte!F543,"not found")</f>
        <v>2.5155505662592999E-2</v>
      </c>
      <c r="N543" s="4" t="str">
        <f t="shared" si="17"/>
        <v>unbekannt</v>
      </c>
      <c r="O543" s="4" cm="1">
        <f t="array" ref="O543">_xlfn.SWITCH(A543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43" s="4" t="str">
        <f>IF(Nodes[[#This Row],[Bezeichnung2]] = "betrueger",1,"")</f>
        <v/>
      </c>
      <c r="Q543" s="4" t="str">
        <f>IF(Nodes[[#This Row],[Bezeichnung2]] = "betrogener",2,"")</f>
        <v/>
      </c>
      <c r="R543" s="4" t="str">
        <f>IF(Nodes[[#This Row],[Bezeichnung2]] = "liebender",3,"")</f>
        <v/>
      </c>
      <c r="S543" s="4" t="str">
        <f>IF(Nodes[[#This Row],[Bezeichnung2]] = "liebende",4,"")</f>
        <v/>
      </c>
      <c r="T543" s="4" t="str">
        <f>IF(Nodes[[#This Row],[Bezeichnung2]] = "gegenspieler",5,"")</f>
        <v/>
      </c>
    </row>
    <row r="544" spans="1:20" x14ac:dyDescent="0.3">
      <c r="A544" t="s">
        <v>521</v>
      </c>
      <c r="B544" t="s">
        <v>511</v>
      </c>
      <c r="C544" t="s">
        <v>18</v>
      </c>
      <c r="D544" t="s">
        <v>512</v>
      </c>
      <c r="E544" t="s">
        <v>47</v>
      </c>
      <c r="F544" t="s">
        <v>47</v>
      </c>
      <c r="G544" t="s">
        <v>26</v>
      </c>
      <c r="H544" t="str">
        <f t="shared" si="16"/>
        <v>klerus</v>
      </c>
      <c r="I544" t="str" cm="1">
        <f t="array" ref="I544">_xlfn.SWITCH(A544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Unbekannt</v>
      </c>
      <c r="J544" s="4">
        <f>IF(AND(B544=Werte!B544,LEFT(A544,5)=LEFT(Werte!A544,5)),Werte!C544,"not found")</f>
        <v>0</v>
      </c>
      <c r="K544" s="4">
        <f>IF(AND(B544=Werte!B544,LEFT(A544,5)=LEFT(Werte!A544,5)),Werte!D544,"not found")</f>
        <v>0</v>
      </c>
      <c r="L544" s="4">
        <f>IF(AND(B544=Werte!B544,LEFT(A544,5)=LEFT(Werte!A544,5)),Werte!E544,"not found")</f>
        <v>0.11111111111111099</v>
      </c>
      <c r="M544" s="4">
        <f>IF(AND(B544=Werte!B544,LEFT(A544,5)=LEFT(Werte!A544,5)),Werte!F544,"not found")</f>
        <v>1.10144031914012E-17</v>
      </c>
      <c r="N544" s="4" t="str">
        <f t="shared" si="17"/>
        <v>unbekannt</v>
      </c>
      <c r="O544" s="4" cm="1">
        <f t="array" ref="O544">_xlfn.SWITCH(A544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4</v>
      </c>
      <c r="P544" s="4" t="str">
        <f>IF(Nodes[[#This Row],[Bezeichnung2]] = "betrueger",1,"")</f>
        <v/>
      </c>
      <c r="Q544" s="4" t="str">
        <f>IF(Nodes[[#This Row],[Bezeichnung2]] = "betrogener",2,"")</f>
        <v/>
      </c>
      <c r="R544" s="4" t="str">
        <f>IF(Nodes[[#This Row],[Bezeichnung2]] = "liebender",3,"")</f>
        <v/>
      </c>
      <c r="S544" s="4" t="str">
        <f>IF(Nodes[[#This Row],[Bezeichnung2]] = "liebende",4,"")</f>
        <v/>
      </c>
      <c r="T544" s="4" t="str">
        <f>IF(Nodes[[#This Row],[Bezeichnung2]] = "gegenspieler",5,"")</f>
        <v/>
      </c>
    </row>
    <row r="545" spans="1:20" x14ac:dyDescent="0.3">
      <c r="A545" t="s">
        <v>522</v>
      </c>
      <c r="B545" t="s">
        <v>523</v>
      </c>
      <c r="C545" t="s">
        <v>18</v>
      </c>
      <c r="D545" t="s">
        <v>47</v>
      </c>
      <c r="E545" t="s">
        <v>47</v>
      </c>
      <c r="F545" t="s">
        <v>47</v>
      </c>
      <c r="G545" t="s">
        <v>22</v>
      </c>
      <c r="H545" t="str">
        <f t="shared" si="16"/>
        <v>unbekannt</v>
      </c>
      <c r="I545" t="str" cm="1">
        <f t="array" ref="I545">_xlfn.SWITCH(A545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45" s="4">
        <f>IF(AND(B545=Werte!B545,LEFT(A545,5)=LEFT(Werte!A545,5)),Werte!C545,"not found")</f>
        <v>2</v>
      </c>
      <c r="K545" s="4">
        <f>IF(AND(B545=Werte!B545,LEFT(A545,5)=LEFT(Werte!A545,5)),Werte!D545,"not found")</f>
        <v>0.16666666666666699</v>
      </c>
      <c r="L545" s="4">
        <f>IF(AND(B545=Werte!B545,LEFT(A545,5)=LEFT(Werte!A545,5)),Werte!E545,"not found")</f>
        <v>0.75</v>
      </c>
      <c r="M545" s="4">
        <f>IF(AND(B545=Werte!B545,LEFT(A545,5)=LEFT(Werte!A545,5)),Werte!F545,"not found")</f>
        <v>1</v>
      </c>
      <c r="N545" s="4" t="str">
        <f t="shared" si="17"/>
        <v>unbekannt</v>
      </c>
      <c r="O545" s="4" cm="1">
        <f t="array" ref="O545">_xlfn.SWITCH(A545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45" s="4" t="str">
        <f>IF(Nodes[[#This Row],[Bezeichnung2]] = "betrueger",1,"")</f>
        <v/>
      </c>
      <c r="Q545" s="4" t="str">
        <f>IF(Nodes[[#This Row],[Bezeichnung2]] = "betrogener",2,"")</f>
        <v/>
      </c>
      <c r="R545" s="4" t="str">
        <f>IF(Nodes[[#This Row],[Bezeichnung2]] = "liebender",3,"")</f>
        <v/>
      </c>
      <c r="S545" s="4" t="str">
        <f>IF(Nodes[[#This Row],[Bezeichnung2]] = "liebende",4,"")</f>
        <v/>
      </c>
      <c r="T545" s="4" t="str">
        <f>IF(Nodes[[#This Row],[Bezeichnung2]] = "gegenspieler",5,"")</f>
        <v/>
      </c>
    </row>
    <row r="546" spans="1:20" x14ac:dyDescent="0.3">
      <c r="A546" t="s">
        <v>522</v>
      </c>
      <c r="B546" t="s">
        <v>524</v>
      </c>
      <c r="C546" t="s">
        <v>24</v>
      </c>
      <c r="D546" t="s">
        <v>47</v>
      </c>
      <c r="E546" t="s">
        <v>47</v>
      </c>
      <c r="F546" t="s">
        <v>87</v>
      </c>
      <c r="G546" t="s">
        <v>22</v>
      </c>
      <c r="H546" t="str">
        <f t="shared" si="16"/>
        <v>unbekannt</v>
      </c>
      <c r="I546" t="str" cm="1">
        <f t="array" ref="I546">_xlfn.SWITCH(A546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46" s="4">
        <f>IF(AND(B546=Werte!B546,LEFT(A546,5)=LEFT(Werte!A546,5)),Werte!C546,"not found")</f>
        <v>2</v>
      </c>
      <c r="K546" s="4">
        <f>IF(AND(B546=Werte!B546,LEFT(A546,5)=LEFT(Werte!A546,5)),Werte!D546,"not found")</f>
        <v>0.16666666666666699</v>
      </c>
      <c r="L546" s="4">
        <f>IF(AND(B546=Werte!B546,LEFT(A546,5)=LEFT(Werte!A546,5)),Werte!E546,"not found")</f>
        <v>0.75</v>
      </c>
      <c r="M546" s="4">
        <f>IF(AND(B546=Werte!B546,LEFT(A546,5)=LEFT(Werte!A546,5)),Werte!F546,"not found")</f>
        <v>1</v>
      </c>
      <c r="N546" s="4" t="str">
        <f t="shared" si="17"/>
        <v>gegenspieler</v>
      </c>
      <c r="O546" s="4" cm="1">
        <f t="array" ref="O546">_xlfn.SWITCH(A546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46" s="4" t="str">
        <f>IF(Nodes[[#This Row],[Bezeichnung2]] = "betrueger",1,"")</f>
        <v/>
      </c>
      <c r="Q546" s="4" t="str">
        <f>IF(Nodes[[#This Row],[Bezeichnung2]] = "betrogener",2,"")</f>
        <v/>
      </c>
      <c r="R546" s="4" t="str">
        <f>IF(Nodes[[#This Row],[Bezeichnung2]] = "liebender",3,"")</f>
        <v/>
      </c>
      <c r="S546" s="4" t="str">
        <f>IF(Nodes[[#This Row],[Bezeichnung2]] = "liebende",4,"")</f>
        <v/>
      </c>
      <c r="T546" s="4">
        <f>IF(Nodes[[#This Row],[Bezeichnung2]] = "gegenspieler",5,"")</f>
        <v>5</v>
      </c>
    </row>
    <row r="547" spans="1:20" x14ac:dyDescent="0.3">
      <c r="A547" t="s">
        <v>522</v>
      </c>
      <c r="B547" t="s">
        <v>423</v>
      </c>
      <c r="C547" t="s">
        <v>18</v>
      </c>
      <c r="D547" t="s">
        <v>47</v>
      </c>
      <c r="E547" t="s">
        <v>47</v>
      </c>
      <c r="F547" t="s">
        <v>47</v>
      </c>
      <c r="G547" t="s">
        <v>26</v>
      </c>
      <c r="H547" t="str">
        <f t="shared" si="16"/>
        <v>unbekannt</v>
      </c>
      <c r="I547" t="str" cm="1">
        <f t="array" ref="I547">_xlfn.SWITCH(A547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47" s="4">
        <f>IF(AND(B547=Werte!B547,LEFT(A547,5)=LEFT(Werte!A547,5)),Werte!C547,"not found")</f>
        <v>1.3333333333333299</v>
      </c>
      <c r="K547" s="4">
        <f>IF(AND(B547=Werte!B547,LEFT(A547,5)=LEFT(Werte!A547,5)),Werte!D547,"not found")</f>
        <v>0.16666666666666699</v>
      </c>
      <c r="L547" s="4">
        <f>IF(AND(B547=Werte!B547,LEFT(A547,5)=LEFT(Werte!A547,5)),Werte!E547,"not found")</f>
        <v>0.75</v>
      </c>
      <c r="M547" s="4">
        <f>IF(AND(B547=Werte!B547,LEFT(A547,5)=LEFT(Werte!A547,5)),Werte!F547,"not found")</f>
        <v>0.140054944640259</v>
      </c>
      <c r="N547" s="4" t="str">
        <f t="shared" si="17"/>
        <v>unbekannt</v>
      </c>
      <c r="O547" s="4" cm="1">
        <f t="array" ref="O547">_xlfn.SWITCH(A547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47" s="4" t="str">
        <f>IF(Nodes[[#This Row],[Bezeichnung2]] = "betrueger",1,"")</f>
        <v/>
      </c>
      <c r="Q547" s="4" t="str">
        <f>IF(Nodes[[#This Row],[Bezeichnung2]] = "betrogener",2,"")</f>
        <v/>
      </c>
      <c r="R547" s="4" t="str">
        <f>IF(Nodes[[#This Row],[Bezeichnung2]] = "liebender",3,"")</f>
        <v/>
      </c>
      <c r="S547" s="4" t="str">
        <f>IF(Nodes[[#This Row],[Bezeichnung2]] = "liebende",4,"")</f>
        <v/>
      </c>
      <c r="T547" s="4" t="str">
        <f>IF(Nodes[[#This Row],[Bezeichnung2]] = "gegenspieler",5,"")</f>
        <v/>
      </c>
    </row>
    <row r="548" spans="1:20" x14ac:dyDescent="0.3">
      <c r="A548" t="s">
        <v>522</v>
      </c>
      <c r="B548" t="s">
        <v>525</v>
      </c>
      <c r="C548" t="s">
        <v>18</v>
      </c>
      <c r="D548" t="s">
        <v>47</v>
      </c>
      <c r="E548" t="s">
        <v>47</v>
      </c>
      <c r="F548" t="s">
        <v>53</v>
      </c>
      <c r="G548" t="s">
        <v>26</v>
      </c>
      <c r="H548" t="str">
        <f t="shared" si="16"/>
        <v>unbekannt</v>
      </c>
      <c r="I548" t="str" cm="1">
        <f t="array" ref="I548">_xlfn.SWITCH(A548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48" s="4">
        <f>IF(AND(B548=Werte!B548,LEFT(A548,5)=LEFT(Werte!A548,5)),Werte!C548,"not found")</f>
        <v>1.3333333333333299</v>
      </c>
      <c r="K548" s="4">
        <f>IF(AND(B548=Werte!B548,LEFT(A548,5)=LEFT(Werte!A548,5)),Werte!D548,"not found")</f>
        <v>0.16666666666666699</v>
      </c>
      <c r="L548" s="4">
        <f>IF(AND(B548=Werte!B548,LEFT(A548,5)=LEFT(Werte!A548,5)),Werte!E548,"not found")</f>
        <v>0.75</v>
      </c>
      <c r="M548" s="4">
        <f>IF(AND(B548=Werte!B548,LEFT(A548,5)=LEFT(Werte!A548,5)),Werte!F548,"not found")</f>
        <v>0.140054944640259</v>
      </c>
      <c r="N548" s="4" t="str">
        <f t="shared" si="17"/>
        <v>helfer</v>
      </c>
      <c r="O548" s="4" cm="1">
        <f t="array" ref="O548">_xlfn.SWITCH(A548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48" s="4" t="str">
        <f>IF(Nodes[[#This Row],[Bezeichnung2]] = "betrueger",1,"")</f>
        <v/>
      </c>
      <c r="Q548" s="4" t="str">
        <f>IF(Nodes[[#This Row],[Bezeichnung2]] = "betrogener",2,"")</f>
        <v/>
      </c>
      <c r="R548" s="4" t="str">
        <f>IF(Nodes[[#This Row],[Bezeichnung2]] = "liebender",3,"")</f>
        <v/>
      </c>
      <c r="S548" s="4" t="str">
        <f>IF(Nodes[[#This Row],[Bezeichnung2]] = "liebende",4,"")</f>
        <v/>
      </c>
      <c r="T548" s="4" t="str">
        <f>IF(Nodes[[#This Row],[Bezeichnung2]] = "gegenspieler",5,"")</f>
        <v/>
      </c>
    </row>
    <row r="549" spans="1:20" x14ac:dyDescent="0.3">
      <c r="A549" t="s">
        <v>526</v>
      </c>
      <c r="B549" t="s">
        <v>115</v>
      </c>
      <c r="C549" t="s">
        <v>18</v>
      </c>
      <c r="D549" t="s">
        <v>47</v>
      </c>
      <c r="E549" t="s">
        <v>47</v>
      </c>
      <c r="F549" t="s">
        <v>50</v>
      </c>
      <c r="G549" t="s">
        <v>22</v>
      </c>
      <c r="H549" t="str">
        <f t="shared" si="16"/>
        <v>unbekannt</v>
      </c>
      <c r="I549" t="str" cm="1">
        <f t="array" ref="I549">_xlfn.SWITCH(A549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49" s="4">
        <f>IF(AND(B549=Werte!B549,LEFT(A549,5)=LEFT(Werte!A549,5)),Werte!C549,"not found")</f>
        <v>2</v>
      </c>
      <c r="K549" s="4">
        <f>IF(AND(B549=Werte!B549,LEFT(A549,5)=LEFT(Werte!A549,5)),Werte!D549,"not found")</f>
        <v>0.25</v>
      </c>
      <c r="L549" s="4">
        <f>IF(AND(B549=Werte!B549,LEFT(A549,5)=LEFT(Werte!A549,5)),Werte!E549,"not found")</f>
        <v>0.33333333333333298</v>
      </c>
      <c r="M549" s="4">
        <f>IF(AND(B549=Werte!B549,LEFT(A549,5)=LEFT(Werte!A549,5)),Werte!F549,"not found")</f>
        <v>1</v>
      </c>
      <c r="N549" s="4" t="str">
        <f t="shared" si="17"/>
        <v>betrogener</v>
      </c>
      <c r="O549" s="4" cm="1">
        <f t="array" ref="O549">_xlfn.SWITCH(A549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49" s="4" t="str">
        <f>IF(Nodes[[#This Row],[Bezeichnung2]] = "betrueger",1,"")</f>
        <v/>
      </c>
      <c r="Q549" s="4">
        <f>IF(Nodes[[#This Row],[Bezeichnung2]] = "betrogener",2,"")</f>
        <v>2</v>
      </c>
      <c r="R549" s="4" t="str">
        <f>IF(Nodes[[#This Row],[Bezeichnung2]] = "liebender",3,"")</f>
        <v/>
      </c>
      <c r="S549" s="4" t="str">
        <f>IF(Nodes[[#This Row],[Bezeichnung2]] = "liebende",4,"")</f>
        <v/>
      </c>
      <c r="T549" s="4" t="str">
        <f>IF(Nodes[[#This Row],[Bezeichnung2]] = "gegenspieler",5,"")</f>
        <v/>
      </c>
    </row>
    <row r="550" spans="1:20" x14ac:dyDescent="0.3">
      <c r="A550" t="s">
        <v>526</v>
      </c>
      <c r="B550" t="s">
        <v>85</v>
      </c>
      <c r="C550" t="s">
        <v>24</v>
      </c>
      <c r="D550" t="s">
        <v>47</v>
      </c>
      <c r="E550" t="s">
        <v>47</v>
      </c>
      <c r="F550" t="s">
        <v>55</v>
      </c>
      <c r="G550" t="s">
        <v>22</v>
      </c>
      <c r="H550" t="str">
        <f t="shared" si="16"/>
        <v>unbekannt</v>
      </c>
      <c r="I550" t="str" cm="1">
        <f t="array" ref="I550">_xlfn.SWITCH(A550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50" s="4">
        <f>IF(AND(B550=Werte!B550,LEFT(A550,5)=LEFT(Werte!A550,5)),Werte!C550,"not found")</f>
        <v>2</v>
      </c>
      <c r="K550" s="4">
        <f>IF(AND(B550=Werte!B550,LEFT(A550,5)=LEFT(Werte!A550,5)),Werte!D550,"not found")</f>
        <v>0.25</v>
      </c>
      <c r="L550" s="4">
        <f>IF(AND(B550=Werte!B550,LEFT(A550,5)=LEFT(Werte!A550,5)),Werte!E550,"not found")</f>
        <v>0.33333333333333298</v>
      </c>
      <c r="M550" s="4">
        <f>IF(AND(B550=Werte!B550,LEFT(A550,5)=LEFT(Werte!A550,5)),Werte!F550,"not found")</f>
        <v>1</v>
      </c>
      <c r="N550" s="4" t="str">
        <f t="shared" si="17"/>
        <v>betrueger</v>
      </c>
      <c r="O550" s="4" cm="1">
        <f t="array" ref="O550">_xlfn.SWITCH(A550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50" s="4">
        <f>IF(Nodes[[#This Row],[Bezeichnung2]] = "betrueger",1,"")</f>
        <v>1</v>
      </c>
      <c r="Q550" s="4" t="str">
        <f>IF(Nodes[[#This Row],[Bezeichnung2]] = "betrogener",2,"")</f>
        <v/>
      </c>
      <c r="R550" s="4" t="str">
        <f>IF(Nodes[[#This Row],[Bezeichnung2]] = "liebender",3,"")</f>
        <v/>
      </c>
      <c r="S550" s="4" t="str">
        <f>IF(Nodes[[#This Row],[Bezeichnung2]] = "liebende",4,"")</f>
        <v/>
      </c>
      <c r="T550" s="4" t="str">
        <f>IF(Nodes[[#This Row],[Bezeichnung2]] = "gegenspieler",5,"")</f>
        <v/>
      </c>
    </row>
    <row r="551" spans="1:20" x14ac:dyDescent="0.3">
      <c r="A551" t="s">
        <v>526</v>
      </c>
      <c r="B551" t="s">
        <v>527</v>
      </c>
      <c r="C551" t="s">
        <v>18</v>
      </c>
      <c r="D551" t="s">
        <v>47</v>
      </c>
      <c r="E551" t="s">
        <v>47</v>
      </c>
      <c r="F551" t="s">
        <v>96</v>
      </c>
      <c r="G551" t="s">
        <v>26</v>
      </c>
      <c r="H551" t="str">
        <f t="shared" si="16"/>
        <v>unbekannt</v>
      </c>
      <c r="I551" t="str" cm="1">
        <f t="array" ref="I551">_xlfn.SWITCH(A551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51" s="4">
        <f>IF(AND(B551=Werte!B551,LEFT(A551,5)=LEFT(Werte!A551,5)),Werte!C551,"not found")</f>
        <v>1</v>
      </c>
      <c r="K551" s="4">
        <f>IF(AND(B551=Werte!B551,LEFT(A551,5)=LEFT(Werte!A551,5)),Werte!D551,"not found")</f>
        <v>0.16666666666666699</v>
      </c>
      <c r="L551" s="4">
        <f>IF(AND(B551=Werte!B551,LEFT(A551,5)=LEFT(Werte!A551,5)),Werte!E551,"not found")</f>
        <v>0.30769230769230799</v>
      </c>
      <c r="M551" s="4">
        <f>IF(AND(B551=Werte!B551,LEFT(A551,5)=LEFT(Werte!A551,5)),Werte!F551,"not found")</f>
        <v>0.11111111111111099</v>
      </c>
      <c r="N551" s="4" t="str">
        <f t="shared" si="17"/>
        <v>betrueger</v>
      </c>
      <c r="O551" s="4" cm="1">
        <f t="array" ref="O551">_xlfn.SWITCH(A551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51" s="4">
        <f>IF(Nodes[[#This Row],[Bezeichnung2]] = "betrueger",1,"")</f>
        <v>1</v>
      </c>
      <c r="Q551" s="4" t="str">
        <f>IF(Nodes[[#This Row],[Bezeichnung2]] = "betrogener",2,"")</f>
        <v/>
      </c>
      <c r="R551" s="4" t="str">
        <f>IF(Nodes[[#This Row],[Bezeichnung2]] = "liebender",3,"")</f>
        <v/>
      </c>
      <c r="S551" s="4" t="str">
        <f>IF(Nodes[[#This Row],[Bezeichnung2]] = "liebende",4,"")</f>
        <v/>
      </c>
      <c r="T551" s="4" t="str">
        <f>IF(Nodes[[#This Row],[Bezeichnung2]] = "gegenspieler",5,"")</f>
        <v/>
      </c>
    </row>
    <row r="552" spans="1:20" x14ac:dyDescent="0.3">
      <c r="A552" t="s">
        <v>526</v>
      </c>
      <c r="B552" t="s">
        <v>528</v>
      </c>
      <c r="C552" t="s">
        <v>46</v>
      </c>
      <c r="D552" t="s">
        <v>47</v>
      </c>
      <c r="E552" t="s">
        <v>47</v>
      </c>
      <c r="F552" t="s">
        <v>47</v>
      </c>
      <c r="G552" t="s">
        <v>26</v>
      </c>
      <c r="H552" t="str">
        <f t="shared" si="16"/>
        <v>unbekannt</v>
      </c>
      <c r="I552" t="str" cm="1">
        <f t="array" ref="I552">_xlfn.SWITCH(A552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52" s="4">
        <f>IF(AND(B552=Werte!B552,LEFT(A552,5)=LEFT(Werte!A552,5)),Werte!C552,"not found")</f>
        <v>1</v>
      </c>
      <c r="K552" s="4">
        <f>IF(AND(B552=Werte!B552,LEFT(A552,5)=LEFT(Werte!A552,5)),Werte!D552,"not found")</f>
        <v>0</v>
      </c>
      <c r="L552" s="4">
        <f>IF(AND(B552=Werte!B552,LEFT(A552,5)=LEFT(Werte!A552,5)),Werte!E552,"not found")</f>
        <v>0.25</v>
      </c>
      <c r="M552" s="4">
        <f>IF(AND(B552=Werte!B552,LEFT(A552,5)=LEFT(Werte!A552,5)),Werte!F552,"not found")</f>
        <v>0.22222222222222199</v>
      </c>
      <c r="N552" s="4" t="str">
        <f t="shared" si="17"/>
        <v>unbekannt</v>
      </c>
      <c r="O552" s="4" cm="1">
        <f t="array" ref="O552">_xlfn.SWITCH(A552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52" s="4" t="str">
        <f>IF(Nodes[[#This Row],[Bezeichnung2]] = "betrueger",1,"")</f>
        <v/>
      </c>
      <c r="Q552" s="4" t="str">
        <f>IF(Nodes[[#This Row],[Bezeichnung2]] = "betrogener",2,"")</f>
        <v/>
      </c>
      <c r="R552" s="4" t="str">
        <f>IF(Nodes[[#This Row],[Bezeichnung2]] = "liebender",3,"")</f>
        <v/>
      </c>
      <c r="S552" s="4" t="str">
        <f>IF(Nodes[[#This Row],[Bezeichnung2]] = "liebende",4,"")</f>
        <v/>
      </c>
      <c r="T552" s="4" t="str">
        <f>IF(Nodes[[#This Row],[Bezeichnung2]] = "gegenspieler",5,"")</f>
        <v/>
      </c>
    </row>
    <row r="553" spans="1:20" x14ac:dyDescent="0.3">
      <c r="A553" t="s">
        <v>526</v>
      </c>
      <c r="B553" t="s">
        <v>529</v>
      </c>
      <c r="C553" t="s">
        <v>24</v>
      </c>
      <c r="D553" t="s">
        <v>530</v>
      </c>
      <c r="E553" t="s">
        <v>32</v>
      </c>
      <c r="F553" t="s">
        <v>53</v>
      </c>
      <c r="G553" t="s">
        <v>26</v>
      </c>
      <c r="H553" t="str">
        <f t="shared" si="16"/>
        <v>buergerlich</v>
      </c>
      <c r="I553" t="str" cm="1">
        <f t="array" ref="I553">_xlfn.SWITCH(A553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53" s="4">
        <f>IF(AND(B553=Werte!B553,LEFT(A553,5)=LEFT(Werte!A553,5)),Werte!C553,"not found")</f>
        <v>1</v>
      </c>
      <c r="K553" s="4">
        <f>IF(AND(B553=Werte!B553,LEFT(A553,5)=LEFT(Werte!A553,5)),Werte!D553,"not found")</f>
        <v>0</v>
      </c>
      <c r="L553" s="4">
        <f>IF(AND(B553=Werte!B553,LEFT(A553,5)=LEFT(Werte!A553,5)),Werte!E553,"not found")</f>
        <v>0.12903225806451599</v>
      </c>
      <c r="M553" s="4">
        <f>IF(AND(B553=Werte!B553,LEFT(A553,5)=LEFT(Werte!A553,5)),Werte!F553,"not found")</f>
        <v>0.77777777777777801</v>
      </c>
      <c r="N553" s="4" t="str">
        <f t="shared" si="17"/>
        <v>helfer</v>
      </c>
      <c r="O553" s="4" cm="1">
        <f t="array" ref="O553">_xlfn.SWITCH(A553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53" s="4" t="str">
        <f>IF(Nodes[[#This Row],[Bezeichnung2]] = "betrueger",1,"")</f>
        <v/>
      </c>
      <c r="Q553" s="4" t="str">
        <f>IF(Nodes[[#This Row],[Bezeichnung2]] = "betrogener",2,"")</f>
        <v/>
      </c>
      <c r="R553" s="4" t="str">
        <f>IF(Nodes[[#This Row],[Bezeichnung2]] = "liebender",3,"")</f>
        <v/>
      </c>
      <c r="S553" s="4" t="str">
        <f>IF(Nodes[[#This Row],[Bezeichnung2]] = "liebende",4,"")</f>
        <v/>
      </c>
      <c r="T553" s="4" t="str">
        <f>IF(Nodes[[#This Row],[Bezeichnung2]] = "gegenspieler",5,"")</f>
        <v/>
      </c>
    </row>
    <row r="554" spans="1:20" x14ac:dyDescent="0.3">
      <c r="A554" t="s">
        <v>531</v>
      </c>
      <c r="B554" t="s">
        <v>532</v>
      </c>
      <c r="C554" t="s">
        <v>18</v>
      </c>
      <c r="D554" t="s">
        <v>133</v>
      </c>
      <c r="E554" t="s">
        <v>47</v>
      </c>
      <c r="F554" t="s">
        <v>33</v>
      </c>
      <c r="G554" t="s">
        <v>26</v>
      </c>
      <c r="H554" t="str">
        <f t="shared" si="16"/>
        <v>buergerlich</v>
      </c>
      <c r="I554" t="str" cm="1">
        <f t="array" ref="I554">_xlfn.SWITCH(A554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54" s="4">
        <f>IF(AND(B554=Werte!B554,LEFT(A554,5)=LEFT(Werte!A554,5)),Werte!C554,"not found")</f>
        <v>0.57142857142857095</v>
      </c>
      <c r="K554" s="4">
        <f>IF(AND(B554=Werte!B554,LEFT(A554,5)=LEFT(Werte!A554,5)),Werte!D554,"not found")</f>
        <v>3.1135531135531101E-2</v>
      </c>
      <c r="L554" s="4">
        <f>IF(AND(B554=Werte!B554,LEFT(A554,5)=LEFT(Werte!A554,5)),Werte!E554,"not found")</f>
        <v>0.32558139534883701</v>
      </c>
      <c r="M554" s="4">
        <f>IF(AND(B554=Werte!B554,LEFT(A554,5)=LEFT(Werte!A554,5)),Werte!F554,"not found")</f>
        <v>0.156569428317231</v>
      </c>
      <c r="N554" s="4" t="str">
        <f t="shared" si="17"/>
        <v>vater</v>
      </c>
      <c r="O554" s="4" cm="1">
        <f t="array" ref="O554">_xlfn.SWITCH(A554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54" s="4" t="str">
        <f>IF(Nodes[[#This Row],[Bezeichnung2]] = "betrueger",1,"")</f>
        <v/>
      </c>
      <c r="Q554" s="4" t="str">
        <f>IF(Nodes[[#This Row],[Bezeichnung2]] = "betrogener",2,"")</f>
        <v/>
      </c>
      <c r="R554" s="4" t="str">
        <f>IF(Nodes[[#This Row],[Bezeichnung2]] = "liebender",3,"")</f>
        <v/>
      </c>
      <c r="S554" s="4" t="str">
        <f>IF(Nodes[[#This Row],[Bezeichnung2]] = "liebende",4,"")</f>
        <v/>
      </c>
      <c r="T554" s="4" t="str">
        <f>IF(Nodes[[#This Row],[Bezeichnung2]] = "gegenspieler",5,"")</f>
        <v/>
      </c>
    </row>
    <row r="555" spans="1:20" x14ac:dyDescent="0.3">
      <c r="A555" t="s">
        <v>531</v>
      </c>
      <c r="B555" t="s">
        <v>533</v>
      </c>
      <c r="C555" t="s">
        <v>18</v>
      </c>
      <c r="D555" t="s">
        <v>133</v>
      </c>
      <c r="E555" t="s">
        <v>47</v>
      </c>
      <c r="F555" t="s">
        <v>33</v>
      </c>
      <c r="G555" t="s">
        <v>26</v>
      </c>
      <c r="H555" t="str">
        <f t="shared" si="16"/>
        <v>buergerlich</v>
      </c>
      <c r="I555" t="str" cm="1">
        <f t="array" ref="I555">_xlfn.SWITCH(A555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55" s="4">
        <f>IF(AND(B555=Werte!B555,LEFT(A555,5)=LEFT(Werte!A555,5)),Werte!C555,"not found")</f>
        <v>0.71428571428571397</v>
      </c>
      <c r="K555" s="4">
        <f>IF(AND(B555=Werte!B555,LEFT(A555,5)=LEFT(Werte!A555,5)),Werte!D555,"not found")</f>
        <v>3.1135531135531101E-2</v>
      </c>
      <c r="L555" s="4">
        <f>IF(AND(B555=Werte!B555,LEFT(A555,5)=LEFT(Werte!A555,5)),Werte!E555,"not found")</f>
        <v>0.32558139534883701</v>
      </c>
      <c r="M555" s="4">
        <f>IF(AND(B555=Werte!B555,LEFT(A555,5)=LEFT(Werte!A555,5)),Werte!F555,"not found")</f>
        <v>0.18408291566361601</v>
      </c>
      <c r="N555" s="4" t="str">
        <f t="shared" si="17"/>
        <v>vater</v>
      </c>
      <c r="O555" s="4" cm="1">
        <f t="array" ref="O555">_xlfn.SWITCH(A555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55" s="4" t="str">
        <f>IF(Nodes[[#This Row],[Bezeichnung2]] = "betrueger",1,"")</f>
        <v/>
      </c>
      <c r="Q555" s="4" t="str">
        <f>IF(Nodes[[#This Row],[Bezeichnung2]] = "betrogener",2,"")</f>
        <v/>
      </c>
      <c r="R555" s="4" t="str">
        <f>IF(Nodes[[#This Row],[Bezeichnung2]] = "liebender",3,"")</f>
        <v/>
      </c>
      <c r="S555" s="4" t="str">
        <f>IF(Nodes[[#This Row],[Bezeichnung2]] = "liebende",4,"")</f>
        <v/>
      </c>
      <c r="T555" s="4" t="str">
        <f>IF(Nodes[[#This Row],[Bezeichnung2]] = "gegenspieler",5,"")</f>
        <v/>
      </c>
    </row>
    <row r="556" spans="1:20" x14ac:dyDescent="0.3">
      <c r="A556" t="s">
        <v>531</v>
      </c>
      <c r="B556" t="s">
        <v>534</v>
      </c>
      <c r="C556" t="s">
        <v>18</v>
      </c>
      <c r="D556" t="s">
        <v>133</v>
      </c>
      <c r="E556" t="s">
        <v>20</v>
      </c>
      <c r="F556" t="s">
        <v>21</v>
      </c>
      <c r="G556" t="s">
        <v>22</v>
      </c>
      <c r="H556" t="str">
        <f t="shared" si="16"/>
        <v>buergerlich</v>
      </c>
      <c r="I556" t="str" cm="1">
        <f t="array" ref="I556">_xlfn.SWITCH(A556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56" s="4">
        <f>IF(AND(B556=Werte!B556,LEFT(A556,5)=LEFT(Werte!A556,5)),Werte!C556,"not found")</f>
        <v>1.28571428571429</v>
      </c>
      <c r="K556" s="4">
        <f>IF(AND(B556=Werte!B556,LEFT(A556,5)=LEFT(Werte!A556,5)),Werte!D556,"not found")</f>
        <v>0.55311355311355304</v>
      </c>
      <c r="L556" s="4">
        <f>IF(AND(B556=Werte!B556,LEFT(A556,5)=LEFT(Werte!A556,5)),Werte!E556,"not found")</f>
        <v>0.51851851851851805</v>
      </c>
      <c r="M556" s="4">
        <f>IF(AND(B556=Werte!B556,LEFT(A556,5)=LEFT(Werte!A556,5)),Werte!F556,"not found")</f>
        <v>0.85061628254505495</v>
      </c>
      <c r="N556" s="4" t="str">
        <f t="shared" si="17"/>
        <v>ehemann</v>
      </c>
      <c r="O556" s="4" cm="1">
        <f t="array" ref="O556">_xlfn.SWITCH(A556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56" s="4" t="str">
        <f>IF(Nodes[[#This Row],[Bezeichnung2]] = "betrueger",1,"")</f>
        <v/>
      </c>
      <c r="Q556" s="4" t="str">
        <f>IF(Nodes[[#This Row],[Bezeichnung2]] = "betrogener",2,"")</f>
        <v/>
      </c>
      <c r="R556" s="4" t="str">
        <f>IF(Nodes[[#This Row],[Bezeichnung2]] = "liebender",3,"")</f>
        <v/>
      </c>
      <c r="S556" s="4" t="str">
        <f>IF(Nodes[[#This Row],[Bezeichnung2]] = "liebende",4,"")</f>
        <v/>
      </c>
      <c r="T556" s="4" t="str">
        <f>IF(Nodes[[#This Row],[Bezeichnung2]] = "gegenspieler",5,"")</f>
        <v/>
      </c>
    </row>
    <row r="557" spans="1:20" x14ac:dyDescent="0.3">
      <c r="A557" t="s">
        <v>531</v>
      </c>
      <c r="B557" t="s">
        <v>535</v>
      </c>
      <c r="C557" t="s">
        <v>24</v>
      </c>
      <c r="D557" t="s">
        <v>124</v>
      </c>
      <c r="E557" t="s">
        <v>20</v>
      </c>
      <c r="F557" t="s">
        <v>55</v>
      </c>
      <c r="G557" t="s">
        <v>22</v>
      </c>
      <c r="H557" t="str">
        <f t="shared" si="16"/>
        <v>buergerlich</v>
      </c>
      <c r="I557" t="str" cm="1">
        <f t="array" ref="I557">_xlfn.SWITCH(A557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57" s="4">
        <f>IF(AND(B557=Werte!B557,LEFT(A557,5)=LEFT(Werte!A557,5)),Werte!C557,"not found")</f>
        <v>1.5714285714285701</v>
      </c>
      <c r="K557" s="4">
        <f>IF(AND(B557=Werte!B557,LEFT(A557,5)=LEFT(Werte!A557,5)),Werte!D557,"not found")</f>
        <v>0.33516483516483497</v>
      </c>
      <c r="L557" s="4">
        <f>IF(AND(B557=Werte!B557,LEFT(A557,5)=LEFT(Werte!A557,5)),Werte!E557,"not found")</f>
        <v>0.42424242424242398</v>
      </c>
      <c r="M557" s="4">
        <f>IF(AND(B557=Werte!B557,LEFT(A557,5)=LEFT(Werte!A557,5)),Werte!F557,"not found")</f>
        <v>1</v>
      </c>
      <c r="N557" s="4" t="str">
        <f t="shared" si="17"/>
        <v>betrueger</v>
      </c>
      <c r="O557" s="4" cm="1">
        <f t="array" ref="O557">_xlfn.SWITCH(A557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57" s="4">
        <f>IF(Nodes[[#This Row],[Bezeichnung2]] = "betrueger",1,"")</f>
        <v>1</v>
      </c>
      <c r="Q557" s="4" t="str">
        <f>IF(Nodes[[#This Row],[Bezeichnung2]] = "betrogener",2,"")</f>
        <v/>
      </c>
      <c r="R557" s="4" t="str">
        <f>IF(Nodes[[#This Row],[Bezeichnung2]] = "liebender",3,"")</f>
        <v/>
      </c>
      <c r="S557" s="4" t="str">
        <f>IF(Nodes[[#This Row],[Bezeichnung2]] = "liebende",4,"")</f>
        <v/>
      </c>
      <c r="T557" s="4" t="str">
        <f>IF(Nodes[[#This Row],[Bezeichnung2]] = "gegenspieler",5,"")</f>
        <v/>
      </c>
    </row>
    <row r="558" spans="1:20" x14ac:dyDescent="0.3">
      <c r="A558" t="s">
        <v>531</v>
      </c>
      <c r="B558" t="s">
        <v>536</v>
      </c>
      <c r="C558" t="s">
        <v>24</v>
      </c>
      <c r="D558" t="s">
        <v>124</v>
      </c>
      <c r="E558" t="s">
        <v>47</v>
      </c>
      <c r="F558" t="s">
        <v>36</v>
      </c>
      <c r="G558" t="s">
        <v>26</v>
      </c>
      <c r="H558" t="str">
        <f t="shared" si="16"/>
        <v>buergerlich</v>
      </c>
      <c r="I558" t="str" cm="1">
        <f t="array" ref="I558">_xlfn.SWITCH(A558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58" s="4">
        <f>IF(AND(B558=Werte!B558,LEFT(A558,5)=LEFT(Werte!A558,5)),Werte!C558,"not found")</f>
        <v>0.28571428571428598</v>
      </c>
      <c r="K558" s="4">
        <f>IF(AND(B558=Werte!B558,LEFT(A558,5)=LEFT(Werte!A558,5)),Werte!D558,"not found")</f>
        <v>0</v>
      </c>
      <c r="L558" s="4">
        <f>IF(AND(B558=Werte!B558,LEFT(A558,5)=LEFT(Werte!A558,5)),Werte!E558,"not found")</f>
        <v>0.30434782608695699</v>
      </c>
      <c r="M558" s="4">
        <f>IF(AND(B558=Werte!B558,LEFT(A558,5)=LEFT(Werte!A558,5)),Werte!F558,"not found")</f>
        <v>4.9947428029942301E-2</v>
      </c>
      <c r="N558" s="4" t="str">
        <f t="shared" si="17"/>
        <v>mutter</v>
      </c>
      <c r="O558" s="4" cm="1">
        <f t="array" ref="O558">_xlfn.SWITCH(A558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58" s="4" t="str">
        <f>IF(Nodes[[#This Row],[Bezeichnung2]] = "betrueger",1,"")</f>
        <v/>
      </c>
      <c r="Q558" s="4" t="str">
        <f>IF(Nodes[[#This Row],[Bezeichnung2]] = "betrogener",2,"")</f>
        <v/>
      </c>
      <c r="R558" s="4" t="str">
        <f>IF(Nodes[[#This Row],[Bezeichnung2]] = "liebender",3,"")</f>
        <v/>
      </c>
      <c r="S558" s="4" t="str">
        <f>IF(Nodes[[#This Row],[Bezeichnung2]] = "liebende",4,"")</f>
        <v/>
      </c>
      <c r="T558" s="4" t="str">
        <f>IF(Nodes[[#This Row],[Bezeichnung2]] = "gegenspieler",5,"")</f>
        <v/>
      </c>
    </row>
    <row r="559" spans="1:20" x14ac:dyDescent="0.3">
      <c r="A559" t="s">
        <v>531</v>
      </c>
      <c r="B559" t="s">
        <v>537</v>
      </c>
      <c r="C559" t="s">
        <v>18</v>
      </c>
      <c r="D559" t="s">
        <v>101</v>
      </c>
      <c r="E559" t="s">
        <v>47</v>
      </c>
      <c r="F559" t="s">
        <v>93</v>
      </c>
      <c r="G559" t="s">
        <v>22</v>
      </c>
      <c r="H559" t="str">
        <f t="shared" si="16"/>
        <v>buergerlich</v>
      </c>
      <c r="I559" t="str" cm="1">
        <f t="array" ref="I559">_xlfn.SWITCH(A559,"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59" s="4">
        <f>IF(AND(B559=Werte!B559,LEFT(A559,5)=LEFT(Werte!A559,5)),Werte!C559,"not found")</f>
        <v>1</v>
      </c>
      <c r="K559" s="4">
        <f>IF(AND(B559=Werte!B559,LEFT(A559,5)=LEFT(Werte!A559,5)),Werte!D559,"not found")</f>
        <v>7.1428571428571397E-2</v>
      </c>
      <c r="L559" s="4">
        <f>IF(AND(B559=Werte!B559,LEFT(A559,5)=LEFT(Werte!A559,5)),Werte!E559,"not found")</f>
        <v>0.37837837837837801</v>
      </c>
      <c r="M559" s="4">
        <f>IF(AND(B559=Werte!B559,LEFT(A559,5)=LEFT(Werte!A559,5)),Werte!F559,"not found")</f>
        <v>0.89999606847065805</v>
      </c>
      <c r="N559" s="4" t="str">
        <f t="shared" si="17"/>
        <v>betrogener</v>
      </c>
      <c r="O559" s="4" cm="1">
        <f t="array" ref="O559">_xlfn.SWITCH(A559,"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59" s="4" t="str">
        <f>IF(Nodes[[#This Row],[Bezeichnung2]] = "betrueger",1,"")</f>
        <v/>
      </c>
      <c r="Q559" s="4">
        <f>IF(Nodes[[#This Row],[Bezeichnung2]] = "betrogener",2,"")</f>
        <v>2</v>
      </c>
      <c r="R559" s="4" t="str">
        <f>IF(Nodes[[#This Row],[Bezeichnung2]] = "liebender",3,"")</f>
        <v/>
      </c>
      <c r="S559" s="4" t="str">
        <f>IF(Nodes[[#This Row],[Bezeichnung2]] = "liebende",4,"")</f>
        <v/>
      </c>
      <c r="T559" s="4" t="str">
        <f>IF(Nodes[[#This Row],[Bezeichnung2]] = "gegenspieler",5,"")</f>
        <v/>
      </c>
    </row>
    <row r="560" spans="1:20" x14ac:dyDescent="0.3">
      <c r="A560" t="s">
        <v>531</v>
      </c>
      <c r="B560" t="s">
        <v>538</v>
      </c>
      <c r="C560" t="s">
        <v>18</v>
      </c>
      <c r="D560" t="s">
        <v>47</v>
      </c>
      <c r="E560" t="s">
        <v>47</v>
      </c>
      <c r="F560" t="s">
        <v>21</v>
      </c>
      <c r="G560" t="s">
        <v>26</v>
      </c>
      <c r="H560" t="str">
        <f t="shared" si="16"/>
        <v>unbekannt</v>
      </c>
      <c r="I560" t="str" cm="1">
        <f t="array" ref="I560">_xlfn.SWITCH(A560,"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60" s="4">
        <f>IF(AND(B560=Werte!B560,LEFT(A560,5)=LEFT(Werte!A560,5)),Werte!C560,"not found")</f>
        <v>0.57142857142857095</v>
      </c>
      <c r="K560" s="4">
        <f>IF(AND(B560=Werte!B560,LEFT(A560,5)=LEFT(Werte!A560,5)),Werte!D560,"not found")</f>
        <v>0.29120879120879101</v>
      </c>
      <c r="L560" s="4">
        <f>IF(AND(B560=Werte!B560,LEFT(A560,5)=LEFT(Werte!A560,5)),Werte!E560,"not found")</f>
        <v>0.41176470588235298</v>
      </c>
      <c r="M560" s="4">
        <f>IF(AND(B560=Werte!B560,LEFT(A560,5)=LEFT(Werte!A560,5)),Werte!F560,"not found")</f>
        <v>4.5688951793952E-2</v>
      </c>
      <c r="N560" s="4" t="str">
        <f t="shared" si="17"/>
        <v>ehemann</v>
      </c>
      <c r="O560" s="4" cm="1">
        <f t="array" ref="O560">_xlfn.SWITCH(A560,"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60" s="4" t="str">
        <f>IF(Nodes[[#This Row],[Bezeichnung2]] = "betrueger",1,"")</f>
        <v/>
      </c>
      <c r="Q560" s="4" t="str">
        <f>IF(Nodes[[#This Row],[Bezeichnung2]] = "betrogener",2,"")</f>
        <v/>
      </c>
      <c r="R560" s="4" t="str">
        <f>IF(Nodes[[#This Row],[Bezeichnung2]] = "liebender",3,"")</f>
        <v/>
      </c>
      <c r="S560" s="4" t="str">
        <f>IF(Nodes[[#This Row],[Bezeichnung2]] = "liebende",4,"")</f>
        <v/>
      </c>
      <c r="T560" s="4" t="str">
        <f>IF(Nodes[[#This Row],[Bezeichnung2]] = "gegenspieler",5,"")</f>
        <v/>
      </c>
    </row>
    <row r="561" spans="1:20" x14ac:dyDescent="0.3">
      <c r="A561" t="s">
        <v>531</v>
      </c>
      <c r="B561" t="s">
        <v>539</v>
      </c>
      <c r="C561" t="s">
        <v>18</v>
      </c>
      <c r="D561" t="s">
        <v>47</v>
      </c>
      <c r="E561" t="s">
        <v>47</v>
      </c>
      <c r="F561" t="s">
        <v>21</v>
      </c>
      <c r="G561" t="s">
        <v>26</v>
      </c>
      <c r="H561" t="str">
        <f t="shared" si="16"/>
        <v>unbekannt</v>
      </c>
      <c r="I561" t="str" cm="1">
        <f t="array" ref="I561">_xlfn.SWITCH(A561,"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61" s="4">
        <f>IF(AND(B561=Werte!B561,LEFT(A561,5)=LEFT(Werte!A561,5)),Werte!C561,"not found")</f>
        <v>0.28571428571428598</v>
      </c>
      <c r="K561" s="4">
        <f>IF(AND(B561=Werte!B561,LEFT(A561,5)=LEFT(Werte!A561,5)),Werte!D561,"not found")</f>
        <v>0</v>
      </c>
      <c r="L561" s="4">
        <f>IF(AND(B561=Werte!B561,LEFT(A561,5)=LEFT(Werte!A561,5)),Werte!E561,"not found")</f>
        <v>0.24137931034482801</v>
      </c>
      <c r="M561" s="4">
        <f>IF(AND(B561=Werte!B561,LEFT(A561,5)=LEFT(Werte!A561,5)),Werte!F561,"not found")</f>
        <v>2.4091536982672299E-3</v>
      </c>
      <c r="N561" s="4" t="str">
        <f t="shared" si="17"/>
        <v>ehemann</v>
      </c>
      <c r="O561" s="4" cm="1">
        <f t="array" ref="O561">_xlfn.SWITCH(A561,"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61" s="4" t="str">
        <f>IF(Nodes[[#This Row],[Bezeichnung2]] = "betrueger",1,"")</f>
        <v/>
      </c>
      <c r="Q561" s="4" t="str">
        <f>IF(Nodes[[#This Row],[Bezeichnung2]] = "betrogener",2,"")</f>
        <v/>
      </c>
      <c r="R561" s="4" t="str">
        <f>IF(Nodes[[#This Row],[Bezeichnung2]] = "liebender",3,"")</f>
        <v/>
      </c>
      <c r="S561" s="4" t="str">
        <f>IF(Nodes[[#This Row],[Bezeichnung2]] = "liebende",4,"")</f>
        <v/>
      </c>
      <c r="T561" s="4" t="str">
        <f>IF(Nodes[[#This Row],[Bezeichnung2]] = "gegenspieler",5,"")</f>
        <v/>
      </c>
    </row>
    <row r="562" spans="1:20" x14ac:dyDescent="0.3">
      <c r="A562" t="s">
        <v>531</v>
      </c>
      <c r="B562" t="s">
        <v>540</v>
      </c>
      <c r="C562" t="s">
        <v>18</v>
      </c>
      <c r="D562" t="s">
        <v>47</v>
      </c>
      <c r="E562" t="s">
        <v>47</v>
      </c>
      <c r="F562" t="s">
        <v>21</v>
      </c>
      <c r="G562" t="s">
        <v>26</v>
      </c>
      <c r="H562" t="str">
        <f t="shared" si="16"/>
        <v>unbekannt</v>
      </c>
      <c r="I562" t="str" cm="1">
        <f t="array" ref="I562">_xlfn.SWITCH(A562,"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62" s="4">
        <f>IF(AND(B562=Werte!B562,LEFT(A562,5)=LEFT(Werte!A562,5)),Werte!C562,"not found")</f>
        <v>0.28571428571428598</v>
      </c>
      <c r="K562" s="4">
        <f>IF(AND(B562=Werte!B562,LEFT(A562,5)=LEFT(Werte!A562,5)),Werte!D562,"not found")</f>
        <v>7.1428571428571397E-2</v>
      </c>
      <c r="L562" s="4">
        <f>IF(AND(B562=Werte!B562,LEFT(A562,5)=LEFT(Werte!A562,5)),Werte!E562,"not found")</f>
        <v>0.31111111111111101</v>
      </c>
      <c r="M562" s="4">
        <f>IF(AND(B562=Werte!B562,LEFT(A562,5)=LEFT(Werte!A562,5)),Werte!F562,"not found")</f>
        <v>1.25096772830853E-3</v>
      </c>
      <c r="N562" s="4" t="str">
        <f t="shared" si="17"/>
        <v>ehemann</v>
      </c>
      <c r="O562" s="4" cm="1">
        <f t="array" ref="O562">_xlfn.SWITCH(A562,"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62" s="4" t="str">
        <f>IF(Nodes[[#This Row],[Bezeichnung2]] = "betrueger",1,"")</f>
        <v/>
      </c>
      <c r="Q562" s="4" t="str">
        <f>IF(Nodes[[#This Row],[Bezeichnung2]] = "betrogener",2,"")</f>
        <v/>
      </c>
      <c r="R562" s="4" t="str">
        <f>IF(Nodes[[#This Row],[Bezeichnung2]] = "liebender",3,"")</f>
        <v/>
      </c>
      <c r="S562" s="4" t="str">
        <f>IF(Nodes[[#This Row],[Bezeichnung2]] = "liebende",4,"")</f>
        <v/>
      </c>
      <c r="T562" s="4" t="str">
        <f>IF(Nodes[[#This Row],[Bezeichnung2]] = "gegenspieler",5,"")</f>
        <v/>
      </c>
    </row>
    <row r="563" spans="1:20" x14ac:dyDescent="0.3">
      <c r="A563" t="s">
        <v>531</v>
      </c>
      <c r="B563" t="s">
        <v>205</v>
      </c>
      <c r="C563" t="s">
        <v>18</v>
      </c>
      <c r="D563" t="s">
        <v>47</v>
      </c>
      <c r="E563" t="s">
        <v>47</v>
      </c>
      <c r="F563" t="s">
        <v>104</v>
      </c>
      <c r="G563" t="s">
        <v>26</v>
      </c>
      <c r="H563" t="str">
        <f t="shared" si="16"/>
        <v>unbekannt</v>
      </c>
      <c r="I563" t="str" cm="1">
        <f t="array" ref="I563">_xlfn.SWITCH(A563,"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63" s="4">
        <f>IF(AND(B563=Werte!B563,LEFT(A563,5)=LEFT(Werte!A563,5)),Werte!C563,"not found")</f>
        <v>0.42857142857142899</v>
      </c>
      <c r="K563" s="4">
        <f>IF(AND(B563=Werte!B563,LEFT(A563,5)=LEFT(Werte!A563,5)),Werte!D563,"not found")</f>
        <v>0.305860805860806</v>
      </c>
      <c r="L563" s="4">
        <f>IF(AND(B563=Werte!B563,LEFT(A563,5)=LEFT(Werte!A563,5)),Werte!E563,"not found")</f>
        <v>0.46666666666666701</v>
      </c>
      <c r="M563" s="4">
        <f>IF(AND(B563=Werte!B563,LEFT(A563,5)=LEFT(Werte!A563,5)),Werte!F563,"not found")</f>
        <v>7.1539767502156806E-2</v>
      </c>
      <c r="N563" s="4" t="str">
        <f t="shared" si="17"/>
        <v>bote</v>
      </c>
      <c r="O563" s="4" cm="1">
        <f t="array" ref="O563">_xlfn.SWITCH(A563,"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63" s="4" t="str">
        <f>IF(Nodes[[#This Row],[Bezeichnung2]] = "betrueger",1,"")</f>
        <v/>
      </c>
      <c r="Q563" s="4" t="str">
        <f>IF(Nodes[[#This Row],[Bezeichnung2]] = "betrogener",2,"")</f>
        <v/>
      </c>
      <c r="R563" s="4" t="str">
        <f>IF(Nodes[[#This Row],[Bezeichnung2]] = "liebender",3,"")</f>
        <v/>
      </c>
      <c r="S563" s="4" t="str">
        <f>IF(Nodes[[#This Row],[Bezeichnung2]] = "liebende",4,"")</f>
        <v/>
      </c>
      <c r="T563" s="4" t="str">
        <f>IF(Nodes[[#This Row],[Bezeichnung2]] = "gegenspieler",5,"")</f>
        <v/>
      </c>
    </row>
    <row r="564" spans="1:20" x14ac:dyDescent="0.3">
      <c r="A564" t="s">
        <v>531</v>
      </c>
      <c r="B564" t="s">
        <v>541</v>
      </c>
      <c r="C564" t="s">
        <v>46</v>
      </c>
      <c r="D564" t="s">
        <v>47</v>
      </c>
      <c r="E564" t="s">
        <v>47</v>
      </c>
      <c r="F564" t="s">
        <v>47</v>
      </c>
      <c r="G564" t="s">
        <v>26</v>
      </c>
      <c r="H564" t="str">
        <f t="shared" si="16"/>
        <v>unbekannt</v>
      </c>
      <c r="I564" t="str" cm="1">
        <f t="array" ref="I564">_xlfn.SWITCH(A564,"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64" s="4">
        <f>IF(AND(B564=Werte!B564,LEFT(A564,5)=LEFT(Werte!A564,5)),Werte!C564,"not found")</f>
        <v>0.57142857142857095</v>
      </c>
      <c r="K564" s="4">
        <f>IF(AND(B564=Werte!B564,LEFT(A564,5)=LEFT(Werte!A564,5)),Werte!D564,"not found")</f>
        <v>0</v>
      </c>
      <c r="L564" s="4">
        <f>IF(AND(B564=Werte!B564,LEFT(A564,5)=LEFT(Werte!A564,5)),Werte!E564,"not found")</f>
        <v>0.35897435897435898</v>
      </c>
      <c r="M564" s="4">
        <f>IF(AND(B564=Werte!B564,LEFT(A564,5)=LEFT(Werte!A564,5)),Werte!F564,"not found")</f>
        <v>0.228192975816009</v>
      </c>
      <c r="N564" s="4" t="str">
        <f t="shared" si="17"/>
        <v>unbekannt</v>
      </c>
      <c r="O564" s="4" cm="1">
        <f t="array" ref="O564">_xlfn.SWITCH(A564,"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64" s="4" t="str">
        <f>IF(Nodes[[#This Row],[Bezeichnung2]] = "betrueger",1,"")</f>
        <v/>
      </c>
      <c r="Q564" s="4" t="str">
        <f>IF(Nodes[[#This Row],[Bezeichnung2]] = "betrogener",2,"")</f>
        <v/>
      </c>
      <c r="R564" s="4" t="str">
        <f>IF(Nodes[[#This Row],[Bezeichnung2]] = "liebender",3,"")</f>
        <v/>
      </c>
      <c r="S564" s="4" t="str">
        <f>IF(Nodes[[#This Row],[Bezeichnung2]] = "liebende",4,"")</f>
        <v/>
      </c>
      <c r="T564" s="4" t="str">
        <f>IF(Nodes[[#This Row],[Bezeichnung2]] = "gegenspieler",5,"")</f>
        <v/>
      </c>
    </row>
    <row r="565" spans="1:20" x14ac:dyDescent="0.3">
      <c r="A565" t="s">
        <v>531</v>
      </c>
      <c r="B565" t="s">
        <v>51</v>
      </c>
      <c r="C565" t="s">
        <v>46</v>
      </c>
      <c r="D565" t="s">
        <v>542</v>
      </c>
      <c r="E565" t="s">
        <v>47</v>
      </c>
      <c r="F565" t="s">
        <v>47</v>
      </c>
      <c r="G565" t="s">
        <v>26</v>
      </c>
      <c r="H565" t="str">
        <f t="shared" si="16"/>
        <v>buergerlich</v>
      </c>
      <c r="I565" t="str" cm="1">
        <f t="array" ref="I565">_xlfn.SWITCH(A565,"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65" s="4">
        <f>IF(AND(B565=Werte!B565,LEFT(A565,5)=LEFT(Werte!A565,5)),Werte!C565,"not found")</f>
        <v>0.57142857142857095</v>
      </c>
      <c r="K565" s="4">
        <f>IF(AND(B565=Werte!B565,LEFT(A565,5)=LEFT(Werte!A565,5)),Werte!D565,"not found")</f>
        <v>0</v>
      </c>
      <c r="L565" s="4">
        <f>IF(AND(B565=Werte!B565,LEFT(A565,5)=LEFT(Werte!A565,5)),Werte!E565,"not found")</f>
        <v>0.35897435897435898</v>
      </c>
      <c r="M565" s="4">
        <f>IF(AND(B565=Werte!B565,LEFT(A565,5)=LEFT(Werte!A565,5)),Werte!F565,"not found")</f>
        <v>0.223122903254032</v>
      </c>
      <c r="N565" s="4" t="str">
        <f t="shared" si="17"/>
        <v>unbekannt</v>
      </c>
      <c r="O565" s="4" cm="1">
        <f t="array" ref="O565">_xlfn.SWITCH(A565,"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65" s="4" t="str">
        <f>IF(Nodes[[#This Row],[Bezeichnung2]] = "betrueger",1,"")</f>
        <v/>
      </c>
      <c r="Q565" s="4" t="str">
        <f>IF(Nodes[[#This Row],[Bezeichnung2]] = "betrogener",2,"")</f>
        <v/>
      </c>
      <c r="R565" s="4" t="str">
        <f>IF(Nodes[[#This Row],[Bezeichnung2]] = "liebender",3,"")</f>
        <v/>
      </c>
      <c r="S565" s="4" t="str">
        <f>IF(Nodes[[#This Row],[Bezeichnung2]] = "liebende",4,"")</f>
        <v/>
      </c>
      <c r="T565" s="4" t="str">
        <f>IF(Nodes[[#This Row],[Bezeichnung2]] = "gegenspieler",5,"")</f>
        <v/>
      </c>
    </row>
    <row r="566" spans="1:20" x14ac:dyDescent="0.3">
      <c r="A566" t="s">
        <v>531</v>
      </c>
      <c r="B566" t="s">
        <v>543</v>
      </c>
      <c r="C566" t="s">
        <v>24</v>
      </c>
      <c r="D566" t="s">
        <v>129</v>
      </c>
      <c r="E566" t="s">
        <v>47</v>
      </c>
      <c r="F566" t="s">
        <v>53</v>
      </c>
      <c r="G566" t="s">
        <v>26</v>
      </c>
      <c r="H566" t="str">
        <f t="shared" si="16"/>
        <v>buergerlich</v>
      </c>
      <c r="I566" t="str" cm="1">
        <f t="array" ref="I566">_xlfn.SWITCH(A566,"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66" s="4">
        <f>IF(AND(B566=Werte!B566,LEFT(A566,5)=LEFT(Werte!A566,5)),Werte!C566,"not found")</f>
        <v>0.42857142857142899</v>
      </c>
      <c r="K566" s="4">
        <f>IF(AND(B566=Werte!B566,LEFT(A566,5)=LEFT(Werte!A566,5)),Werte!D566,"not found")</f>
        <v>0</v>
      </c>
      <c r="L566" s="4">
        <f>IF(AND(B566=Werte!B566,LEFT(A566,5)=LEFT(Werte!A566,5)),Werte!E566,"not found")</f>
        <v>0.35</v>
      </c>
      <c r="M566" s="4">
        <f>IF(AND(B566=Werte!B566,LEFT(A566,5)=LEFT(Werte!A566,5)),Werte!F566,"not found")</f>
        <v>0.55529958825589698</v>
      </c>
      <c r="N566" s="4" t="str">
        <f t="shared" si="17"/>
        <v>helfer</v>
      </c>
      <c r="O566" s="4" cm="1">
        <f t="array" ref="O566">_xlfn.SWITCH(A566,"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66" s="4" t="str">
        <f>IF(Nodes[[#This Row],[Bezeichnung2]] = "betrueger",1,"")</f>
        <v/>
      </c>
      <c r="Q566" s="4" t="str">
        <f>IF(Nodes[[#This Row],[Bezeichnung2]] = "betrogener",2,"")</f>
        <v/>
      </c>
      <c r="R566" s="4" t="str">
        <f>IF(Nodes[[#This Row],[Bezeichnung2]] = "liebender",3,"")</f>
        <v/>
      </c>
      <c r="S566" s="4" t="str">
        <f>IF(Nodes[[#This Row],[Bezeichnung2]] = "liebende",4,"")</f>
        <v/>
      </c>
      <c r="T566" s="4" t="str">
        <f>IF(Nodes[[#This Row],[Bezeichnung2]] = "gegenspieler",5,"")</f>
        <v/>
      </c>
    </row>
    <row r="567" spans="1:20" x14ac:dyDescent="0.3">
      <c r="A567" t="s">
        <v>531</v>
      </c>
      <c r="B567" t="s">
        <v>544</v>
      </c>
      <c r="C567" t="s">
        <v>24</v>
      </c>
      <c r="D567" t="s">
        <v>545</v>
      </c>
      <c r="E567" t="s">
        <v>47</v>
      </c>
      <c r="F567" t="s">
        <v>47</v>
      </c>
      <c r="G567" t="s">
        <v>26</v>
      </c>
      <c r="H567" t="str">
        <f t="shared" si="16"/>
        <v>buergerlich</v>
      </c>
      <c r="I567" t="str" cm="1">
        <f t="array" ref="I567">_xlfn.SWITCH(A567,"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67" s="4">
        <f>IF(AND(B567=Werte!B567,LEFT(A567,5)=LEFT(Werte!A567,5)),Werte!C567,"not found")</f>
        <v>0.28571428571428598</v>
      </c>
      <c r="K567" s="4">
        <f>IF(AND(B567=Werte!B567,LEFT(A567,5)=LEFT(Werte!A567,5)),Werte!D567,"not found")</f>
        <v>4.7619047619047603E-2</v>
      </c>
      <c r="L567" s="4">
        <f>IF(AND(B567=Werte!B567,LEFT(A567,5)=LEFT(Werte!A567,5)),Werte!E567,"not found")</f>
        <v>0.31818181818181801</v>
      </c>
      <c r="M567" s="4">
        <f>IF(AND(B567=Werte!B567,LEFT(A567,5)=LEFT(Werte!A567,5)),Werte!F567,"not found")</f>
        <v>3.0796421189111099E-2</v>
      </c>
      <c r="N567" s="4" t="str">
        <f t="shared" si="17"/>
        <v>unbekannt</v>
      </c>
      <c r="O567" s="4" cm="1">
        <f t="array" ref="O567">_xlfn.SWITCH(A567,"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67" s="4" t="str">
        <f>IF(Nodes[[#This Row],[Bezeichnung2]] = "betrueger",1,"")</f>
        <v/>
      </c>
      <c r="Q567" s="4" t="str">
        <f>IF(Nodes[[#This Row],[Bezeichnung2]] = "betrogener",2,"")</f>
        <v/>
      </c>
      <c r="R567" s="4" t="str">
        <f>IF(Nodes[[#This Row],[Bezeichnung2]] = "liebender",3,"")</f>
        <v/>
      </c>
      <c r="S567" s="4" t="str">
        <f>IF(Nodes[[#This Row],[Bezeichnung2]] = "liebende",4,"")</f>
        <v/>
      </c>
      <c r="T567" s="4" t="str">
        <f>IF(Nodes[[#This Row],[Bezeichnung2]] = "gegenspieler",5,"")</f>
        <v/>
      </c>
    </row>
    <row r="568" spans="1:20" x14ac:dyDescent="0.3">
      <c r="A568" t="s">
        <v>531</v>
      </c>
      <c r="B568" t="s">
        <v>546</v>
      </c>
      <c r="C568" t="s">
        <v>24</v>
      </c>
      <c r="D568" t="s">
        <v>124</v>
      </c>
      <c r="E568" t="s">
        <v>47</v>
      </c>
      <c r="F568" t="s">
        <v>25</v>
      </c>
      <c r="G568" t="s">
        <v>26</v>
      </c>
      <c r="H568" t="str">
        <f t="shared" si="16"/>
        <v>buergerlich</v>
      </c>
      <c r="I568" t="str" cm="1">
        <f t="array" ref="I568">_xlfn.SWITCH(A568,"Adam_und_Eva.csv","Unbekannt","Rittertreue.csv","Unbekannt","Unser_Frauen_Ritter_und_die_Jungfrau.csv","Unbekannt","Aristoteles_und_Phyllis.csv","Liebeskonstellation","Das_Haeselein.csv","Liebeskonstellation","Das_Raedlein.csv","Liebeskonstellation","Der_Schueler_zu_Paris.csv","Liebeskonstellation","Der_Sperber.csv","Liebeskonstellation","Die_halbe_Birn.csv","Liebeskonstellation","Die_Nachtigall.csv","Liebeskonstellation","Frauentreue.csv","Liebeskonstellation","Hero_und_Leander.csv","Liebeskonstellation","Alten_Weibes_List.csv","Unerotisches Verhältnis","Das_Gaenselein.csv","Unerotisches Verhältnis","Das_Nonnentunier.csv","Unerotisches Verhältnis","Das_Schraetel_und_der_Wasserbaer.csv","Unerotisches Verhältnis","Der_blossgestellte_Ritter.csv","Unerotisches Verhältnis","Der_falsche_Blinde.csv","Unerotisches Verhältnis","Der_Frauen_Turnei.csv","Unerotisches Verhältnis","Der_junge_Ratgeber.csv","Unerotisches Verhältnis","Der_nackte_Bote.csv","Unerotisches Verhältnis","Der_nackte_Koenig.csv","Unerotisches Verhältnis","Der_Raubritter_und_sein_Kaemmerer.csv","Unerotisches Verhältnis","Der_Richter_und_der_Teufel.csv","Unerotisches Verhältnis","Der_Schlaegel.csv","Unerotisches Verhältnis","Der_schwangere_Moench.csv","Unerotisches Verhältnis","Der_unbelehrbare_Zecher.csv","Unerotisches Verhältnis","Der_weiße_Rosendorn.csv","Unerotisches Verhältnis","Der_Welt_Lohn.csv","Unerotisches Verhältnis","Der_Weltheilige.csv","Unerotisches Verhältnis","Der_Wiener_Meerfahrt.csv","Unerotisches Verhältnis","Des_Bruders_Felix_Verzueckung.csv","Unerotisches Verhältnis","Die_alte_Mutter_und_Kaiser_Friedrich.csv","Unerotisches Verhältnis","Die_drei_Moenche_von_Kolmar.csv","Unerotisches Verhältnis","Die_halbe_Decke.csv","Unerotisches Verhältnis","Die_Katze_als_Nonne.csv","Unerotisches Verhältnis","Edelmann_und_Pferdehaendler.csv","Unerotisches Verhältnis","Heinrich_von_Kempten_und_des_Kaisers_Bart.csv","Unerotisches Verhältnis","Martinsfest.csv","Unerotisches Verhältnis","Thomas_von_Kandelberg.csv","Unerotisches Verhältnis","Turandot.csv","Unerotisches Verhältnis","Ehekonstellation")</f>
        <v>Ehekonstellation</v>
      </c>
      <c r="J568" s="4">
        <f>IF(AND(B568=Werte!B568,LEFT(A568,5)=LEFT(Werte!A568,5)),Werte!C568,"not found")</f>
        <v>0.28571428571428598</v>
      </c>
      <c r="K568" s="4">
        <f>IF(AND(B568=Werte!B568,LEFT(A568,5)=LEFT(Werte!A568,5)),Werte!D568,"not found")</f>
        <v>4.7619047619047603E-2</v>
      </c>
      <c r="L568" s="4">
        <f>IF(AND(B568=Werte!B568,LEFT(A568,5)=LEFT(Werte!A568,5)),Werte!E568,"not found")</f>
        <v>0.31818181818181801</v>
      </c>
      <c r="M568" s="4">
        <f>IF(AND(B568=Werte!B568,LEFT(A568,5)=LEFT(Werte!A568,5)),Werte!F568,"not found")</f>
        <v>3.0080831990507002E-2</v>
      </c>
      <c r="N568" s="4" t="str">
        <f t="shared" si="17"/>
        <v>ehefrau</v>
      </c>
      <c r="O568" s="4" cm="1">
        <f t="array" ref="O568">_xlfn.SWITCH(A568,"Adam_und_Eva.csv",4,"Rittertreue.csv",3,"Unser_Frauen_Ritter_und_die_Jungfrau.csv",4,"Aristoteles_und_Phyllis.csv",2,"Das_Haeselein.csv",1,"Das_Raedlein.csv",1,"Der_Schueler_zu_Paris.csv",2,"Der_Sperber.csv",1,"Die_halbe_Birn.csv",1,"Die_Nachtigall.csv",2,"Frauentreue.csv",2,"Hero_und_Leander.csv",2,"Alten_Weibes_List.csv",1,"Das_Gaenselein.csv",1,"Das_Nonnentunier.csv",4,"Das_Schraetel_und_der_Wasserbaer.csv",3,"Der_blossgestellte_Ritter.csv",1,"Der_falsche_Blinde.csv",1,"Der_Frauen_Turnei.csv",4,"Der_junge_Ratgeber.csv",1,"Der_nackte_Bote.csv",1,"Der_nackte_Koenig.csv",1,"Der_Raubritter_und_sein_Kaemmerer.csv",1,"Der_Richter_und_der_Teufel.csv",1,"Der_Schlaegel.csv",1,"Der_schwangere_Moench.csv",1,"Der_unbelehrbare_Zecher.csv",1,"Der_weiße_Rosendorn.csv",4,"Die_alte_Mutter_und_Kaiser_Friedrich.csv",1,"Die_drei_Moenche_von_Kolmar.csv",1,"Die_halbe_Decke.csv",1,"Die_Katze_als_Nonne.csv",4,"Edelmann_und_Pferdehaendler.csv",1,"Heinrich_von_Kempten_und_des_Kaisers_Bart.csv",3,"Martinsfest.csv",1,"Thomas_von_Kandelberg.csv",4,"Turandot.csv",1, "Berchta_mit_der_langen_Nase.csv",1, "Das_Auge.csv",1, "Das_heiße_Eisen.csv",1, "Das_Herz.csv",1, "Das_Schneekind.csv",1, "Das_warme_Almosen.csv",1, "Der_Bildschnitzer_von_Wuerzburg.csv",1, "Der_entlaufene_Hasenbraten.csv",1, "Der_Frauen_Trost.csv",1, "Drei_listige_Frauen.csv",1, "Herr_Friedrich_von_Auchenfurt.csv",2,"Der_Welt_Lohn.csv",4,"Des_Bruders_Felix_Verzueckung.csv",4,"Unser_Frauen_Ritter_und_die_Jungfrau.csv",4,1)</f>
        <v>1</v>
      </c>
      <c r="P568" s="4" t="str">
        <f>IF(Nodes[[#This Row],[Bezeichnung2]] = "betrueger",1,"")</f>
        <v/>
      </c>
      <c r="Q568" s="4" t="str">
        <f>IF(Nodes[[#This Row],[Bezeichnung2]] = "betrogener",2,"")</f>
        <v/>
      </c>
      <c r="R568" s="4" t="str">
        <f>IF(Nodes[[#This Row],[Bezeichnung2]] = "liebender",3,"")</f>
        <v/>
      </c>
      <c r="S568" s="4" t="str">
        <f>IF(Nodes[[#This Row],[Bezeichnung2]] = "liebende",4,"")</f>
        <v/>
      </c>
      <c r="T568" s="4" t="str">
        <f>IF(Nodes[[#This Row],[Bezeichnung2]] = "gegenspieler",5,"")</f>
        <v/>
      </c>
    </row>
    <row r="569" spans="1:20" x14ac:dyDescent="0.3">
      <c r="B569">
        <f>COUNTA(Nodes[Name])</f>
        <v>567</v>
      </c>
      <c r="I569" t="s">
        <v>704</v>
      </c>
      <c r="J569" s="4">
        <f>SUBTOTAL(101,Nodes[degree_centrality])</f>
        <v>1.0112031229367056</v>
      </c>
      <c r="K569" s="4">
        <f>SUBTOTAL(101,Nodes[betweenness_centrality])</f>
        <v>0.12765998692644917</v>
      </c>
      <c r="L569" s="4">
        <f>SUBTOTAL(101,Nodes[closeness_centrality])</f>
        <v>0.35223186090620551</v>
      </c>
      <c r="M569" s="4">
        <f>SUBTOTAL(101,Nodes[eigenvector_centrality])</f>
        <v>0.42111383642162159</v>
      </c>
      <c r="N569" s="4"/>
      <c r="P569" s="4">
        <f>SUBTOTAL(109,Nodes[Betrüger])</f>
        <v>75</v>
      </c>
      <c r="Q569" s="4">
        <f>SUBTOTAL(109,Nodes[Betrogener])</f>
        <v>128</v>
      </c>
      <c r="R569" s="4">
        <f>SUBTOTAL(109,Nodes[Liebender])</f>
        <v>21</v>
      </c>
      <c r="S569" s="4">
        <f>SUBTOTAL(109,Nodes[Liebende])</f>
        <v>20</v>
      </c>
      <c r="T569" s="4">
        <f>SUBTOTAL(109,Nodes[Gegenspieler])</f>
        <v>95</v>
      </c>
    </row>
    <row r="570" spans="1:20" x14ac:dyDescent="0.3">
      <c r="I570" t="s">
        <v>705</v>
      </c>
      <c r="J570" s="4">
        <f>AVERAGEIF(Nodes[Konstellation], "Ehekonstellation",Nodes[degree_centrality])</f>
        <v>1.0713170469075983</v>
      </c>
      <c r="K570" s="4">
        <f>AVERAGEIF(Nodes[Konstellation], "Ehekonstellation",Nodes[betweenness_centrality])</f>
        <v>0.13378685266148896</v>
      </c>
      <c r="L570" s="4">
        <f>AVERAGEIF(Nodes[Konstellation], "Ehekonstellation",Nodes[closeness_centrality])</f>
        <v>0.36397061418145926</v>
      </c>
      <c r="M570" s="4">
        <f>AVERAGEIF(Nodes[Konstellation], "Ehekonstellation",Nodes[eigenvector_centrality])</f>
        <v>0.43745091381076634</v>
      </c>
      <c r="N570" s="4"/>
    </row>
    <row r="571" spans="1:20" x14ac:dyDescent="0.3">
      <c r="A571" t="s">
        <v>736</v>
      </c>
      <c r="B571">
        <f>TTEST(J2:J198,J199:J254,2,2)</f>
        <v>0.60159204196291127</v>
      </c>
      <c r="C571" t="s">
        <v>735</v>
      </c>
      <c r="I571" t="s">
        <v>706</v>
      </c>
      <c r="J571" s="4">
        <f>AVERAGEIF(Nodes[Konstellation], "Liebeskonstellation",Nodes[degree_centrality])</f>
        <v>1.1553806462897374</v>
      </c>
      <c r="K571" s="4">
        <f>AVERAGEIF(Nodes[Konstellation], "Liebeskonstellation",Nodes[betweenness_centrality])</f>
        <v>0.14417187750521077</v>
      </c>
      <c r="L571" s="4">
        <f>AVERAGEIF(Nodes[Konstellation], "Liebeskonstellation",Nodes[closeness_centrality])</f>
        <v>0.36881921009067509</v>
      </c>
      <c r="M571" s="4">
        <f>AVERAGEIF(Nodes[Konstellation], "Liebeskonstellation",Nodes[eigenvector_centrality])</f>
        <v>0.41141616915073165</v>
      </c>
      <c r="N571" s="4"/>
    </row>
    <row r="572" spans="1:20" x14ac:dyDescent="0.3">
      <c r="A572" t="s">
        <v>737</v>
      </c>
      <c r="B572">
        <f>TTEST(J199:J254,J274:J568,2,2)</f>
        <v>0.86645813082766932</v>
      </c>
      <c r="I572" t="s">
        <v>707</v>
      </c>
      <c r="J572" s="4">
        <f>AVERAGEIF(Nodes[Konstellation], "Unerotisches Verhältnis",Nodes[degree_centrality])</f>
        <v>0.94286419580537217</v>
      </c>
      <c r="K572" s="4">
        <f>AVERAGEIF(Nodes[Konstellation], "Unerotisches Verhältnis",Nodes[betweenness_centrality])</f>
        <v>0.12056376903190628</v>
      </c>
      <c r="L572" s="4">
        <f>AVERAGEIF(Nodes[Konstellation], "Unerotisches Verhältnis",Nodes[closeness_centrality])</f>
        <v>0.33901094426364736</v>
      </c>
      <c r="M572" s="4">
        <f>AVERAGEIF(Nodes[Konstellation], "Unerotisches Verhältnis",Nodes[eigenvector_centrality])</f>
        <v>0.42242342720527315</v>
      </c>
      <c r="N572" s="4"/>
    </row>
    <row r="574" spans="1:20" x14ac:dyDescent="0.3">
      <c r="A574" t="s">
        <v>738</v>
      </c>
      <c r="B574">
        <f>STDEV(J2:J254)/SQRT(COUNT(J2:J254))</f>
        <v>4.3239610410808781E-2</v>
      </c>
      <c r="I574" t="s">
        <v>717</v>
      </c>
      <c r="J574" s="4">
        <f>AVERAGEIF(Nodes[Stand], "adel",Nodes[degree_centrality])</f>
        <v>1.0564781384307096</v>
      </c>
      <c r="K574" s="4">
        <f>AVERAGEIF(Nodes[Stand], "adel",Nodes[betweenness_centrality])</f>
        <v>0.12846499730680441</v>
      </c>
      <c r="L574" s="4">
        <f>AVERAGEIF(Nodes[Stand], "adel",Nodes[closeness_centrality])</f>
        <v>0.3605274137190041</v>
      </c>
      <c r="M574" s="4">
        <f>AVERAGEIF(Nodes[Stand], "adel",Nodes[eigenvector_centrality])</f>
        <v>0.47600025713304078</v>
      </c>
    </row>
    <row r="575" spans="1:20" x14ac:dyDescent="0.3">
      <c r="I575" t="s">
        <v>718</v>
      </c>
      <c r="J575" s="4">
        <f>AVERAGEIF(Nodes[Stand], "buergerlich",Nodes[degree_centrality])</f>
        <v>1.0114381650095943</v>
      </c>
      <c r="K575" s="4">
        <f>AVERAGEIF(Nodes[Stand], "buergerlich",Nodes[betweenness_centrality])</f>
        <v>0.14159338891050424</v>
      </c>
      <c r="L575" s="4">
        <f>AVERAGEIF(Nodes[Stand], "buergerlich",Nodes[closeness_centrality])</f>
        <v>0.36353373733632627</v>
      </c>
      <c r="M575" s="4">
        <f>AVERAGEIF(Nodes[Stand], "buergerlich",Nodes[eigenvector_centrality])</f>
        <v>0.41859918210548586</v>
      </c>
    </row>
    <row r="576" spans="1:20" x14ac:dyDescent="0.3">
      <c r="I576" t="s">
        <v>719</v>
      </c>
      <c r="J576" s="4">
        <f>AVERAGEIF(Nodes[Stand], "klerus",Nodes[degree_centrality])</f>
        <v>1.0043513957307055</v>
      </c>
      <c r="K576" s="4">
        <f>AVERAGEIF(Nodes[Stand], "klerus",Nodes[betweenness_centrality])</f>
        <v>0.12345374931581828</v>
      </c>
      <c r="L576" s="4">
        <f>AVERAGEIF(Nodes[Stand], "klerus",Nodes[closeness_centrality])</f>
        <v>0.35556038757384911</v>
      </c>
      <c r="M576" s="4">
        <f>AVERAGEIF(Nodes[Stand], "klerus",Nodes[eigenvector_centrality])</f>
        <v>0.3706479165109422</v>
      </c>
    </row>
    <row r="577" spans="9:13" x14ac:dyDescent="0.3">
      <c r="I577" t="s">
        <v>720</v>
      </c>
      <c r="J577" s="4">
        <f>AVERAGEIF(Nodes[Stand], "bauer",Nodes[degree_centrality])</f>
        <v>1.0547619047619046</v>
      </c>
      <c r="K577" s="4">
        <f>AVERAGEIF(Nodes[Stand], "bauer",Nodes[betweenness_centrality])</f>
        <v>8.4369488536155168E-2</v>
      </c>
      <c r="L577" s="4">
        <f>AVERAGEIF(Nodes[Stand], "bauer",Nodes[closeness_centrality])</f>
        <v>0.29645081822685637</v>
      </c>
      <c r="M577" s="4">
        <f>AVERAGEIF(Nodes[Stand], "bauer",Nodes[eigenvector_centrality])</f>
        <v>0.46265954828160211</v>
      </c>
    </row>
    <row r="578" spans="9:13" x14ac:dyDescent="0.3">
      <c r="I578" t="s">
        <v>721</v>
      </c>
      <c r="J578" s="4">
        <f>AVERAGEIF(Nodes[Stand], "NA",Nodes[degree_centrality])</f>
        <v>0.65553927553927527</v>
      </c>
      <c r="K578" s="4">
        <f>AVERAGEIF(Nodes[Stand], "NA",Nodes[betweenness_centrality])</f>
        <v>0.1112435095768429</v>
      </c>
      <c r="L578" s="4">
        <f>AVERAGEIF(Nodes[Stand], "NA",Nodes[closeness_centrality])</f>
        <v>0.19516258023781957</v>
      </c>
      <c r="M578" s="4">
        <f>AVERAGEIF(Nodes[Stand], "NA",Nodes[eigenvector_centrality])</f>
        <v>0.3307837177668394</v>
      </c>
    </row>
    <row r="579" spans="9:13" x14ac:dyDescent="0.3">
      <c r="I579" t="s">
        <v>722</v>
      </c>
      <c r="J579" s="4">
        <f>AVERAGEIF(Nodes[Stand], "unbekannt",Nodes[degree_centrality])</f>
        <v>0.98775127737391821</v>
      </c>
      <c r="K579" s="4">
        <f>AVERAGEIF(Nodes[Stand], "unbekannt",Nodes[betweenness_centrality])</f>
        <v>0.12363528428523646</v>
      </c>
      <c r="L579" s="4">
        <f>AVERAGEIF(Nodes[Stand], "unbekannt",Nodes[closeness_centrality])</f>
        <v>0.35322907105771828</v>
      </c>
      <c r="M579" s="4">
        <f>AVERAGEIF(Nodes[Stand], "unbekannt",Nodes[eigenvector_centrality])</f>
        <v>0.37940121006384703</v>
      </c>
    </row>
    <row r="581" spans="9:13" x14ac:dyDescent="0.3">
      <c r="I581" t="s">
        <v>725</v>
      </c>
      <c r="J581" s="4">
        <f>AVERAGEIF(Nodes[Geschlecht], "maennlich",Nodes[degree_centrality])</f>
        <v>1.0651446184534423</v>
      </c>
      <c r="K581" s="4">
        <f>AVERAGEIF(Nodes[Geschlecht], "maennlich",Nodes[betweenness_centrality])</f>
        <v>0.14191787718701873</v>
      </c>
      <c r="L581" s="4">
        <f>AVERAGEIF(Nodes[Geschlecht], "maennlich",Nodes[closeness_centrality])</f>
        <v>0.34937074679436719</v>
      </c>
      <c r="M581" s="4">
        <f>AVERAGEIF(Nodes[Geschlecht], "maennlich",Nodes[eigenvector_centrality])</f>
        <v>0.44739550679606294</v>
      </c>
    </row>
    <row r="582" spans="9:13" x14ac:dyDescent="0.3">
      <c r="I582" t="s">
        <v>726</v>
      </c>
      <c r="J582" s="4">
        <f>AVERAGEIF(Nodes[Geschlecht], "weiblich",Nodes[degree_centrality])</f>
        <v>1.0130036085918435</v>
      </c>
      <c r="K582" s="4">
        <f>AVERAGEIF(Nodes[Geschlecht], "weiblich",Nodes[betweenness_centrality])</f>
        <v>0.10376238260654404</v>
      </c>
      <c r="L582" s="4">
        <f>AVERAGEIF(Nodes[Geschlecht], "weiblich",Nodes[closeness_centrality])</f>
        <v>0.34323585543171437</v>
      </c>
      <c r="M582" s="4">
        <f>AVERAGEIF(Nodes[Geschlecht], "weiblich",Nodes[eigenvector_centrality])</f>
        <v>0.46759681818066456</v>
      </c>
    </row>
    <row r="583" spans="9:13" x14ac:dyDescent="0.3">
      <c r="I583" t="s">
        <v>727</v>
      </c>
      <c r="J583" s="4">
        <f>AVERAGEIF(Nodes[Geschlecht], "gruppe",Nodes[degree_centrality])</f>
        <v>0.87717133915276257</v>
      </c>
      <c r="K583" s="4">
        <f>AVERAGEIF(Nodes[Geschlecht], "gruppe",Nodes[betweenness_centrality])</f>
        <v>0.12164902787707003</v>
      </c>
      <c r="L583" s="4">
        <f>AVERAGEIF(Nodes[Geschlecht], "gruppe",Nodes[closeness_centrality])</f>
        <v>0.38527597000060565</v>
      </c>
      <c r="M583" s="4">
        <f>AVERAGEIF(Nodes[Geschlecht], "gruppe",Nodes[eigenvector_centrality])</f>
        <v>0.26407334942874977</v>
      </c>
    </row>
    <row r="585" spans="9:13" x14ac:dyDescent="0.3">
      <c r="I585" t="s">
        <v>728</v>
      </c>
      <c r="J585" s="4">
        <f>AVERAGEIF(Nodes[Bezeichnung2], "betrueger",Nodes[degree_centrality])</f>
        <v>1.5753766973766972</v>
      </c>
      <c r="K585" s="4">
        <f>AVERAGEIF(Nodes[Bezeichnung2], "betrueger",Nodes[betweenness_centrality])</f>
        <v>0.20295409401387662</v>
      </c>
      <c r="L585" s="4">
        <f>AVERAGEIF(Nodes[Bezeichnung2], "betrueger",Nodes[closeness_centrality])</f>
        <v>0.375021073963761</v>
      </c>
      <c r="M585" s="4">
        <f>AVERAGEIF(Nodes[Bezeichnung2], "betrueger",Nodes[eigenvector_centrality])</f>
        <v>0.81455622775500824</v>
      </c>
    </row>
    <row r="586" spans="9:13" x14ac:dyDescent="0.3">
      <c r="I586" t="s">
        <v>729</v>
      </c>
      <c r="J586" s="4">
        <f>AVERAGEIF(Nodes[Bezeichnung2], "betrogener",Nodes[degree_centrality])</f>
        <v>1.5601190476190476</v>
      </c>
      <c r="K586" s="4">
        <f>AVERAGEIF(Nodes[Bezeichnung2], "betrogener",Nodes[betweenness_centrality])</f>
        <v>0.13854269362506455</v>
      </c>
      <c r="L586" s="4">
        <f>AVERAGEIF(Nodes[Bezeichnung2], "betrogener",Nodes[closeness_centrality])</f>
        <v>0.36081067679496365</v>
      </c>
      <c r="M586" s="4">
        <f>AVERAGEIF(Nodes[Bezeichnung2], "betrogener",Nodes[eigenvector_centrality])</f>
        <v>0.80654255030568645</v>
      </c>
    </row>
    <row r="587" spans="9:13" x14ac:dyDescent="0.3">
      <c r="I587" t="s">
        <v>730</v>
      </c>
      <c r="J587" s="4">
        <f>AVERAGEIF(Nodes[Bezeichnung2], "helfer",Nodes[degree_centrality])</f>
        <v>0.95432016450115975</v>
      </c>
      <c r="K587" s="4">
        <f>AVERAGEIF(Nodes[Bezeichnung2], "helfer",Nodes[betweenness_centrality])</f>
        <v>8.8193055478123339E-2</v>
      </c>
      <c r="L587" s="4">
        <f>AVERAGEIF(Nodes[Bezeichnung2], "helfer",Nodes[closeness_centrality])</f>
        <v>0.30648637440139959</v>
      </c>
      <c r="M587" s="4">
        <f>AVERAGEIF(Nodes[Bezeichnung2], "helfer",Nodes[eigenvector_centrality])</f>
        <v>0.44862966387964287</v>
      </c>
    </row>
    <row r="588" spans="9:13" x14ac:dyDescent="0.3">
      <c r="I588" t="s">
        <v>731</v>
      </c>
      <c r="J588" s="4">
        <f>AVERAGEIF(Nodes[Bezeichnung2], "bote",Nodes[degree_centrality])</f>
        <v>0.76573498964803333</v>
      </c>
      <c r="K588" s="4">
        <f>AVERAGEIF(Nodes[Bezeichnung2], "bote",Nodes[betweenness_centrality])</f>
        <v>0.20422634496358505</v>
      </c>
      <c r="L588" s="4">
        <f>AVERAGEIF(Nodes[Bezeichnung2], "bote",Nodes[closeness_centrality])</f>
        <v>0.39521845193983041</v>
      </c>
      <c r="M588" s="4">
        <f>AVERAGEIF(Nodes[Bezeichnung2], "bote",Nodes[eigenvector_centrality])</f>
        <v>0.16595738589555911</v>
      </c>
    </row>
    <row r="589" spans="9:13" x14ac:dyDescent="0.3">
      <c r="J589" s="4"/>
      <c r="K589" s="4"/>
      <c r="L589" s="4"/>
      <c r="M589" s="4"/>
    </row>
    <row r="590" spans="9:13" x14ac:dyDescent="0.3">
      <c r="J590" s="4"/>
      <c r="K590" s="4"/>
      <c r="L590" s="4"/>
      <c r="M590" s="4"/>
    </row>
  </sheetData>
  <phoneticPr fontId="23" type="noConversion"/>
  <pageMargins left="0.7" right="0.7" top="0.78740157499999996" bottom="0.78740157499999996" header="0.3" footer="0.3"/>
  <pageSetup paperSize="9" orientation="portrait" r:id="rId1"/>
  <tableParts count="1">
    <tablePart r:id="rId2"/>
  </tableParts>
  <extLst>
    <ext xmlns:x14="http://schemas.microsoft.com/office/spreadsheetml/2009/9/main" uri="{05C60535-1F16-4fd2-B633-F4F36F0B64E0}">
      <x14:sparklineGroups xmlns:xm="http://schemas.microsoft.com/office/excel/2006/main">
        <x14:sparklineGroup displayEmptyCellsAs="span" xr2:uid="{B8ECEB20-F53C-4DF1-9826-F29B4B489E66}">
          <x14:colorSeries rgb="FF376092"/>
          <x14:colorNegative rgb="FFD00000"/>
          <x14:colorAxis rgb="FF000000"/>
          <x14:colorMarkers rgb="FFD00000"/>
          <x14:colorFirst rgb="FFD00000"/>
          <x14:colorLast rgb="FFD00000"/>
          <x14:colorHigh rgb="FFD00000"/>
          <x14:colorLow rgb="FFD00000"/>
          <x14:sparklines>
            <x14:sparkline>
              <xm:f>Figuren!J2:J2</xm:f>
              <xm:sqref>K2</xm:sqref>
            </x14:sparkline>
            <x14:sparkline>
              <xm:f>Figuren!J3:J3</xm:f>
              <xm:sqref>K3</xm:sqref>
            </x14:sparkline>
            <x14:sparkline>
              <xm:f>Figuren!J4:J4</xm:f>
              <xm:sqref>K4</xm:sqref>
            </x14:sparkline>
            <x14:sparkline>
              <xm:f>Figuren!J5:J5</xm:f>
              <xm:sqref>K5</xm:sqref>
            </x14:sparkline>
            <x14:sparkline>
              <xm:f>Figuren!J6:J6</xm:f>
              <xm:sqref>K6</xm:sqref>
            </x14:sparkline>
            <x14:sparkline>
              <xm:f>Figuren!J7:J7</xm:f>
              <xm:sqref>K7</xm:sqref>
            </x14:sparkline>
            <x14:sparkline>
              <xm:f>Figuren!J8:J8</xm:f>
              <xm:sqref>K8</xm:sqref>
            </x14:sparkline>
            <x14:sparkline>
              <xm:f>Figuren!J9:J9</xm:f>
              <xm:sqref>K9</xm:sqref>
            </x14:sparkline>
            <x14:sparkline>
              <xm:f>Figuren!J10:J10</xm:f>
              <xm:sqref>K10</xm:sqref>
            </x14:sparkline>
            <x14:sparkline>
              <xm:f>Figuren!J11:J11</xm:f>
              <xm:sqref>K11</xm:sqref>
            </x14:sparkline>
            <x14:sparkline>
              <xm:f>Figuren!J12:J12</xm:f>
              <xm:sqref>K12</xm:sqref>
            </x14:sparkline>
            <x14:sparkline>
              <xm:f>Figuren!J13:J13</xm:f>
              <xm:sqref>K13</xm:sqref>
            </x14:sparkline>
            <x14:sparkline>
              <xm:f>Figuren!J14:J14</xm:f>
              <xm:sqref>K14</xm:sqref>
            </x14:sparkline>
            <x14:sparkline>
              <xm:f>Figuren!J15:J15</xm:f>
              <xm:sqref>K15</xm:sqref>
            </x14:sparkline>
            <x14:sparkline>
              <xm:f>Figuren!J16:J16</xm:f>
              <xm:sqref>K16</xm:sqref>
            </x14:sparkline>
            <x14:sparkline>
              <xm:f>Figuren!J17:J17</xm:f>
              <xm:sqref>K17</xm:sqref>
            </x14:sparkline>
            <x14:sparkline>
              <xm:f>Figuren!J18:J18</xm:f>
              <xm:sqref>K18</xm:sqref>
            </x14:sparkline>
            <x14:sparkline>
              <xm:f>Figuren!J19:J19</xm:f>
              <xm:sqref>K19</xm:sqref>
            </x14:sparkline>
            <x14:sparkline>
              <xm:f>Figuren!J20:J20</xm:f>
              <xm:sqref>K20</xm:sqref>
            </x14:sparkline>
            <x14:sparkline>
              <xm:f>Figuren!J21:J21</xm:f>
              <xm:sqref>K21</xm:sqref>
            </x14:sparkline>
            <x14:sparkline>
              <xm:f>Figuren!J22:J22</xm:f>
              <xm:sqref>K22</xm:sqref>
            </x14:sparkline>
            <x14:sparkline>
              <xm:f>Figuren!J23:J23</xm:f>
              <xm:sqref>K23</xm:sqref>
            </x14:sparkline>
            <x14:sparkline>
              <xm:f>Figuren!J24:J24</xm:f>
              <xm:sqref>K24</xm:sqref>
            </x14:sparkline>
            <x14:sparkline>
              <xm:f>Figuren!J25:J25</xm:f>
              <xm:sqref>K25</xm:sqref>
            </x14:sparkline>
            <x14:sparkline>
              <xm:f>Figuren!J26:J26</xm:f>
              <xm:sqref>K26</xm:sqref>
            </x14:sparkline>
            <x14:sparkline>
              <xm:f>Figuren!J27:J27</xm:f>
              <xm:sqref>K27</xm:sqref>
            </x14:sparkline>
            <x14:sparkline>
              <xm:f>Figuren!J28:J28</xm:f>
              <xm:sqref>K28</xm:sqref>
            </x14:sparkline>
            <x14:sparkline>
              <xm:f>Figuren!J29:J29</xm:f>
              <xm:sqref>K29</xm:sqref>
            </x14:sparkline>
            <x14:sparkline>
              <xm:f>Figuren!J30:J30</xm:f>
              <xm:sqref>K30</xm:sqref>
            </x14:sparkline>
            <x14:sparkline>
              <xm:f>Figuren!J31:J31</xm:f>
              <xm:sqref>K31</xm:sqref>
            </x14:sparkline>
            <x14:sparkline>
              <xm:f>Figuren!J32:J32</xm:f>
              <xm:sqref>K32</xm:sqref>
            </x14:sparkline>
            <x14:sparkline>
              <xm:f>Figuren!J33:J33</xm:f>
              <xm:sqref>K33</xm:sqref>
            </x14:sparkline>
            <x14:sparkline>
              <xm:f>Figuren!J34:J34</xm:f>
              <xm:sqref>K34</xm:sqref>
            </x14:sparkline>
            <x14:sparkline>
              <xm:f>Figuren!J35:J35</xm:f>
              <xm:sqref>K35</xm:sqref>
            </x14:sparkline>
            <x14:sparkline>
              <xm:f>Figuren!J36:J36</xm:f>
              <xm:sqref>K36</xm:sqref>
            </x14:sparkline>
            <x14:sparkline>
              <xm:f>Figuren!J37:J37</xm:f>
              <xm:sqref>K37</xm:sqref>
            </x14:sparkline>
            <x14:sparkline>
              <xm:f>Figuren!J38:J38</xm:f>
              <xm:sqref>K38</xm:sqref>
            </x14:sparkline>
            <x14:sparkline>
              <xm:f>Figuren!J39:J39</xm:f>
              <xm:sqref>K39</xm:sqref>
            </x14:sparkline>
            <x14:sparkline>
              <xm:f>Figuren!J40:J40</xm:f>
              <xm:sqref>K40</xm:sqref>
            </x14:sparkline>
            <x14:sparkline>
              <xm:f>Figuren!J41:J41</xm:f>
              <xm:sqref>K41</xm:sqref>
            </x14:sparkline>
            <x14:sparkline>
              <xm:f>Figuren!J42:J42</xm:f>
              <xm:sqref>K42</xm:sqref>
            </x14:sparkline>
            <x14:sparkline>
              <xm:f>Figuren!J43:J43</xm:f>
              <xm:sqref>K43</xm:sqref>
            </x14:sparkline>
            <x14:sparkline>
              <xm:f>Figuren!J44:J44</xm:f>
              <xm:sqref>K44</xm:sqref>
            </x14:sparkline>
            <x14:sparkline>
              <xm:f>Figuren!J45:J45</xm:f>
              <xm:sqref>K45</xm:sqref>
            </x14:sparkline>
            <x14:sparkline>
              <xm:f>Figuren!J46:J46</xm:f>
              <xm:sqref>K46</xm:sqref>
            </x14:sparkline>
            <x14:sparkline>
              <xm:f>Figuren!J47:J47</xm:f>
              <xm:sqref>K47</xm:sqref>
            </x14:sparkline>
            <x14:sparkline>
              <xm:f>Figuren!J48:J48</xm:f>
              <xm:sqref>K48</xm:sqref>
            </x14:sparkline>
            <x14:sparkline>
              <xm:f>Figuren!J49:J49</xm:f>
              <xm:sqref>K49</xm:sqref>
            </x14:sparkline>
            <x14:sparkline>
              <xm:f>Figuren!J50:J50</xm:f>
              <xm:sqref>K50</xm:sqref>
            </x14:sparkline>
            <x14:sparkline>
              <xm:f>Figuren!J51:J51</xm:f>
              <xm:sqref>K51</xm:sqref>
            </x14:sparkline>
            <x14:sparkline>
              <xm:f>Figuren!J52:J52</xm:f>
              <xm:sqref>K52</xm:sqref>
            </x14:sparkline>
            <x14:sparkline>
              <xm:f>Figuren!J53:J53</xm:f>
              <xm:sqref>K53</xm:sqref>
            </x14:sparkline>
            <x14:sparkline>
              <xm:f>Figuren!J54:J54</xm:f>
              <xm:sqref>K54</xm:sqref>
            </x14:sparkline>
            <x14:sparkline>
              <xm:f>Figuren!J55:J55</xm:f>
              <xm:sqref>K55</xm:sqref>
            </x14:sparkline>
            <x14:sparkline>
              <xm:f>Figuren!J56:J56</xm:f>
              <xm:sqref>K56</xm:sqref>
            </x14:sparkline>
            <x14:sparkline>
              <xm:f>Figuren!J57:J57</xm:f>
              <xm:sqref>K57</xm:sqref>
            </x14:sparkline>
            <x14:sparkline>
              <xm:f>Figuren!J58:J58</xm:f>
              <xm:sqref>K58</xm:sqref>
            </x14:sparkline>
            <x14:sparkline>
              <xm:f>Figuren!J59:J59</xm:f>
              <xm:sqref>K59</xm:sqref>
            </x14:sparkline>
            <x14:sparkline>
              <xm:f>Figuren!J60:J60</xm:f>
              <xm:sqref>K60</xm:sqref>
            </x14:sparkline>
            <x14:sparkline>
              <xm:f>Figuren!J61:J61</xm:f>
              <xm:sqref>K61</xm:sqref>
            </x14:sparkline>
            <x14:sparkline>
              <xm:f>Figuren!J62:J62</xm:f>
              <xm:sqref>K62</xm:sqref>
            </x14:sparkline>
            <x14:sparkline>
              <xm:f>Figuren!J63:J63</xm:f>
              <xm:sqref>K63</xm:sqref>
            </x14:sparkline>
            <x14:sparkline>
              <xm:f>Figuren!J64:J64</xm:f>
              <xm:sqref>K64</xm:sqref>
            </x14:sparkline>
            <x14:sparkline>
              <xm:f>Figuren!J65:J65</xm:f>
              <xm:sqref>K65</xm:sqref>
            </x14:sparkline>
            <x14:sparkline>
              <xm:f>Figuren!J66:J66</xm:f>
              <xm:sqref>K66</xm:sqref>
            </x14:sparkline>
            <x14:sparkline>
              <xm:f>Figuren!J67:J67</xm:f>
              <xm:sqref>K67</xm:sqref>
            </x14:sparkline>
            <x14:sparkline>
              <xm:f>Figuren!J68:J68</xm:f>
              <xm:sqref>K68</xm:sqref>
            </x14:sparkline>
            <x14:sparkline>
              <xm:f>Figuren!J69:J69</xm:f>
              <xm:sqref>K69</xm:sqref>
            </x14:sparkline>
            <x14:sparkline>
              <xm:f>Figuren!J70:J70</xm:f>
              <xm:sqref>K70</xm:sqref>
            </x14:sparkline>
            <x14:sparkline>
              <xm:f>Figuren!J71:J71</xm:f>
              <xm:sqref>K71</xm:sqref>
            </x14:sparkline>
            <x14:sparkline>
              <xm:f>Figuren!J72:J72</xm:f>
              <xm:sqref>K72</xm:sqref>
            </x14:sparkline>
            <x14:sparkline>
              <xm:f>Figuren!J73:J73</xm:f>
              <xm:sqref>K73</xm:sqref>
            </x14:sparkline>
            <x14:sparkline>
              <xm:f>Figuren!J74:J74</xm:f>
              <xm:sqref>K74</xm:sqref>
            </x14:sparkline>
            <x14:sparkline>
              <xm:f>Figuren!J75:J75</xm:f>
              <xm:sqref>K75</xm:sqref>
            </x14:sparkline>
            <x14:sparkline>
              <xm:f>Figuren!J76:J76</xm:f>
              <xm:sqref>K76</xm:sqref>
            </x14:sparkline>
            <x14:sparkline>
              <xm:f>Figuren!J77:J77</xm:f>
              <xm:sqref>K77</xm:sqref>
            </x14:sparkline>
            <x14:sparkline>
              <xm:f>Figuren!J78:J78</xm:f>
              <xm:sqref>K78</xm:sqref>
            </x14:sparkline>
            <x14:sparkline>
              <xm:f>Figuren!J79:J79</xm:f>
              <xm:sqref>K79</xm:sqref>
            </x14:sparkline>
            <x14:sparkline>
              <xm:f>Figuren!J80:J80</xm:f>
              <xm:sqref>K80</xm:sqref>
            </x14:sparkline>
            <x14:sparkline>
              <xm:f>Figuren!J81:J81</xm:f>
              <xm:sqref>K81</xm:sqref>
            </x14:sparkline>
            <x14:sparkline>
              <xm:f>Figuren!J82:J82</xm:f>
              <xm:sqref>K82</xm:sqref>
            </x14:sparkline>
            <x14:sparkline>
              <xm:f>Figuren!J83:J83</xm:f>
              <xm:sqref>K83</xm:sqref>
            </x14:sparkline>
            <x14:sparkline>
              <xm:f>Figuren!J84:J84</xm:f>
              <xm:sqref>K84</xm:sqref>
            </x14:sparkline>
            <x14:sparkline>
              <xm:f>Figuren!J85:J85</xm:f>
              <xm:sqref>K85</xm:sqref>
            </x14:sparkline>
            <x14:sparkline>
              <xm:f>Figuren!J86:J86</xm:f>
              <xm:sqref>K86</xm:sqref>
            </x14:sparkline>
            <x14:sparkline>
              <xm:f>Figuren!J87:J87</xm:f>
              <xm:sqref>K87</xm:sqref>
            </x14:sparkline>
            <x14:sparkline>
              <xm:f>Figuren!J88:J88</xm:f>
              <xm:sqref>K88</xm:sqref>
            </x14:sparkline>
            <x14:sparkline>
              <xm:f>Figuren!J89:J89</xm:f>
              <xm:sqref>K89</xm:sqref>
            </x14:sparkline>
            <x14:sparkline>
              <xm:f>Figuren!J90:J90</xm:f>
              <xm:sqref>K90</xm:sqref>
            </x14:sparkline>
            <x14:sparkline>
              <xm:f>Figuren!J91:J91</xm:f>
              <xm:sqref>K91</xm:sqref>
            </x14:sparkline>
            <x14:sparkline>
              <xm:f>Figuren!J92:J92</xm:f>
              <xm:sqref>K92</xm:sqref>
            </x14:sparkline>
            <x14:sparkline>
              <xm:f>Figuren!J93:J93</xm:f>
              <xm:sqref>K93</xm:sqref>
            </x14:sparkline>
            <x14:sparkline>
              <xm:f>Figuren!J94:J94</xm:f>
              <xm:sqref>K94</xm:sqref>
            </x14:sparkline>
            <x14:sparkline>
              <xm:f>Figuren!J95:J95</xm:f>
              <xm:sqref>K95</xm:sqref>
            </x14:sparkline>
            <x14:sparkline>
              <xm:f>Figuren!J96:J96</xm:f>
              <xm:sqref>K96</xm:sqref>
            </x14:sparkline>
            <x14:sparkline>
              <xm:f>Figuren!J97:J97</xm:f>
              <xm:sqref>K97</xm:sqref>
            </x14:sparkline>
            <x14:sparkline>
              <xm:f>Figuren!J98:J98</xm:f>
              <xm:sqref>K98</xm:sqref>
            </x14:sparkline>
            <x14:sparkline>
              <xm:f>Figuren!J99:J99</xm:f>
              <xm:sqref>K99</xm:sqref>
            </x14:sparkline>
            <x14:sparkline>
              <xm:f>Figuren!J100:J100</xm:f>
              <xm:sqref>K100</xm:sqref>
            </x14:sparkline>
            <x14:sparkline>
              <xm:f>Figuren!J101:J101</xm:f>
              <xm:sqref>K101</xm:sqref>
            </x14:sparkline>
            <x14:sparkline>
              <xm:f>Figuren!J102:J102</xm:f>
              <xm:sqref>K102</xm:sqref>
            </x14:sparkline>
            <x14:sparkline>
              <xm:f>Figuren!J103:J103</xm:f>
              <xm:sqref>K103</xm:sqref>
            </x14:sparkline>
            <x14:sparkline>
              <xm:f>Figuren!J104:J104</xm:f>
              <xm:sqref>K104</xm:sqref>
            </x14:sparkline>
            <x14:sparkline>
              <xm:f>Figuren!J105:J105</xm:f>
              <xm:sqref>K105</xm:sqref>
            </x14:sparkline>
            <x14:sparkline>
              <xm:f>Figuren!J106:J106</xm:f>
              <xm:sqref>K106</xm:sqref>
            </x14:sparkline>
            <x14:sparkline>
              <xm:f>Figuren!J107:J107</xm:f>
              <xm:sqref>K107</xm:sqref>
            </x14:sparkline>
            <x14:sparkline>
              <xm:f>Figuren!J108:J108</xm:f>
              <xm:sqref>K108</xm:sqref>
            </x14:sparkline>
            <x14:sparkline>
              <xm:f>Figuren!J109:J109</xm:f>
              <xm:sqref>K109</xm:sqref>
            </x14:sparkline>
            <x14:sparkline>
              <xm:f>Figuren!J110:J110</xm:f>
              <xm:sqref>K110</xm:sqref>
            </x14:sparkline>
            <x14:sparkline>
              <xm:f>Figuren!J111:J111</xm:f>
              <xm:sqref>K111</xm:sqref>
            </x14:sparkline>
            <x14:sparkline>
              <xm:f>Figuren!J112:J112</xm:f>
              <xm:sqref>K112</xm:sqref>
            </x14:sparkline>
            <x14:sparkline>
              <xm:f>Figuren!J113:J113</xm:f>
              <xm:sqref>K113</xm:sqref>
            </x14:sparkline>
            <x14:sparkline>
              <xm:f>Figuren!J114:J114</xm:f>
              <xm:sqref>K114</xm:sqref>
            </x14:sparkline>
            <x14:sparkline>
              <xm:f>Figuren!J115:J115</xm:f>
              <xm:sqref>K115</xm:sqref>
            </x14:sparkline>
            <x14:sparkline>
              <xm:f>Figuren!J116:J116</xm:f>
              <xm:sqref>K116</xm:sqref>
            </x14:sparkline>
            <x14:sparkline>
              <xm:f>Figuren!J117:J117</xm:f>
              <xm:sqref>K117</xm:sqref>
            </x14:sparkline>
            <x14:sparkline>
              <xm:f>Figuren!J118:J118</xm:f>
              <xm:sqref>K118</xm:sqref>
            </x14:sparkline>
            <x14:sparkline>
              <xm:f>Figuren!J119:J119</xm:f>
              <xm:sqref>K119</xm:sqref>
            </x14:sparkline>
            <x14:sparkline>
              <xm:f>Figuren!J120:J120</xm:f>
              <xm:sqref>K120</xm:sqref>
            </x14:sparkline>
            <x14:sparkline>
              <xm:f>Figuren!J121:J121</xm:f>
              <xm:sqref>K121</xm:sqref>
            </x14:sparkline>
            <x14:sparkline>
              <xm:f>Figuren!J122:J122</xm:f>
              <xm:sqref>K122</xm:sqref>
            </x14:sparkline>
            <x14:sparkline>
              <xm:f>Figuren!J123:J123</xm:f>
              <xm:sqref>K123</xm:sqref>
            </x14:sparkline>
            <x14:sparkline>
              <xm:f>Figuren!J124:J124</xm:f>
              <xm:sqref>K124</xm:sqref>
            </x14:sparkline>
            <x14:sparkline>
              <xm:f>Figuren!J125:J125</xm:f>
              <xm:sqref>K125</xm:sqref>
            </x14:sparkline>
            <x14:sparkline>
              <xm:f>Figuren!J126:J126</xm:f>
              <xm:sqref>K126</xm:sqref>
            </x14:sparkline>
            <x14:sparkline>
              <xm:f>Figuren!J127:J127</xm:f>
              <xm:sqref>K127</xm:sqref>
            </x14:sparkline>
            <x14:sparkline>
              <xm:f>Figuren!J128:J128</xm:f>
              <xm:sqref>K128</xm:sqref>
            </x14:sparkline>
            <x14:sparkline>
              <xm:f>Figuren!J129:J129</xm:f>
              <xm:sqref>K129</xm:sqref>
            </x14:sparkline>
            <x14:sparkline>
              <xm:f>Figuren!J130:J130</xm:f>
              <xm:sqref>K130</xm:sqref>
            </x14:sparkline>
            <x14:sparkline>
              <xm:f>Figuren!J131:J131</xm:f>
              <xm:sqref>K131</xm:sqref>
            </x14:sparkline>
            <x14:sparkline>
              <xm:f>Figuren!J132:J132</xm:f>
              <xm:sqref>K132</xm:sqref>
            </x14:sparkline>
            <x14:sparkline>
              <xm:f>Figuren!J133:J133</xm:f>
              <xm:sqref>K133</xm:sqref>
            </x14:sparkline>
            <x14:sparkline>
              <xm:f>Figuren!J134:J134</xm:f>
              <xm:sqref>K134</xm:sqref>
            </x14:sparkline>
            <x14:sparkline>
              <xm:f>Figuren!J135:J135</xm:f>
              <xm:sqref>K135</xm:sqref>
            </x14:sparkline>
            <x14:sparkline>
              <xm:f>Figuren!J136:J136</xm:f>
              <xm:sqref>K136</xm:sqref>
            </x14:sparkline>
            <x14:sparkline>
              <xm:f>Figuren!J137:J137</xm:f>
              <xm:sqref>K137</xm:sqref>
            </x14:sparkline>
            <x14:sparkline>
              <xm:f>Figuren!J138:J138</xm:f>
              <xm:sqref>K138</xm:sqref>
            </x14:sparkline>
            <x14:sparkline>
              <xm:f>Figuren!J139:J139</xm:f>
              <xm:sqref>K139</xm:sqref>
            </x14:sparkline>
            <x14:sparkline>
              <xm:f>Figuren!J140:J140</xm:f>
              <xm:sqref>K140</xm:sqref>
            </x14:sparkline>
            <x14:sparkline>
              <xm:f>Figuren!J141:J141</xm:f>
              <xm:sqref>K141</xm:sqref>
            </x14:sparkline>
            <x14:sparkline>
              <xm:f>Figuren!J142:J142</xm:f>
              <xm:sqref>K142</xm:sqref>
            </x14:sparkline>
            <x14:sparkline>
              <xm:f>Figuren!J143:J143</xm:f>
              <xm:sqref>K143</xm:sqref>
            </x14:sparkline>
            <x14:sparkline>
              <xm:f>Figuren!J144:J144</xm:f>
              <xm:sqref>K144</xm:sqref>
            </x14:sparkline>
            <x14:sparkline>
              <xm:f>Figuren!J145:J145</xm:f>
              <xm:sqref>K145</xm:sqref>
            </x14:sparkline>
            <x14:sparkline>
              <xm:f>Figuren!J146:J146</xm:f>
              <xm:sqref>K146</xm:sqref>
            </x14:sparkline>
            <x14:sparkline>
              <xm:f>Figuren!J147:J147</xm:f>
              <xm:sqref>K147</xm:sqref>
            </x14:sparkline>
            <x14:sparkline>
              <xm:f>Figuren!J148:J148</xm:f>
              <xm:sqref>K148</xm:sqref>
            </x14:sparkline>
            <x14:sparkline>
              <xm:f>Figuren!J149:J149</xm:f>
              <xm:sqref>K149</xm:sqref>
            </x14:sparkline>
            <x14:sparkline>
              <xm:f>Figuren!J150:J150</xm:f>
              <xm:sqref>K150</xm:sqref>
            </x14:sparkline>
            <x14:sparkline>
              <xm:f>Figuren!J151:J151</xm:f>
              <xm:sqref>K151</xm:sqref>
            </x14:sparkline>
            <x14:sparkline>
              <xm:f>Figuren!J152:J152</xm:f>
              <xm:sqref>K152</xm:sqref>
            </x14:sparkline>
            <x14:sparkline>
              <xm:f>Figuren!J153:J153</xm:f>
              <xm:sqref>K153</xm:sqref>
            </x14:sparkline>
            <x14:sparkline>
              <xm:f>Figuren!J154:J154</xm:f>
              <xm:sqref>K154</xm:sqref>
            </x14:sparkline>
            <x14:sparkline>
              <xm:f>Figuren!J155:J155</xm:f>
              <xm:sqref>K155</xm:sqref>
            </x14:sparkline>
            <x14:sparkline>
              <xm:f>Figuren!J156:J156</xm:f>
              <xm:sqref>K156</xm:sqref>
            </x14:sparkline>
            <x14:sparkline>
              <xm:f>Figuren!J157:J157</xm:f>
              <xm:sqref>K157</xm:sqref>
            </x14:sparkline>
            <x14:sparkline>
              <xm:f>Figuren!J158:J158</xm:f>
              <xm:sqref>K158</xm:sqref>
            </x14:sparkline>
            <x14:sparkline>
              <xm:f>Figuren!J159:J159</xm:f>
              <xm:sqref>K159</xm:sqref>
            </x14:sparkline>
            <x14:sparkline>
              <xm:f>Figuren!J160:J160</xm:f>
              <xm:sqref>K160</xm:sqref>
            </x14:sparkline>
            <x14:sparkline>
              <xm:f>Figuren!J161:J161</xm:f>
              <xm:sqref>K161</xm:sqref>
            </x14:sparkline>
            <x14:sparkline>
              <xm:f>Figuren!J162:J162</xm:f>
              <xm:sqref>K162</xm:sqref>
            </x14:sparkline>
            <x14:sparkline>
              <xm:f>Figuren!J163:J163</xm:f>
              <xm:sqref>K163</xm:sqref>
            </x14:sparkline>
            <x14:sparkline>
              <xm:f>Figuren!J164:J164</xm:f>
              <xm:sqref>K164</xm:sqref>
            </x14:sparkline>
            <x14:sparkline>
              <xm:f>Figuren!J165:J165</xm:f>
              <xm:sqref>K165</xm:sqref>
            </x14:sparkline>
            <x14:sparkline>
              <xm:f>Figuren!J166:J166</xm:f>
              <xm:sqref>K166</xm:sqref>
            </x14:sparkline>
            <x14:sparkline>
              <xm:f>Figuren!J167:J167</xm:f>
              <xm:sqref>K167</xm:sqref>
            </x14:sparkline>
            <x14:sparkline>
              <xm:f>Figuren!J168:J168</xm:f>
              <xm:sqref>K168</xm:sqref>
            </x14:sparkline>
            <x14:sparkline>
              <xm:f>Figuren!J169:J169</xm:f>
              <xm:sqref>K169</xm:sqref>
            </x14:sparkline>
            <x14:sparkline>
              <xm:f>Figuren!J170:J170</xm:f>
              <xm:sqref>K170</xm:sqref>
            </x14:sparkline>
            <x14:sparkline>
              <xm:f>Figuren!J171:J171</xm:f>
              <xm:sqref>K171</xm:sqref>
            </x14:sparkline>
            <x14:sparkline>
              <xm:f>Figuren!J172:J172</xm:f>
              <xm:sqref>K172</xm:sqref>
            </x14:sparkline>
            <x14:sparkline>
              <xm:f>Figuren!J173:J173</xm:f>
              <xm:sqref>K173</xm:sqref>
            </x14:sparkline>
            <x14:sparkline>
              <xm:f>Figuren!J174:J174</xm:f>
              <xm:sqref>K174</xm:sqref>
            </x14:sparkline>
            <x14:sparkline>
              <xm:f>Figuren!J175:J175</xm:f>
              <xm:sqref>K175</xm:sqref>
            </x14:sparkline>
            <x14:sparkline>
              <xm:f>Figuren!J176:J176</xm:f>
              <xm:sqref>K176</xm:sqref>
            </x14:sparkline>
            <x14:sparkline>
              <xm:f>Figuren!J177:J177</xm:f>
              <xm:sqref>K177</xm:sqref>
            </x14:sparkline>
            <x14:sparkline>
              <xm:f>Figuren!J178:J178</xm:f>
              <xm:sqref>K178</xm:sqref>
            </x14:sparkline>
            <x14:sparkline>
              <xm:f>Figuren!J179:J179</xm:f>
              <xm:sqref>K179</xm:sqref>
            </x14:sparkline>
            <x14:sparkline>
              <xm:f>Figuren!J180:J180</xm:f>
              <xm:sqref>K180</xm:sqref>
            </x14:sparkline>
            <x14:sparkline>
              <xm:f>Figuren!J181:J181</xm:f>
              <xm:sqref>K181</xm:sqref>
            </x14:sparkline>
            <x14:sparkline>
              <xm:f>Figuren!J182:J182</xm:f>
              <xm:sqref>K182</xm:sqref>
            </x14:sparkline>
            <x14:sparkline>
              <xm:f>Figuren!J183:J183</xm:f>
              <xm:sqref>K183</xm:sqref>
            </x14:sparkline>
            <x14:sparkline>
              <xm:f>Figuren!J184:J184</xm:f>
              <xm:sqref>K184</xm:sqref>
            </x14:sparkline>
            <x14:sparkline>
              <xm:f>Figuren!J185:J185</xm:f>
              <xm:sqref>K185</xm:sqref>
            </x14:sparkline>
            <x14:sparkline>
              <xm:f>Figuren!J186:J186</xm:f>
              <xm:sqref>K186</xm:sqref>
            </x14:sparkline>
            <x14:sparkline>
              <xm:f>Figuren!J187:J187</xm:f>
              <xm:sqref>K187</xm:sqref>
            </x14:sparkline>
            <x14:sparkline>
              <xm:f>Figuren!J188:J188</xm:f>
              <xm:sqref>K188</xm:sqref>
            </x14:sparkline>
            <x14:sparkline>
              <xm:f>Figuren!J189:J189</xm:f>
              <xm:sqref>K189</xm:sqref>
            </x14:sparkline>
            <x14:sparkline>
              <xm:f>Figuren!J190:J190</xm:f>
              <xm:sqref>K190</xm:sqref>
            </x14:sparkline>
            <x14:sparkline>
              <xm:f>Figuren!J191:J191</xm:f>
              <xm:sqref>K191</xm:sqref>
            </x14:sparkline>
            <x14:sparkline>
              <xm:f>Figuren!J192:J192</xm:f>
              <xm:sqref>K192</xm:sqref>
            </x14:sparkline>
            <x14:sparkline>
              <xm:f>Figuren!J193:J193</xm:f>
              <xm:sqref>K193</xm:sqref>
            </x14:sparkline>
            <x14:sparkline>
              <xm:f>Figuren!J194:J194</xm:f>
              <xm:sqref>K194</xm:sqref>
            </x14:sparkline>
            <x14:sparkline>
              <xm:f>Figuren!J195:J195</xm:f>
              <xm:sqref>K195</xm:sqref>
            </x14:sparkline>
            <x14:sparkline>
              <xm:f>Figuren!J196:J196</xm:f>
              <xm:sqref>K196</xm:sqref>
            </x14:sparkline>
            <x14:sparkline>
              <xm:f>Figuren!J197:J197</xm:f>
              <xm:sqref>K197</xm:sqref>
            </x14:sparkline>
            <x14:sparkline>
              <xm:f>Figuren!J198:J198</xm:f>
              <xm:sqref>K198</xm:sqref>
            </x14:sparkline>
            <x14:sparkline>
              <xm:f>Figuren!J199:J199</xm:f>
              <xm:sqref>K199</xm:sqref>
            </x14:sparkline>
            <x14:sparkline>
              <xm:f>Figuren!J200:J200</xm:f>
              <xm:sqref>K200</xm:sqref>
            </x14:sparkline>
            <x14:sparkline>
              <xm:f>Figuren!J201:J201</xm:f>
              <xm:sqref>K201</xm:sqref>
            </x14:sparkline>
            <x14:sparkline>
              <xm:f>Figuren!J202:J202</xm:f>
              <xm:sqref>K202</xm:sqref>
            </x14:sparkline>
            <x14:sparkline>
              <xm:f>Figuren!J203:J203</xm:f>
              <xm:sqref>K203</xm:sqref>
            </x14:sparkline>
            <x14:sparkline>
              <xm:f>Figuren!J204:J204</xm:f>
              <xm:sqref>K204</xm:sqref>
            </x14:sparkline>
            <x14:sparkline>
              <xm:f>Figuren!J205:J205</xm:f>
              <xm:sqref>K205</xm:sqref>
            </x14:sparkline>
            <x14:sparkline>
              <xm:f>Figuren!J206:J206</xm:f>
              <xm:sqref>K206</xm:sqref>
            </x14:sparkline>
            <x14:sparkline>
              <xm:f>Figuren!J207:J207</xm:f>
              <xm:sqref>K207</xm:sqref>
            </x14:sparkline>
            <x14:sparkline>
              <xm:f>Figuren!J208:J208</xm:f>
              <xm:sqref>K208</xm:sqref>
            </x14:sparkline>
            <x14:sparkline>
              <xm:f>Figuren!J209:J209</xm:f>
              <xm:sqref>K209</xm:sqref>
            </x14:sparkline>
            <x14:sparkline>
              <xm:f>Figuren!J210:J210</xm:f>
              <xm:sqref>K210</xm:sqref>
            </x14:sparkline>
            <x14:sparkline>
              <xm:f>Figuren!J211:J211</xm:f>
              <xm:sqref>K211</xm:sqref>
            </x14:sparkline>
            <x14:sparkline>
              <xm:f>Figuren!J212:J212</xm:f>
              <xm:sqref>K212</xm:sqref>
            </x14:sparkline>
            <x14:sparkline>
              <xm:f>Figuren!J213:J213</xm:f>
              <xm:sqref>K213</xm:sqref>
            </x14:sparkline>
            <x14:sparkline>
              <xm:f>Figuren!J214:J214</xm:f>
              <xm:sqref>K214</xm:sqref>
            </x14:sparkline>
            <x14:sparkline>
              <xm:f>Figuren!J215:J215</xm:f>
              <xm:sqref>K215</xm:sqref>
            </x14:sparkline>
            <x14:sparkline>
              <xm:f>Figuren!J216:J216</xm:f>
              <xm:sqref>K216</xm:sqref>
            </x14:sparkline>
            <x14:sparkline>
              <xm:f>Figuren!J217:J217</xm:f>
              <xm:sqref>K217</xm:sqref>
            </x14:sparkline>
            <x14:sparkline>
              <xm:f>Figuren!J218:J218</xm:f>
              <xm:sqref>K218</xm:sqref>
            </x14:sparkline>
            <x14:sparkline>
              <xm:f>Figuren!J219:J219</xm:f>
              <xm:sqref>K219</xm:sqref>
            </x14:sparkline>
            <x14:sparkline>
              <xm:f>Figuren!J220:J220</xm:f>
              <xm:sqref>K220</xm:sqref>
            </x14:sparkline>
            <x14:sparkline>
              <xm:f>Figuren!J221:J221</xm:f>
              <xm:sqref>K221</xm:sqref>
            </x14:sparkline>
            <x14:sparkline>
              <xm:f>Figuren!J222:J222</xm:f>
              <xm:sqref>K222</xm:sqref>
            </x14:sparkline>
            <x14:sparkline>
              <xm:f>Figuren!J223:J223</xm:f>
              <xm:sqref>K223</xm:sqref>
            </x14:sparkline>
            <x14:sparkline>
              <xm:f>Figuren!J224:J224</xm:f>
              <xm:sqref>K224</xm:sqref>
            </x14:sparkline>
            <x14:sparkline>
              <xm:f>Figuren!J225:J225</xm:f>
              <xm:sqref>K225</xm:sqref>
            </x14:sparkline>
            <x14:sparkline>
              <xm:f>Figuren!J226:J226</xm:f>
              <xm:sqref>K226</xm:sqref>
            </x14:sparkline>
            <x14:sparkline>
              <xm:f>Figuren!J227:J227</xm:f>
              <xm:sqref>K227</xm:sqref>
            </x14:sparkline>
            <x14:sparkline>
              <xm:f>Figuren!J228:J228</xm:f>
              <xm:sqref>K228</xm:sqref>
            </x14:sparkline>
            <x14:sparkline>
              <xm:f>Figuren!J229:J229</xm:f>
              <xm:sqref>K229</xm:sqref>
            </x14:sparkline>
            <x14:sparkline>
              <xm:f>Figuren!J230:J230</xm:f>
              <xm:sqref>K230</xm:sqref>
            </x14:sparkline>
            <x14:sparkline>
              <xm:f>Figuren!J231:J231</xm:f>
              <xm:sqref>K231</xm:sqref>
            </x14:sparkline>
            <x14:sparkline>
              <xm:f>Figuren!J232:J232</xm:f>
              <xm:sqref>K232</xm:sqref>
            </x14:sparkline>
            <x14:sparkline>
              <xm:f>Figuren!J233:J233</xm:f>
              <xm:sqref>K233</xm:sqref>
            </x14:sparkline>
            <x14:sparkline>
              <xm:f>Figuren!J234:J234</xm:f>
              <xm:sqref>K234</xm:sqref>
            </x14:sparkline>
            <x14:sparkline>
              <xm:f>Figuren!J235:J235</xm:f>
              <xm:sqref>K235</xm:sqref>
            </x14:sparkline>
            <x14:sparkline>
              <xm:f>Figuren!J236:J236</xm:f>
              <xm:sqref>K236</xm:sqref>
            </x14:sparkline>
            <x14:sparkline>
              <xm:f>Figuren!J237:J237</xm:f>
              <xm:sqref>K237</xm:sqref>
            </x14:sparkline>
            <x14:sparkline>
              <xm:f>Figuren!J238:J238</xm:f>
              <xm:sqref>K238</xm:sqref>
            </x14:sparkline>
            <x14:sparkline>
              <xm:f>Figuren!J239:J239</xm:f>
              <xm:sqref>K239</xm:sqref>
            </x14:sparkline>
            <x14:sparkline>
              <xm:f>Figuren!J240:J240</xm:f>
              <xm:sqref>K240</xm:sqref>
            </x14:sparkline>
            <x14:sparkline>
              <xm:f>Figuren!J241:J241</xm:f>
              <xm:sqref>K241</xm:sqref>
            </x14:sparkline>
            <x14:sparkline>
              <xm:f>Figuren!J242:J242</xm:f>
              <xm:sqref>K242</xm:sqref>
            </x14:sparkline>
            <x14:sparkline>
              <xm:f>Figuren!J243:J243</xm:f>
              <xm:sqref>K243</xm:sqref>
            </x14:sparkline>
            <x14:sparkline>
              <xm:f>Figuren!J244:J244</xm:f>
              <xm:sqref>K244</xm:sqref>
            </x14:sparkline>
            <x14:sparkline>
              <xm:f>Figuren!J245:J245</xm:f>
              <xm:sqref>K245</xm:sqref>
            </x14:sparkline>
            <x14:sparkline>
              <xm:f>Figuren!J246:J246</xm:f>
              <xm:sqref>K246</xm:sqref>
            </x14:sparkline>
            <x14:sparkline>
              <xm:f>Figuren!J247:J247</xm:f>
              <xm:sqref>K247</xm:sqref>
            </x14:sparkline>
            <x14:sparkline>
              <xm:f>Figuren!J248:J248</xm:f>
              <xm:sqref>K248</xm:sqref>
            </x14:sparkline>
            <x14:sparkline>
              <xm:f>Figuren!J249:J249</xm:f>
              <xm:sqref>K249</xm:sqref>
            </x14:sparkline>
            <x14:sparkline>
              <xm:f>Figuren!J250:J250</xm:f>
              <xm:sqref>K250</xm:sqref>
            </x14:sparkline>
            <x14:sparkline>
              <xm:f>Figuren!J251:J251</xm:f>
              <xm:sqref>K251</xm:sqref>
            </x14:sparkline>
            <x14:sparkline>
              <xm:f>Figuren!J252:J252</xm:f>
              <xm:sqref>K252</xm:sqref>
            </x14:sparkline>
            <x14:sparkline>
              <xm:f>Figuren!J253:J253</xm:f>
              <xm:sqref>K253</xm:sqref>
            </x14:sparkline>
            <x14:sparkline>
              <xm:f>Figuren!J254:J254</xm:f>
              <xm:sqref>K254</xm:sqref>
            </x14:sparkline>
            <x14:sparkline>
              <xm:f>Figuren!J255:J255</xm:f>
              <xm:sqref>K255</xm:sqref>
            </x14:sparkline>
            <x14:sparkline>
              <xm:f>Figuren!J256:J256</xm:f>
              <xm:sqref>K256</xm:sqref>
            </x14:sparkline>
            <x14:sparkline>
              <xm:f>Figuren!J257:J257</xm:f>
              <xm:sqref>K257</xm:sqref>
            </x14:sparkline>
            <x14:sparkline>
              <xm:f>Figuren!J258:J258</xm:f>
              <xm:sqref>K258</xm:sqref>
            </x14:sparkline>
            <x14:sparkline>
              <xm:f>Figuren!J259:J259</xm:f>
              <xm:sqref>K259</xm:sqref>
            </x14:sparkline>
            <x14:sparkline>
              <xm:f>Figuren!J260:J260</xm:f>
              <xm:sqref>K260</xm:sqref>
            </x14:sparkline>
            <x14:sparkline>
              <xm:f>Figuren!J261:J261</xm:f>
              <xm:sqref>K261</xm:sqref>
            </x14:sparkline>
            <x14:sparkline>
              <xm:f>Figuren!J262:J262</xm:f>
              <xm:sqref>K262</xm:sqref>
            </x14:sparkline>
            <x14:sparkline>
              <xm:f>Figuren!J263:J263</xm:f>
              <xm:sqref>K263</xm:sqref>
            </x14:sparkline>
            <x14:sparkline>
              <xm:f>Figuren!J264:J264</xm:f>
              <xm:sqref>K264</xm:sqref>
            </x14:sparkline>
            <x14:sparkline>
              <xm:f>Figuren!J265:J265</xm:f>
              <xm:sqref>K265</xm:sqref>
            </x14:sparkline>
            <x14:sparkline>
              <xm:f>Figuren!J266:J266</xm:f>
              <xm:sqref>K266</xm:sqref>
            </x14:sparkline>
            <x14:sparkline>
              <xm:f>Figuren!J267:J267</xm:f>
              <xm:sqref>K267</xm:sqref>
            </x14:sparkline>
            <x14:sparkline>
              <xm:f>Figuren!J268:J268</xm:f>
              <xm:sqref>K268</xm:sqref>
            </x14:sparkline>
            <x14:sparkline>
              <xm:f>Figuren!J269:J269</xm:f>
              <xm:sqref>K269</xm:sqref>
            </x14:sparkline>
            <x14:sparkline>
              <xm:f>Figuren!J270:J270</xm:f>
              <xm:sqref>K270</xm:sqref>
            </x14:sparkline>
            <x14:sparkline>
              <xm:f>Figuren!J271:J271</xm:f>
              <xm:sqref>K271</xm:sqref>
            </x14:sparkline>
            <x14:sparkline>
              <xm:f>Figuren!J272:J272</xm:f>
              <xm:sqref>K272</xm:sqref>
            </x14:sparkline>
            <x14:sparkline>
              <xm:f>Figuren!J273:J273</xm:f>
              <xm:sqref>K273</xm:sqref>
            </x14:sparkline>
            <x14:sparkline>
              <xm:f>Figuren!J274:J274</xm:f>
              <xm:sqref>K274</xm:sqref>
            </x14:sparkline>
            <x14:sparkline>
              <xm:f>Figuren!J275:J275</xm:f>
              <xm:sqref>K275</xm:sqref>
            </x14:sparkline>
            <x14:sparkline>
              <xm:f>Figuren!J276:J276</xm:f>
              <xm:sqref>K276</xm:sqref>
            </x14:sparkline>
            <x14:sparkline>
              <xm:f>Figuren!J277:J277</xm:f>
              <xm:sqref>K277</xm:sqref>
            </x14:sparkline>
            <x14:sparkline>
              <xm:f>Figuren!J278:J278</xm:f>
              <xm:sqref>K278</xm:sqref>
            </x14:sparkline>
            <x14:sparkline>
              <xm:f>Figuren!J279:J279</xm:f>
              <xm:sqref>K279</xm:sqref>
            </x14:sparkline>
            <x14:sparkline>
              <xm:f>Figuren!J280:J280</xm:f>
              <xm:sqref>K280</xm:sqref>
            </x14:sparkline>
            <x14:sparkline>
              <xm:f>Figuren!J281:J281</xm:f>
              <xm:sqref>K281</xm:sqref>
            </x14:sparkline>
            <x14:sparkline>
              <xm:f>Figuren!J282:J282</xm:f>
              <xm:sqref>K282</xm:sqref>
            </x14:sparkline>
            <x14:sparkline>
              <xm:f>Figuren!J283:J283</xm:f>
              <xm:sqref>K283</xm:sqref>
            </x14:sparkline>
            <x14:sparkline>
              <xm:f>Figuren!J284:J284</xm:f>
              <xm:sqref>K284</xm:sqref>
            </x14:sparkline>
            <x14:sparkline>
              <xm:f>Figuren!J285:J285</xm:f>
              <xm:sqref>K285</xm:sqref>
            </x14:sparkline>
            <x14:sparkline>
              <xm:f>Figuren!J286:J286</xm:f>
              <xm:sqref>K286</xm:sqref>
            </x14:sparkline>
            <x14:sparkline>
              <xm:f>Figuren!J287:J287</xm:f>
              <xm:sqref>K287</xm:sqref>
            </x14:sparkline>
            <x14:sparkline>
              <xm:f>Figuren!J288:J288</xm:f>
              <xm:sqref>K288</xm:sqref>
            </x14:sparkline>
            <x14:sparkline>
              <xm:f>Figuren!J289:J289</xm:f>
              <xm:sqref>K289</xm:sqref>
            </x14:sparkline>
            <x14:sparkline>
              <xm:f>Figuren!J290:J290</xm:f>
              <xm:sqref>K290</xm:sqref>
            </x14:sparkline>
            <x14:sparkline>
              <xm:f>Figuren!J291:J291</xm:f>
              <xm:sqref>K291</xm:sqref>
            </x14:sparkline>
            <x14:sparkline>
              <xm:f>Figuren!J292:J292</xm:f>
              <xm:sqref>K292</xm:sqref>
            </x14:sparkline>
            <x14:sparkline>
              <xm:f>Figuren!J293:J293</xm:f>
              <xm:sqref>K293</xm:sqref>
            </x14:sparkline>
            <x14:sparkline>
              <xm:f>Figuren!J294:J294</xm:f>
              <xm:sqref>K294</xm:sqref>
            </x14:sparkline>
            <x14:sparkline>
              <xm:f>Figuren!J295:J295</xm:f>
              <xm:sqref>K295</xm:sqref>
            </x14:sparkline>
            <x14:sparkline>
              <xm:f>Figuren!J296:J296</xm:f>
              <xm:sqref>K296</xm:sqref>
            </x14:sparkline>
            <x14:sparkline>
              <xm:f>Figuren!J297:J297</xm:f>
              <xm:sqref>K297</xm:sqref>
            </x14:sparkline>
            <x14:sparkline>
              <xm:f>Figuren!J298:J298</xm:f>
              <xm:sqref>K298</xm:sqref>
            </x14:sparkline>
            <x14:sparkline>
              <xm:f>Figuren!J299:J299</xm:f>
              <xm:sqref>K299</xm:sqref>
            </x14:sparkline>
            <x14:sparkline>
              <xm:f>Figuren!J300:J300</xm:f>
              <xm:sqref>K300</xm:sqref>
            </x14:sparkline>
            <x14:sparkline>
              <xm:f>Figuren!J301:J301</xm:f>
              <xm:sqref>K301</xm:sqref>
            </x14:sparkline>
            <x14:sparkline>
              <xm:f>Figuren!J302:J302</xm:f>
              <xm:sqref>K302</xm:sqref>
            </x14:sparkline>
            <x14:sparkline>
              <xm:f>Figuren!J303:J303</xm:f>
              <xm:sqref>K303</xm:sqref>
            </x14:sparkline>
            <x14:sparkline>
              <xm:f>Figuren!J304:J304</xm:f>
              <xm:sqref>K304</xm:sqref>
            </x14:sparkline>
            <x14:sparkline>
              <xm:f>Figuren!J305:J305</xm:f>
              <xm:sqref>K305</xm:sqref>
            </x14:sparkline>
            <x14:sparkline>
              <xm:f>Figuren!J306:J306</xm:f>
              <xm:sqref>K306</xm:sqref>
            </x14:sparkline>
            <x14:sparkline>
              <xm:f>Figuren!J307:J307</xm:f>
              <xm:sqref>K307</xm:sqref>
            </x14:sparkline>
            <x14:sparkline>
              <xm:f>Figuren!J308:J308</xm:f>
              <xm:sqref>K308</xm:sqref>
            </x14:sparkline>
            <x14:sparkline>
              <xm:f>Figuren!J309:J309</xm:f>
              <xm:sqref>K309</xm:sqref>
            </x14:sparkline>
            <x14:sparkline>
              <xm:f>Figuren!J310:J310</xm:f>
              <xm:sqref>K310</xm:sqref>
            </x14:sparkline>
            <x14:sparkline>
              <xm:f>Figuren!J311:J311</xm:f>
              <xm:sqref>K311</xm:sqref>
            </x14:sparkline>
            <x14:sparkline>
              <xm:f>Figuren!J312:J312</xm:f>
              <xm:sqref>K312</xm:sqref>
            </x14:sparkline>
            <x14:sparkline>
              <xm:f>Figuren!J313:J313</xm:f>
              <xm:sqref>K313</xm:sqref>
            </x14:sparkline>
            <x14:sparkline>
              <xm:f>Figuren!J314:J314</xm:f>
              <xm:sqref>K314</xm:sqref>
            </x14:sparkline>
            <x14:sparkline>
              <xm:f>Figuren!J315:J315</xm:f>
              <xm:sqref>K315</xm:sqref>
            </x14:sparkline>
            <x14:sparkline>
              <xm:f>Figuren!J316:J316</xm:f>
              <xm:sqref>K316</xm:sqref>
            </x14:sparkline>
            <x14:sparkline>
              <xm:f>Figuren!J317:J317</xm:f>
              <xm:sqref>K317</xm:sqref>
            </x14:sparkline>
            <x14:sparkline>
              <xm:f>Figuren!J318:J318</xm:f>
              <xm:sqref>K318</xm:sqref>
            </x14:sparkline>
            <x14:sparkline>
              <xm:f>Figuren!J319:J319</xm:f>
              <xm:sqref>K319</xm:sqref>
            </x14:sparkline>
            <x14:sparkline>
              <xm:f>Figuren!J320:J320</xm:f>
              <xm:sqref>K320</xm:sqref>
            </x14:sparkline>
            <x14:sparkline>
              <xm:f>Figuren!J321:J321</xm:f>
              <xm:sqref>K321</xm:sqref>
            </x14:sparkline>
            <x14:sparkline>
              <xm:f>Figuren!J322:J322</xm:f>
              <xm:sqref>K322</xm:sqref>
            </x14:sparkline>
            <x14:sparkline>
              <xm:f>Figuren!J323:J323</xm:f>
              <xm:sqref>K323</xm:sqref>
            </x14:sparkline>
            <x14:sparkline>
              <xm:f>Figuren!J324:J324</xm:f>
              <xm:sqref>K324</xm:sqref>
            </x14:sparkline>
            <x14:sparkline>
              <xm:f>Figuren!J325:J325</xm:f>
              <xm:sqref>K325</xm:sqref>
            </x14:sparkline>
            <x14:sparkline>
              <xm:f>Figuren!J326:J326</xm:f>
              <xm:sqref>K326</xm:sqref>
            </x14:sparkline>
            <x14:sparkline>
              <xm:f>Figuren!J327:J327</xm:f>
              <xm:sqref>K327</xm:sqref>
            </x14:sparkline>
            <x14:sparkline>
              <xm:f>Figuren!J328:J328</xm:f>
              <xm:sqref>K328</xm:sqref>
            </x14:sparkline>
            <x14:sparkline>
              <xm:f>Figuren!J329:J329</xm:f>
              <xm:sqref>K329</xm:sqref>
            </x14:sparkline>
            <x14:sparkline>
              <xm:f>Figuren!J330:J330</xm:f>
              <xm:sqref>K330</xm:sqref>
            </x14:sparkline>
            <x14:sparkline>
              <xm:f>Figuren!J331:J331</xm:f>
              <xm:sqref>K331</xm:sqref>
            </x14:sparkline>
            <x14:sparkline>
              <xm:f>Figuren!J332:J332</xm:f>
              <xm:sqref>K332</xm:sqref>
            </x14:sparkline>
            <x14:sparkline>
              <xm:f>Figuren!J333:J333</xm:f>
              <xm:sqref>K333</xm:sqref>
            </x14:sparkline>
            <x14:sparkline>
              <xm:f>Figuren!J334:J334</xm:f>
              <xm:sqref>K334</xm:sqref>
            </x14:sparkline>
            <x14:sparkline>
              <xm:f>Figuren!J335:J335</xm:f>
              <xm:sqref>K335</xm:sqref>
            </x14:sparkline>
            <x14:sparkline>
              <xm:f>Figuren!J336:J336</xm:f>
              <xm:sqref>K336</xm:sqref>
            </x14:sparkline>
            <x14:sparkline>
              <xm:f>Figuren!J337:J337</xm:f>
              <xm:sqref>K337</xm:sqref>
            </x14:sparkline>
            <x14:sparkline>
              <xm:f>Figuren!J338:J338</xm:f>
              <xm:sqref>K338</xm:sqref>
            </x14:sparkline>
            <x14:sparkline>
              <xm:f>Figuren!J339:J339</xm:f>
              <xm:sqref>K339</xm:sqref>
            </x14:sparkline>
            <x14:sparkline>
              <xm:f>Figuren!J340:J340</xm:f>
              <xm:sqref>K340</xm:sqref>
            </x14:sparkline>
            <x14:sparkline>
              <xm:f>Figuren!J341:J341</xm:f>
              <xm:sqref>K341</xm:sqref>
            </x14:sparkline>
            <x14:sparkline>
              <xm:f>Figuren!J342:J342</xm:f>
              <xm:sqref>K342</xm:sqref>
            </x14:sparkline>
            <x14:sparkline>
              <xm:f>Figuren!J343:J343</xm:f>
              <xm:sqref>K343</xm:sqref>
            </x14:sparkline>
            <x14:sparkline>
              <xm:f>Figuren!J344:J344</xm:f>
              <xm:sqref>K344</xm:sqref>
            </x14:sparkline>
            <x14:sparkline>
              <xm:f>Figuren!J345:J345</xm:f>
              <xm:sqref>K345</xm:sqref>
            </x14:sparkline>
            <x14:sparkline>
              <xm:f>Figuren!J346:J346</xm:f>
              <xm:sqref>K346</xm:sqref>
            </x14:sparkline>
            <x14:sparkline>
              <xm:f>Figuren!J347:J347</xm:f>
              <xm:sqref>K347</xm:sqref>
            </x14:sparkline>
            <x14:sparkline>
              <xm:f>Figuren!J348:J348</xm:f>
              <xm:sqref>K348</xm:sqref>
            </x14:sparkline>
            <x14:sparkline>
              <xm:f>Figuren!J349:J349</xm:f>
              <xm:sqref>K349</xm:sqref>
            </x14:sparkline>
            <x14:sparkline>
              <xm:f>Figuren!J350:J350</xm:f>
              <xm:sqref>K350</xm:sqref>
            </x14:sparkline>
            <x14:sparkline>
              <xm:f>Figuren!J351:J351</xm:f>
              <xm:sqref>K351</xm:sqref>
            </x14:sparkline>
            <x14:sparkline>
              <xm:f>Figuren!J352:J352</xm:f>
              <xm:sqref>K352</xm:sqref>
            </x14:sparkline>
            <x14:sparkline>
              <xm:f>Figuren!J353:J353</xm:f>
              <xm:sqref>K353</xm:sqref>
            </x14:sparkline>
            <x14:sparkline>
              <xm:f>Figuren!J354:J354</xm:f>
              <xm:sqref>K354</xm:sqref>
            </x14:sparkline>
            <x14:sparkline>
              <xm:f>Figuren!J355:J355</xm:f>
              <xm:sqref>K355</xm:sqref>
            </x14:sparkline>
            <x14:sparkline>
              <xm:f>Figuren!J356:J356</xm:f>
              <xm:sqref>K356</xm:sqref>
            </x14:sparkline>
            <x14:sparkline>
              <xm:f>Figuren!J357:J357</xm:f>
              <xm:sqref>K357</xm:sqref>
            </x14:sparkline>
            <x14:sparkline>
              <xm:f>Figuren!J358:J358</xm:f>
              <xm:sqref>K358</xm:sqref>
            </x14:sparkline>
            <x14:sparkline>
              <xm:f>Figuren!J359:J359</xm:f>
              <xm:sqref>K359</xm:sqref>
            </x14:sparkline>
            <x14:sparkline>
              <xm:f>Figuren!J360:J360</xm:f>
              <xm:sqref>K360</xm:sqref>
            </x14:sparkline>
            <x14:sparkline>
              <xm:f>Figuren!J361:J361</xm:f>
              <xm:sqref>K361</xm:sqref>
            </x14:sparkline>
            <x14:sparkline>
              <xm:f>Figuren!J362:J362</xm:f>
              <xm:sqref>K362</xm:sqref>
            </x14:sparkline>
            <x14:sparkline>
              <xm:f>Figuren!J363:J363</xm:f>
              <xm:sqref>K363</xm:sqref>
            </x14:sparkline>
            <x14:sparkline>
              <xm:f>Figuren!J364:J364</xm:f>
              <xm:sqref>K364</xm:sqref>
            </x14:sparkline>
            <x14:sparkline>
              <xm:f>Figuren!J365:J365</xm:f>
              <xm:sqref>K365</xm:sqref>
            </x14:sparkline>
            <x14:sparkline>
              <xm:f>Figuren!J366:J366</xm:f>
              <xm:sqref>K366</xm:sqref>
            </x14:sparkline>
            <x14:sparkline>
              <xm:f>Figuren!J367:J367</xm:f>
              <xm:sqref>K367</xm:sqref>
            </x14:sparkline>
            <x14:sparkline>
              <xm:f>Figuren!J368:J368</xm:f>
              <xm:sqref>K368</xm:sqref>
            </x14:sparkline>
            <x14:sparkline>
              <xm:f>Figuren!J369:J369</xm:f>
              <xm:sqref>K369</xm:sqref>
            </x14:sparkline>
            <x14:sparkline>
              <xm:f>Figuren!J370:J370</xm:f>
              <xm:sqref>K370</xm:sqref>
            </x14:sparkline>
            <x14:sparkline>
              <xm:f>Figuren!J371:J371</xm:f>
              <xm:sqref>K371</xm:sqref>
            </x14:sparkline>
            <x14:sparkline>
              <xm:f>Figuren!J372:J372</xm:f>
              <xm:sqref>K372</xm:sqref>
            </x14:sparkline>
            <x14:sparkline>
              <xm:f>Figuren!J373:J373</xm:f>
              <xm:sqref>K373</xm:sqref>
            </x14:sparkline>
            <x14:sparkline>
              <xm:f>Figuren!J374:J374</xm:f>
              <xm:sqref>K374</xm:sqref>
            </x14:sparkline>
            <x14:sparkline>
              <xm:f>Figuren!J375:J375</xm:f>
              <xm:sqref>K375</xm:sqref>
            </x14:sparkline>
            <x14:sparkline>
              <xm:f>Figuren!J376:J376</xm:f>
              <xm:sqref>K376</xm:sqref>
            </x14:sparkline>
            <x14:sparkline>
              <xm:f>Figuren!J377:J377</xm:f>
              <xm:sqref>K377</xm:sqref>
            </x14:sparkline>
            <x14:sparkline>
              <xm:f>Figuren!J378:J378</xm:f>
              <xm:sqref>K378</xm:sqref>
            </x14:sparkline>
            <x14:sparkline>
              <xm:f>Figuren!J379:J379</xm:f>
              <xm:sqref>K379</xm:sqref>
            </x14:sparkline>
            <x14:sparkline>
              <xm:f>Figuren!J380:J380</xm:f>
              <xm:sqref>K380</xm:sqref>
            </x14:sparkline>
            <x14:sparkline>
              <xm:f>Figuren!J381:J381</xm:f>
              <xm:sqref>K381</xm:sqref>
            </x14:sparkline>
            <x14:sparkline>
              <xm:f>Figuren!J382:J382</xm:f>
              <xm:sqref>K382</xm:sqref>
            </x14:sparkline>
            <x14:sparkline>
              <xm:f>Figuren!J383:J383</xm:f>
              <xm:sqref>K383</xm:sqref>
            </x14:sparkline>
            <x14:sparkline>
              <xm:f>Figuren!J384:J384</xm:f>
              <xm:sqref>K384</xm:sqref>
            </x14:sparkline>
            <x14:sparkline>
              <xm:f>Figuren!J385:J385</xm:f>
              <xm:sqref>K385</xm:sqref>
            </x14:sparkline>
            <x14:sparkline>
              <xm:f>Figuren!J386:J386</xm:f>
              <xm:sqref>K386</xm:sqref>
            </x14:sparkline>
            <x14:sparkline>
              <xm:f>Figuren!J387:J387</xm:f>
              <xm:sqref>K387</xm:sqref>
            </x14:sparkline>
            <x14:sparkline>
              <xm:f>Figuren!J388:J388</xm:f>
              <xm:sqref>K388</xm:sqref>
            </x14:sparkline>
            <x14:sparkline>
              <xm:f>Figuren!J389:J389</xm:f>
              <xm:sqref>K389</xm:sqref>
            </x14:sparkline>
            <x14:sparkline>
              <xm:f>Figuren!J390:J390</xm:f>
              <xm:sqref>K390</xm:sqref>
            </x14:sparkline>
            <x14:sparkline>
              <xm:f>Figuren!J391:J391</xm:f>
              <xm:sqref>K391</xm:sqref>
            </x14:sparkline>
            <x14:sparkline>
              <xm:f>Figuren!J392:J392</xm:f>
              <xm:sqref>K392</xm:sqref>
            </x14:sparkline>
            <x14:sparkline>
              <xm:f>Figuren!J393:J393</xm:f>
              <xm:sqref>K393</xm:sqref>
            </x14:sparkline>
            <x14:sparkline>
              <xm:f>Figuren!J394:J394</xm:f>
              <xm:sqref>K394</xm:sqref>
            </x14:sparkline>
            <x14:sparkline>
              <xm:f>Figuren!J395:J395</xm:f>
              <xm:sqref>K395</xm:sqref>
            </x14:sparkline>
            <x14:sparkline>
              <xm:f>Figuren!J396:J396</xm:f>
              <xm:sqref>K396</xm:sqref>
            </x14:sparkline>
            <x14:sparkline>
              <xm:f>Figuren!J397:J397</xm:f>
              <xm:sqref>K397</xm:sqref>
            </x14:sparkline>
            <x14:sparkline>
              <xm:f>Figuren!J398:J398</xm:f>
              <xm:sqref>K398</xm:sqref>
            </x14:sparkline>
            <x14:sparkline>
              <xm:f>Figuren!J399:J399</xm:f>
              <xm:sqref>K399</xm:sqref>
            </x14:sparkline>
            <x14:sparkline>
              <xm:f>Figuren!J400:J400</xm:f>
              <xm:sqref>K400</xm:sqref>
            </x14:sparkline>
            <x14:sparkline>
              <xm:f>Figuren!J401:J401</xm:f>
              <xm:sqref>K401</xm:sqref>
            </x14:sparkline>
            <x14:sparkline>
              <xm:f>Figuren!J402:J402</xm:f>
              <xm:sqref>K402</xm:sqref>
            </x14:sparkline>
            <x14:sparkline>
              <xm:f>Figuren!J403:J403</xm:f>
              <xm:sqref>K403</xm:sqref>
            </x14:sparkline>
            <x14:sparkline>
              <xm:f>Figuren!J404:J404</xm:f>
              <xm:sqref>K404</xm:sqref>
            </x14:sparkline>
            <x14:sparkline>
              <xm:f>Figuren!J405:J405</xm:f>
              <xm:sqref>K405</xm:sqref>
            </x14:sparkline>
            <x14:sparkline>
              <xm:f>Figuren!J406:J406</xm:f>
              <xm:sqref>K406</xm:sqref>
            </x14:sparkline>
            <x14:sparkline>
              <xm:f>Figuren!J407:J407</xm:f>
              <xm:sqref>K407</xm:sqref>
            </x14:sparkline>
            <x14:sparkline>
              <xm:f>Figuren!J408:J408</xm:f>
              <xm:sqref>K408</xm:sqref>
            </x14:sparkline>
            <x14:sparkline>
              <xm:f>Figuren!J409:J409</xm:f>
              <xm:sqref>K409</xm:sqref>
            </x14:sparkline>
            <x14:sparkline>
              <xm:f>Figuren!J410:J410</xm:f>
              <xm:sqref>K410</xm:sqref>
            </x14:sparkline>
            <x14:sparkline>
              <xm:f>Figuren!J411:J411</xm:f>
              <xm:sqref>K411</xm:sqref>
            </x14:sparkline>
            <x14:sparkline>
              <xm:f>Figuren!J412:J412</xm:f>
              <xm:sqref>K412</xm:sqref>
            </x14:sparkline>
            <x14:sparkline>
              <xm:f>Figuren!J413:J413</xm:f>
              <xm:sqref>K413</xm:sqref>
            </x14:sparkline>
            <x14:sparkline>
              <xm:f>Figuren!J414:J414</xm:f>
              <xm:sqref>K414</xm:sqref>
            </x14:sparkline>
            <x14:sparkline>
              <xm:f>Figuren!J415:J415</xm:f>
              <xm:sqref>K415</xm:sqref>
            </x14:sparkline>
            <x14:sparkline>
              <xm:f>Figuren!J416:J416</xm:f>
              <xm:sqref>K416</xm:sqref>
            </x14:sparkline>
            <x14:sparkline>
              <xm:f>Figuren!J417:J417</xm:f>
              <xm:sqref>K417</xm:sqref>
            </x14:sparkline>
            <x14:sparkline>
              <xm:f>Figuren!J418:J418</xm:f>
              <xm:sqref>K418</xm:sqref>
            </x14:sparkline>
            <x14:sparkline>
              <xm:f>Figuren!J419:J419</xm:f>
              <xm:sqref>K419</xm:sqref>
            </x14:sparkline>
            <x14:sparkline>
              <xm:f>Figuren!J420:J420</xm:f>
              <xm:sqref>K420</xm:sqref>
            </x14:sparkline>
            <x14:sparkline>
              <xm:f>Figuren!J421:J421</xm:f>
              <xm:sqref>K421</xm:sqref>
            </x14:sparkline>
            <x14:sparkline>
              <xm:f>Figuren!J422:J422</xm:f>
              <xm:sqref>K422</xm:sqref>
            </x14:sparkline>
            <x14:sparkline>
              <xm:f>Figuren!J423:J423</xm:f>
              <xm:sqref>K423</xm:sqref>
            </x14:sparkline>
            <x14:sparkline>
              <xm:f>Figuren!J424:J424</xm:f>
              <xm:sqref>K424</xm:sqref>
            </x14:sparkline>
            <x14:sparkline>
              <xm:f>Figuren!J425:J425</xm:f>
              <xm:sqref>K425</xm:sqref>
            </x14:sparkline>
            <x14:sparkline>
              <xm:f>Figuren!J426:J426</xm:f>
              <xm:sqref>K426</xm:sqref>
            </x14:sparkline>
            <x14:sparkline>
              <xm:f>Figuren!J427:J427</xm:f>
              <xm:sqref>K427</xm:sqref>
            </x14:sparkline>
            <x14:sparkline>
              <xm:f>Figuren!J428:J428</xm:f>
              <xm:sqref>K428</xm:sqref>
            </x14:sparkline>
            <x14:sparkline>
              <xm:f>Figuren!J429:J429</xm:f>
              <xm:sqref>K429</xm:sqref>
            </x14:sparkline>
            <x14:sparkline>
              <xm:f>Figuren!J430:J430</xm:f>
              <xm:sqref>K430</xm:sqref>
            </x14:sparkline>
            <x14:sparkline>
              <xm:f>Figuren!J431:J431</xm:f>
              <xm:sqref>K431</xm:sqref>
            </x14:sparkline>
            <x14:sparkline>
              <xm:f>Figuren!J432:J432</xm:f>
              <xm:sqref>K432</xm:sqref>
            </x14:sparkline>
            <x14:sparkline>
              <xm:f>Figuren!J433:J433</xm:f>
              <xm:sqref>K433</xm:sqref>
            </x14:sparkline>
            <x14:sparkline>
              <xm:f>Figuren!J434:J434</xm:f>
              <xm:sqref>K434</xm:sqref>
            </x14:sparkline>
            <x14:sparkline>
              <xm:f>Figuren!J435:J435</xm:f>
              <xm:sqref>K435</xm:sqref>
            </x14:sparkline>
            <x14:sparkline>
              <xm:f>Figuren!J436:J436</xm:f>
              <xm:sqref>K436</xm:sqref>
            </x14:sparkline>
            <x14:sparkline>
              <xm:f>Figuren!J437:J437</xm:f>
              <xm:sqref>K437</xm:sqref>
            </x14:sparkline>
            <x14:sparkline>
              <xm:f>Figuren!J438:J438</xm:f>
              <xm:sqref>K438</xm:sqref>
            </x14:sparkline>
            <x14:sparkline>
              <xm:f>Figuren!J439:J439</xm:f>
              <xm:sqref>K439</xm:sqref>
            </x14:sparkline>
            <x14:sparkline>
              <xm:f>Figuren!J440:J440</xm:f>
              <xm:sqref>K440</xm:sqref>
            </x14:sparkline>
            <x14:sparkline>
              <xm:f>Figuren!J441:J441</xm:f>
              <xm:sqref>K441</xm:sqref>
            </x14:sparkline>
            <x14:sparkline>
              <xm:f>Figuren!J442:J442</xm:f>
              <xm:sqref>K442</xm:sqref>
            </x14:sparkline>
            <x14:sparkline>
              <xm:f>Figuren!J443:J443</xm:f>
              <xm:sqref>K443</xm:sqref>
            </x14:sparkline>
            <x14:sparkline>
              <xm:f>Figuren!J444:J444</xm:f>
              <xm:sqref>K444</xm:sqref>
            </x14:sparkline>
            <x14:sparkline>
              <xm:f>Figuren!J445:J445</xm:f>
              <xm:sqref>K445</xm:sqref>
            </x14:sparkline>
            <x14:sparkline>
              <xm:f>Figuren!J446:J446</xm:f>
              <xm:sqref>K446</xm:sqref>
            </x14:sparkline>
            <x14:sparkline>
              <xm:f>Figuren!J447:J447</xm:f>
              <xm:sqref>K447</xm:sqref>
            </x14:sparkline>
            <x14:sparkline>
              <xm:f>Figuren!J448:J448</xm:f>
              <xm:sqref>K448</xm:sqref>
            </x14:sparkline>
            <x14:sparkline>
              <xm:f>Figuren!J449:J449</xm:f>
              <xm:sqref>K449</xm:sqref>
            </x14:sparkline>
            <x14:sparkline>
              <xm:f>Figuren!J450:J450</xm:f>
              <xm:sqref>K450</xm:sqref>
            </x14:sparkline>
            <x14:sparkline>
              <xm:f>Figuren!J451:J451</xm:f>
              <xm:sqref>K451</xm:sqref>
            </x14:sparkline>
            <x14:sparkline>
              <xm:f>Figuren!J452:J452</xm:f>
              <xm:sqref>K452</xm:sqref>
            </x14:sparkline>
            <x14:sparkline>
              <xm:f>Figuren!J453:J453</xm:f>
              <xm:sqref>K453</xm:sqref>
            </x14:sparkline>
            <x14:sparkline>
              <xm:f>Figuren!J454:J454</xm:f>
              <xm:sqref>K454</xm:sqref>
            </x14:sparkline>
            <x14:sparkline>
              <xm:f>Figuren!J455:J455</xm:f>
              <xm:sqref>K455</xm:sqref>
            </x14:sparkline>
            <x14:sparkline>
              <xm:f>Figuren!J456:J456</xm:f>
              <xm:sqref>K456</xm:sqref>
            </x14:sparkline>
            <x14:sparkline>
              <xm:f>Figuren!J457:J457</xm:f>
              <xm:sqref>K457</xm:sqref>
            </x14:sparkline>
            <x14:sparkline>
              <xm:f>Figuren!J458:J458</xm:f>
              <xm:sqref>K458</xm:sqref>
            </x14:sparkline>
            <x14:sparkline>
              <xm:f>Figuren!J459:J459</xm:f>
              <xm:sqref>K459</xm:sqref>
            </x14:sparkline>
            <x14:sparkline>
              <xm:f>Figuren!J460:J460</xm:f>
              <xm:sqref>K460</xm:sqref>
            </x14:sparkline>
            <x14:sparkline>
              <xm:f>Figuren!J461:J461</xm:f>
              <xm:sqref>K461</xm:sqref>
            </x14:sparkline>
            <x14:sparkline>
              <xm:f>Figuren!J462:J462</xm:f>
              <xm:sqref>K462</xm:sqref>
            </x14:sparkline>
            <x14:sparkline>
              <xm:f>Figuren!J463:J463</xm:f>
              <xm:sqref>K463</xm:sqref>
            </x14:sparkline>
            <x14:sparkline>
              <xm:f>Figuren!J464:J464</xm:f>
              <xm:sqref>K464</xm:sqref>
            </x14:sparkline>
            <x14:sparkline>
              <xm:f>Figuren!J465:J465</xm:f>
              <xm:sqref>K465</xm:sqref>
            </x14:sparkline>
            <x14:sparkline>
              <xm:f>Figuren!J466:J466</xm:f>
              <xm:sqref>K466</xm:sqref>
            </x14:sparkline>
            <x14:sparkline>
              <xm:f>Figuren!J467:J467</xm:f>
              <xm:sqref>K467</xm:sqref>
            </x14:sparkline>
            <x14:sparkline>
              <xm:f>Figuren!J468:J468</xm:f>
              <xm:sqref>K468</xm:sqref>
            </x14:sparkline>
            <x14:sparkline>
              <xm:f>Figuren!J469:J469</xm:f>
              <xm:sqref>K469</xm:sqref>
            </x14:sparkline>
            <x14:sparkline>
              <xm:f>Figuren!J470:J470</xm:f>
              <xm:sqref>K470</xm:sqref>
            </x14:sparkline>
            <x14:sparkline>
              <xm:f>Figuren!J471:J471</xm:f>
              <xm:sqref>K471</xm:sqref>
            </x14:sparkline>
            <x14:sparkline>
              <xm:f>Figuren!J472:J472</xm:f>
              <xm:sqref>K472</xm:sqref>
            </x14:sparkline>
            <x14:sparkline>
              <xm:f>Figuren!J473:J473</xm:f>
              <xm:sqref>K473</xm:sqref>
            </x14:sparkline>
            <x14:sparkline>
              <xm:f>Figuren!J474:J474</xm:f>
              <xm:sqref>K474</xm:sqref>
            </x14:sparkline>
            <x14:sparkline>
              <xm:f>Figuren!J475:J475</xm:f>
              <xm:sqref>K475</xm:sqref>
            </x14:sparkline>
            <x14:sparkline>
              <xm:f>Figuren!J476:J476</xm:f>
              <xm:sqref>K476</xm:sqref>
            </x14:sparkline>
            <x14:sparkline>
              <xm:f>Figuren!J477:J477</xm:f>
              <xm:sqref>K477</xm:sqref>
            </x14:sparkline>
            <x14:sparkline>
              <xm:f>Figuren!J478:J478</xm:f>
              <xm:sqref>K478</xm:sqref>
            </x14:sparkline>
            <x14:sparkline>
              <xm:f>Figuren!J479:J479</xm:f>
              <xm:sqref>K479</xm:sqref>
            </x14:sparkline>
            <x14:sparkline>
              <xm:f>Figuren!J480:J480</xm:f>
              <xm:sqref>K480</xm:sqref>
            </x14:sparkline>
            <x14:sparkline>
              <xm:f>Figuren!J481:J481</xm:f>
              <xm:sqref>K481</xm:sqref>
            </x14:sparkline>
            <x14:sparkline>
              <xm:f>Figuren!J482:J482</xm:f>
              <xm:sqref>K482</xm:sqref>
            </x14:sparkline>
            <x14:sparkline>
              <xm:f>Figuren!J483:J483</xm:f>
              <xm:sqref>K483</xm:sqref>
            </x14:sparkline>
            <x14:sparkline>
              <xm:f>Figuren!J484:J484</xm:f>
              <xm:sqref>K484</xm:sqref>
            </x14:sparkline>
            <x14:sparkline>
              <xm:f>Figuren!J485:J485</xm:f>
              <xm:sqref>K485</xm:sqref>
            </x14:sparkline>
            <x14:sparkline>
              <xm:f>Figuren!J486:J486</xm:f>
              <xm:sqref>K486</xm:sqref>
            </x14:sparkline>
            <x14:sparkline>
              <xm:f>Figuren!J487:J487</xm:f>
              <xm:sqref>K487</xm:sqref>
            </x14:sparkline>
            <x14:sparkline>
              <xm:f>Figuren!J488:J488</xm:f>
              <xm:sqref>K488</xm:sqref>
            </x14:sparkline>
            <x14:sparkline>
              <xm:f>Figuren!J489:J489</xm:f>
              <xm:sqref>K489</xm:sqref>
            </x14:sparkline>
            <x14:sparkline>
              <xm:f>Figuren!J490:J490</xm:f>
              <xm:sqref>K490</xm:sqref>
            </x14:sparkline>
            <x14:sparkline>
              <xm:f>Figuren!J491:J491</xm:f>
              <xm:sqref>K491</xm:sqref>
            </x14:sparkline>
            <x14:sparkline>
              <xm:f>Figuren!J492:J492</xm:f>
              <xm:sqref>K492</xm:sqref>
            </x14:sparkline>
            <x14:sparkline>
              <xm:f>Figuren!J493:J493</xm:f>
              <xm:sqref>K493</xm:sqref>
            </x14:sparkline>
            <x14:sparkline>
              <xm:f>Figuren!J494:J494</xm:f>
              <xm:sqref>K494</xm:sqref>
            </x14:sparkline>
            <x14:sparkline>
              <xm:f>Figuren!J495:J495</xm:f>
              <xm:sqref>K495</xm:sqref>
            </x14:sparkline>
            <x14:sparkline>
              <xm:f>Figuren!J496:J496</xm:f>
              <xm:sqref>K496</xm:sqref>
            </x14:sparkline>
            <x14:sparkline>
              <xm:f>Figuren!J497:J497</xm:f>
              <xm:sqref>K497</xm:sqref>
            </x14:sparkline>
            <x14:sparkline>
              <xm:f>Figuren!J498:J498</xm:f>
              <xm:sqref>K498</xm:sqref>
            </x14:sparkline>
            <x14:sparkline>
              <xm:f>Figuren!J499:J499</xm:f>
              <xm:sqref>K499</xm:sqref>
            </x14:sparkline>
            <x14:sparkline>
              <xm:f>Figuren!J500:J500</xm:f>
              <xm:sqref>K500</xm:sqref>
            </x14:sparkline>
            <x14:sparkline>
              <xm:f>Figuren!J501:J501</xm:f>
              <xm:sqref>K501</xm:sqref>
            </x14:sparkline>
            <x14:sparkline>
              <xm:f>Figuren!J502:J502</xm:f>
              <xm:sqref>K502</xm:sqref>
            </x14:sparkline>
            <x14:sparkline>
              <xm:f>Figuren!J503:J503</xm:f>
              <xm:sqref>K503</xm:sqref>
            </x14:sparkline>
            <x14:sparkline>
              <xm:f>Figuren!J504:J504</xm:f>
              <xm:sqref>K504</xm:sqref>
            </x14:sparkline>
            <x14:sparkline>
              <xm:f>Figuren!J505:J505</xm:f>
              <xm:sqref>K505</xm:sqref>
            </x14:sparkline>
            <x14:sparkline>
              <xm:f>Figuren!J506:J506</xm:f>
              <xm:sqref>K506</xm:sqref>
            </x14:sparkline>
            <x14:sparkline>
              <xm:f>Figuren!J507:J507</xm:f>
              <xm:sqref>K507</xm:sqref>
            </x14:sparkline>
            <x14:sparkline>
              <xm:f>Figuren!J508:J508</xm:f>
              <xm:sqref>K508</xm:sqref>
            </x14:sparkline>
            <x14:sparkline>
              <xm:f>Figuren!J509:J509</xm:f>
              <xm:sqref>K509</xm:sqref>
            </x14:sparkline>
            <x14:sparkline>
              <xm:f>Figuren!J510:J510</xm:f>
              <xm:sqref>K510</xm:sqref>
            </x14:sparkline>
            <x14:sparkline>
              <xm:f>Figuren!J511:J511</xm:f>
              <xm:sqref>K511</xm:sqref>
            </x14:sparkline>
            <x14:sparkline>
              <xm:f>Figuren!J512:J512</xm:f>
              <xm:sqref>K512</xm:sqref>
            </x14:sparkline>
            <x14:sparkline>
              <xm:f>Figuren!J513:J513</xm:f>
              <xm:sqref>K513</xm:sqref>
            </x14:sparkline>
            <x14:sparkline>
              <xm:f>Figuren!J514:J514</xm:f>
              <xm:sqref>K514</xm:sqref>
            </x14:sparkline>
            <x14:sparkline>
              <xm:f>Figuren!J515:J515</xm:f>
              <xm:sqref>K515</xm:sqref>
            </x14:sparkline>
            <x14:sparkline>
              <xm:f>Figuren!J516:J516</xm:f>
              <xm:sqref>K516</xm:sqref>
            </x14:sparkline>
            <x14:sparkline>
              <xm:f>Figuren!J517:J517</xm:f>
              <xm:sqref>K517</xm:sqref>
            </x14:sparkline>
            <x14:sparkline>
              <xm:f>Figuren!J518:J518</xm:f>
              <xm:sqref>K518</xm:sqref>
            </x14:sparkline>
            <x14:sparkline>
              <xm:f>Figuren!J519:J519</xm:f>
              <xm:sqref>K519</xm:sqref>
            </x14:sparkline>
            <x14:sparkline>
              <xm:f>Figuren!J520:J520</xm:f>
              <xm:sqref>K520</xm:sqref>
            </x14:sparkline>
            <x14:sparkline>
              <xm:f>Figuren!J521:J521</xm:f>
              <xm:sqref>K521</xm:sqref>
            </x14:sparkline>
            <x14:sparkline>
              <xm:f>Figuren!J522:J522</xm:f>
              <xm:sqref>K522</xm:sqref>
            </x14:sparkline>
            <x14:sparkline>
              <xm:f>Figuren!J523:J523</xm:f>
              <xm:sqref>K523</xm:sqref>
            </x14:sparkline>
            <x14:sparkline>
              <xm:f>Figuren!J524:J524</xm:f>
              <xm:sqref>K524</xm:sqref>
            </x14:sparkline>
            <x14:sparkline>
              <xm:f>Figuren!J525:J525</xm:f>
              <xm:sqref>K525</xm:sqref>
            </x14:sparkline>
            <x14:sparkline>
              <xm:f>Figuren!J526:J526</xm:f>
              <xm:sqref>K526</xm:sqref>
            </x14:sparkline>
            <x14:sparkline>
              <xm:f>Figuren!J527:J527</xm:f>
              <xm:sqref>K527</xm:sqref>
            </x14:sparkline>
            <x14:sparkline>
              <xm:f>Figuren!J528:J528</xm:f>
              <xm:sqref>K528</xm:sqref>
            </x14:sparkline>
            <x14:sparkline>
              <xm:f>Figuren!J529:J529</xm:f>
              <xm:sqref>K529</xm:sqref>
            </x14:sparkline>
            <x14:sparkline>
              <xm:f>Figuren!J530:J530</xm:f>
              <xm:sqref>K530</xm:sqref>
            </x14:sparkline>
            <x14:sparkline>
              <xm:f>Figuren!J531:J531</xm:f>
              <xm:sqref>K531</xm:sqref>
            </x14:sparkline>
            <x14:sparkline>
              <xm:f>Figuren!J532:J532</xm:f>
              <xm:sqref>K532</xm:sqref>
            </x14:sparkline>
            <x14:sparkline>
              <xm:f>Figuren!J533:J533</xm:f>
              <xm:sqref>K533</xm:sqref>
            </x14:sparkline>
            <x14:sparkline>
              <xm:f>Figuren!J534:J534</xm:f>
              <xm:sqref>K534</xm:sqref>
            </x14:sparkline>
            <x14:sparkline>
              <xm:f>Figuren!J535:J535</xm:f>
              <xm:sqref>K535</xm:sqref>
            </x14:sparkline>
            <x14:sparkline>
              <xm:f>Figuren!J536:J536</xm:f>
              <xm:sqref>K536</xm:sqref>
            </x14:sparkline>
            <x14:sparkline>
              <xm:f>Figuren!J537:J537</xm:f>
              <xm:sqref>K537</xm:sqref>
            </x14:sparkline>
            <x14:sparkline>
              <xm:f>Figuren!J538:J538</xm:f>
              <xm:sqref>K538</xm:sqref>
            </x14:sparkline>
            <x14:sparkline>
              <xm:f>Figuren!J539:J539</xm:f>
              <xm:sqref>K539</xm:sqref>
            </x14:sparkline>
            <x14:sparkline>
              <xm:f>Figuren!J540:J540</xm:f>
              <xm:sqref>K540</xm:sqref>
            </x14:sparkline>
            <x14:sparkline>
              <xm:f>Figuren!J541:J541</xm:f>
              <xm:sqref>K541</xm:sqref>
            </x14:sparkline>
            <x14:sparkline>
              <xm:f>Figuren!J542:J542</xm:f>
              <xm:sqref>K542</xm:sqref>
            </x14:sparkline>
            <x14:sparkline>
              <xm:f>Figuren!J543:J543</xm:f>
              <xm:sqref>K543</xm:sqref>
            </x14:sparkline>
            <x14:sparkline>
              <xm:f>Figuren!J544:J544</xm:f>
              <xm:sqref>K544</xm:sqref>
            </x14:sparkline>
            <x14:sparkline>
              <xm:f>Figuren!J545:J545</xm:f>
              <xm:sqref>K545</xm:sqref>
            </x14:sparkline>
            <x14:sparkline>
              <xm:f>Figuren!J546:J546</xm:f>
              <xm:sqref>K546</xm:sqref>
            </x14:sparkline>
            <x14:sparkline>
              <xm:f>Figuren!J547:J547</xm:f>
              <xm:sqref>K547</xm:sqref>
            </x14:sparkline>
            <x14:sparkline>
              <xm:f>Figuren!J548:J548</xm:f>
              <xm:sqref>K548</xm:sqref>
            </x14:sparkline>
            <x14:sparkline>
              <xm:f>Figuren!J549:J549</xm:f>
              <xm:sqref>K549</xm:sqref>
            </x14:sparkline>
            <x14:sparkline>
              <xm:f>Figuren!J550:J550</xm:f>
              <xm:sqref>K550</xm:sqref>
            </x14:sparkline>
            <x14:sparkline>
              <xm:f>Figuren!J551:J551</xm:f>
              <xm:sqref>K551</xm:sqref>
            </x14:sparkline>
            <x14:sparkline>
              <xm:f>Figuren!J552:J552</xm:f>
              <xm:sqref>K552</xm:sqref>
            </x14:sparkline>
            <x14:sparkline>
              <xm:f>Figuren!J553:J553</xm:f>
              <xm:sqref>K553</xm:sqref>
            </x14:sparkline>
            <x14:sparkline>
              <xm:f>Figuren!J554:J554</xm:f>
              <xm:sqref>K554</xm:sqref>
            </x14:sparkline>
            <x14:sparkline>
              <xm:f>Figuren!J555:J555</xm:f>
              <xm:sqref>K555</xm:sqref>
            </x14:sparkline>
            <x14:sparkline>
              <xm:f>Figuren!J556:J556</xm:f>
              <xm:sqref>K556</xm:sqref>
            </x14:sparkline>
            <x14:sparkline>
              <xm:f>Figuren!J557:J557</xm:f>
              <xm:sqref>K557</xm:sqref>
            </x14:sparkline>
            <x14:sparkline>
              <xm:f>Figuren!J558:J558</xm:f>
              <xm:sqref>K558</xm:sqref>
            </x14:sparkline>
            <x14:sparkline>
              <xm:f>Figuren!J559:J559</xm:f>
              <xm:sqref>K559</xm:sqref>
            </x14:sparkline>
            <x14:sparkline>
              <xm:f>Figuren!J560:J560</xm:f>
              <xm:sqref>K560</xm:sqref>
            </x14:sparkline>
            <x14:sparkline>
              <xm:f>Figuren!J561:J561</xm:f>
              <xm:sqref>K561</xm:sqref>
            </x14:sparkline>
            <x14:sparkline>
              <xm:f>Figuren!J562:J562</xm:f>
              <xm:sqref>K562</xm:sqref>
            </x14:sparkline>
            <x14:sparkline>
              <xm:f>Figuren!J563:J563</xm:f>
              <xm:sqref>K563</xm:sqref>
            </x14:sparkline>
            <x14:sparkline>
              <xm:f>Figuren!J564:J564</xm:f>
              <xm:sqref>K564</xm:sqref>
            </x14:sparkline>
            <x14:sparkline>
              <xm:f>Figuren!J565:J565</xm:f>
              <xm:sqref>K565</xm:sqref>
            </x14:sparkline>
            <x14:sparkline>
              <xm:f>Figuren!J566:J566</xm:f>
              <xm:sqref>K566</xm:sqref>
            </x14:sparkline>
            <x14:sparkline>
              <xm:f>Figuren!J567:J567</xm:f>
              <xm:sqref>K567</xm:sqref>
            </x14:sparkline>
            <x14:sparkline>
              <xm:f>Figuren!J568:J568</xm:f>
              <xm:sqref>K568</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761A2-4428-41C5-BCB0-840C723709D1}">
  <dimension ref="A1:F4"/>
  <sheetViews>
    <sheetView workbookViewId="0">
      <selection activeCell="F15" sqref="F15"/>
    </sheetView>
  </sheetViews>
  <sheetFormatPr baseColWidth="10" defaultColWidth="8.88671875" defaultRowHeight="14.4" x14ac:dyDescent="0.3"/>
  <cols>
    <col min="1" max="1" width="10.77734375" bestFit="1" customWidth="1"/>
    <col min="2" max="2" width="8" bestFit="1" customWidth="1"/>
    <col min="3" max="3" width="17.88671875" bestFit="1" customWidth="1"/>
    <col min="4" max="4" width="30" bestFit="1" customWidth="1"/>
    <col min="5" max="5" width="28.21875" bestFit="1" customWidth="1"/>
    <col min="6" max="6" width="31.6640625" bestFit="1" customWidth="1"/>
  </cols>
  <sheetData>
    <row r="1" spans="1:6" x14ac:dyDescent="0.3">
      <c r="A1" t="s">
        <v>613</v>
      </c>
      <c r="B1" t="s">
        <v>614</v>
      </c>
      <c r="C1" t="s">
        <v>615</v>
      </c>
      <c r="D1" t="s">
        <v>616</v>
      </c>
      <c r="E1" t="s">
        <v>617</v>
      </c>
      <c r="F1" t="s">
        <v>618</v>
      </c>
    </row>
    <row r="2" spans="1:6" x14ac:dyDescent="0.3">
      <c r="A2" t="s">
        <v>837</v>
      </c>
      <c r="B2" t="s">
        <v>17</v>
      </c>
    </row>
    <row r="3" spans="1:6" x14ac:dyDescent="0.3">
      <c r="A3" t="s">
        <v>838</v>
      </c>
      <c r="B3" t="s">
        <v>23</v>
      </c>
    </row>
    <row r="4" spans="1:6" x14ac:dyDescent="0.3">
      <c r="A4" t="s">
        <v>839</v>
      </c>
      <c r="B4" t="s">
        <v>27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P22"/>
  <sheetViews>
    <sheetView zoomScale="90" zoomScaleNormal="90" workbookViewId="0">
      <selection activeCell="N22" sqref="N22"/>
    </sheetView>
  </sheetViews>
  <sheetFormatPr baseColWidth="10" defaultColWidth="11.5546875" defaultRowHeight="14.4" x14ac:dyDescent="0.3"/>
  <cols>
    <col min="1" max="1" width="15.88671875" bestFit="1" customWidth="1"/>
    <col min="2" max="2" width="20.88671875" bestFit="1" customWidth="1"/>
    <col min="16" max="16" width="23" customWidth="1"/>
  </cols>
  <sheetData>
    <row r="3" spans="1:2" x14ac:dyDescent="0.3">
      <c r="A3" s="1" t="s">
        <v>11</v>
      </c>
      <c r="B3" t="s">
        <v>547</v>
      </c>
    </row>
    <row r="4" spans="1:2" x14ac:dyDescent="0.3">
      <c r="A4" t="s">
        <v>18</v>
      </c>
      <c r="B4" s="24">
        <v>296</v>
      </c>
    </row>
    <row r="5" spans="1:2" x14ac:dyDescent="0.3">
      <c r="A5" t="s">
        <v>24</v>
      </c>
      <c r="B5" s="24">
        <v>162</v>
      </c>
    </row>
    <row r="6" spans="1:2" x14ac:dyDescent="0.3">
      <c r="A6" t="s">
        <v>46</v>
      </c>
      <c r="B6" s="24">
        <v>95</v>
      </c>
    </row>
    <row r="7" spans="1:2" x14ac:dyDescent="0.3">
      <c r="A7" t="s">
        <v>47</v>
      </c>
      <c r="B7" s="24">
        <v>5</v>
      </c>
    </row>
    <row r="8" spans="1:2" x14ac:dyDescent="0.3">
      <c r="A8" t="s">
        <v>145</v>
      </c>
      <c r="B8" s="24">
        <v>4</v>
      </c>
    </row>
    <row r="9" spans="1:2" x14ac:dyDescent="0.3">
      <c r="A9" t="s">
        <v>386</v>
      </c>
      <c r="B9" s="24">
        <v>1</v>
      </c>
    </row>
    <row r="21" spans="15:16" x14ac:dyDescent="0.3">
      <c r="O21" t="s">
        <v>610</v>
      </c>
      <c r="P21" t="s">
        <v>611</v>
      </c>
    </row>
    <row r="22" spans="15:16" ht="43.2" x14ac:dyDescent="0.3">
      <c r="O22" t="s">
        <v>609</v>
      </c>
      <c r="P22" s="3" t="s">
        <v>732</v>
      </c>
    </row>
  </sheetData>
  <pageMargins left="0.7" right="0.7" top="0.78740157499999996" bottom="0.78740157499999996"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8"/>
  <sheetViews>
    <sheetView zoomScaleNormal="100" workbookViewId="0">
      <selection activeCell="P12" sqref="P12"/>
    </sheetView>
  </sheetViews>
  <sheetFormatPr baseColWidth="10" defaultColWidth="11.5546875" defaultRowHeight="14.4" x14ac:dyDescent="0.3"/>
  <cols>
    <col min="1" max="1" width="9.5546875" bestFit="1" customWidth="1"/>
    <col min="2" max="2" width="14.77734375" bestFit="1" customWidth="1"/>
  </cols>
  <sheetData>
    <row r="3" spans="1:2" x14ac:dyDescent="0.3">
      <c r="A3" s="1" t="s">
        <v>13</v>
      </c>
      <c r="B3" t="s">
        <v>548</v>
      </c>
    </row>
    <row r="4" spans="1:2" x14ac:dyDescent="0.3">
      <c r="A4" t="s">
        <v>47</v>
      </c>
      <c r="B4" s="24">
        <v>430</v>
      </c>
    </row>
    <row r="5" spans="1:2" x14ac:dyDescent="0.3">
      <c r="A5" t="s">
        <v>20</v>
      </c>
      <c r="B5" s="24">
        <v>73</v>
      </c>
    </row>
    <row r="6" spans="1:2" x14ac:dyDescent="0.3">
      <c r="A6" t="s">
        <v>32</v>
      </c>
      <c r="B6" s="24">
        <v>38</v>
      </c>
    </row>
    <row r="7" spans="1:2" x14ac:dyDescent="0.3">
      <c r="A7" t="s">
        <v>28</v>
      </c>
      <c r="B7" s="24">
        <v>12</v>
      </c>
    </row>
    <row r="8" spans="1:2" x14ac:dyDescent="0.3">
      <c r="A8" t="s">
        <v>311</v>
      </c>
      <c r="B8" s="24">
        <v>8</v>
      </c>
    </row>
  </sheetData>
  <pageMargins left="0.7" right="0.7" top="0.78740157499999996" bottom="0.78740157499999996"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9"/>
  <sheetViews>
    <sheetView workbookViewId="0"/>
  </sheetViews>
  <sheetFormatPr baseColWidth="10" defaultColWidth="11.5546875"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62DAC-3A0A-4D1B-BC80-BC1824D51164}">
  <dimension ref="A3:B10"/>
  <sheetViews>
    <sheetView zoomScale="90" zoomScaleNormal="90" workbookViewId="0">
      <selection activeCell="A4" sqref="A4"/>
    </sheetView>
  </sheetViews>
  <sheetFormatPr baseColWidth="10" defaultColWidth="11.5546875" defaultRowHeight="14.4" x14ac:dyDescent="0.3"/>
  <cols>
    <col min="1" max="1" width="10.77734375" bestFit="1" customWidth="1"/>
    <col min="2" max="2" width="16" bestFit="1" customWidth="1"/>
  </cols>
  <sheetData>
    <row r="3" spans="1:2" x14ac:dyDescent="0.3">
      <c r="A3" s="1" t="s">
        <v>550</v>
      </c>
      <c r="B3" t="s">
        <v>552</v>
      </c>
    </row>
    <row r="4" spans="1:2" x14ac:dyDescent="0.3">
      <c r="A4" t="s">
        <v>551</v>
      </c>
      <c r="B4" s="24">
        <v>73</v>
      </c>
    </row>
    <row r="5" spans="1:2" x14ac:dyDescent="0.3">
      <c r="A5" t="s">
        <v>47</v>
      </c>
      <c r="B5" s="24">
        <v>59</v>
      </c>
    </row>
    <row r="6" spans="1:2" x14ac:dyDescent="0.3">
      <c r="A6" t="s">
        <v>855</v>
      </c>
      <c r="B6" s="24">
        <v>37</v>
      </c>
    </row>
    <row r="7" spans="1:2" x14ac:dyDescent="0.3">
      <c r="A7" t="s">
        <v>148</v>
      </c>
      <c r="B7" s="24">
        <v>10</v>
      </c>
    </row>
    <row r="8" spans="1:2" x14ac:dyDescent="0.3">
      <c r="A8" t="s">
        <v>856</v>
      </c>
      <c r="B8" s="24">
        <v>9</v>
      </c>
    </row>
    <row r="9" spans="1:2" x14ac:dyDescent="0.3">
      <c r="A9" t="s">
        <v>19</v>
      </c>
      <c r="B9" s="24">
        <v>8</v>
      </c>
    </row>
    <row r="10" spans="1:2" x14ac:dyDescent="0.3">
      <c r="B10">
        <f xml:space="preserve"> SUM(B4:B9)</f>
        <v>196</v>
      </c>
    </row>
  </sheetData>
  <pageMargins left="0.7" right="0.7" top="0.78740157499999996" bottom="0.78740157499999996"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FF775-F332-4940-87D9-908DA667A9D5}">
  <dimension ref="A3:B22"/>
  <sheetViews>
    <sheetView zoomScaleNormal="100" zoomScaleSheetLayoutView="100" workbookViewId="0">
      <selection activeCell="Y26" sqref="Y26"/>
    </sheetView>
  </sheetViews>
  <sheetFormatPr baseColWidth="10" defaultColWidth="8.88671875" defaultRowHeight="14.4" x14ac:dyDescent="0.3"/>
  <cols>
    <col min="1" max="1" width="21" bestFit="1" customWidth="1"/>
    <col min="2" max="2" width="20.5546875" bestFit="1" customWidth="1"/>
    <col min="3" max="3" width="11.6640625" bestFit="1" customWidth="1"/>
    <col min="4" max="4" width="6.5546875" bestFit="1" customWidth="1"/>
    <col min="6" max="6" width="10.6640625" bestFit="1" customWidth="1"/>
    <col min="7" max="7" width="9.5546875" bestFit="1" customWidth="1"/>
    <col min="8" max="8" width="5" bestFit="1" customWidth="1"/>
    <col min="9" max="9" width="7.77734375" bestFit="1" customWidth="1"/>
    <col min="10" max="10" width="20.109375" bestFit="1" customWidth="1"/>
    <col min="11" max="12" width="9.109375" bestFit="1" customWidth="1"/>
    <col min="13" max="13" width="12.21875" bestFit="1" customWidth="1"/>
    <col min="14" max="14" width="6.88671875" bestFit="1" customWidth="1"/>
    <col min="15" max="15" width="4.44140625" bestFit="1" customWidth="1"/>
    <col min="16" max="16" width="6.21875" bestFit="1" customWidth="1"/>
    <col min="17" max="17" width="4.6640625" bestFit="1" customWidth="1"/>
    <col min="18" max="18" width="5.21875" bestFit="1" customWidth="1"/>
    <col min="19" max="19" width="8.77734375" bestFit="1" customWidth="1"/>
    <col min="20" max="20" width="9.44140625" bestFit="1" customWidth="1"/>
    <col min="21" max="21" width="6.88671875" bestFit="1" customWidth="1"/>
    <col min="22" max="22" width="3.5546875" bestFit="1" customWidth="1"/>
    <col min="23" max="23" width="8.33203125" bestFit="1" customWidth="1"/>
    <col min="24" max="24" width="12.109375" bestFit="1" customWidth="1"/>
    <col min="25" max="25" width="14.44140625" bestFit="1" customWidth="1"/>
    <col min="26" max="26" width="6.21875" bestFit="1" customWidth="1"/>
    <col min="27" max="27" width="10.21875" bestFit="1" customWidth="1"/>
    <col min="28" max="28" width="5.44140625" bestFit="1" customWidth="1"/>
    <col min="29" max="29" width="11" bestFit="1" customWidth="1"/>
  </cols>
  <sheetData>
    <row r="3" spans="1:2" x14ac:dyDescent="0.3">
      <c r="A3" s="1" t="s">
        <v>739</v>
      </c>
      <c r="B3" t="s">
        <v>724</v>
      </c>
    </row>
    <row r="4" spans="1:2" x14ac:dyDescent="0.3">
      <c r="A4" s="2" t="s">
        <v>47</v>
      </c>
      <c r="B4" s="24">
        <v>197</v>
      </c>
    </row>
    <row r="5" spans="1:2" x14ac:dyDescent="0.3">
      <c r="A5" s="2" t="s">
        <v>96</v>
      </c>
      <c r="B5" s="24">
        <v>75</v>
      </c>
    </row>
    <row r="6" spans="1:2" x14ac:dyDescent="0.3">
      <c r="A6" s="2" t="s">
        <v>53</v>
      </c>
      <c r="B6" s="24">
        <v>66</v>
      </c>
    </row>
    <row r="7" spans="1:2" x14ac:dyDescent="0.3">
      <c r="A7" s="2" t="s">
        <v>93</v>
      </c>
      <c r="B7" s="24">
        <v>63</v>
      </c>
    </row>
    <row r="8" spans="1:2" x14ac:dyDescent="0.3">
      <c r="A8" s="2" t="s">
        <v>71</v>
      </c>
      <c r="B8" s="24">
        <v>28</v>
      </c>
    </row>
    <row r="9" spans="1:2" x14ac:dyDescent="0.3">
      <c r="A9" s="2" t="s">
        <v>25</v>
      </c>
      <c r="B9" s="24">
        <v>24</v>
      </c>
    </row>
    <row r="10" spans="1:2" x14ac:dyDescent="0.3">
      <c r="A10" s="2" t="s">
        <v>104</v>
      </c>
      <c r="B10" s="24">
        <v>23</v>
      </c>
    </row>
    <row r="11" spans="1:2" x14ac:dyDescent="0.3">
      <c r="A11" s="2" t="s">
        <v>21</v>
      </c>
      <c r="B11" s="24">
        <v>21</v>
      </c>
    </row>
    <row r="12" spans="1:2" x14ac:dyDescent="0.3">
      <c r="A12" s="2" t="s">
        <v>87</v>
      </c>
      <c r="B12" s="24">
        <v>19</v>
      </c>
    </row>
    <row r="13" spans="1:2" x14ac:dyDescent="0.3">
      <c r="A13" s="2" t="s">
        <v>33</v>
      </c>
      <c r="B13" s="24">
        <v>15</v>
      </c>
    </row>
    <row r="14" spans="1:2" x14ac:dyDescent="0.3">
      <c r="A14" s="2" t="s">
        <v>36</v>
      </c>
      <c r="B14" s="24">
        <v>10</v>
      </c>
    </row>
    <row r="15" spans="1:2" x14ac:dyDescent="0.3">
      <c r="A15" s="2" t="s">
        <v>136</v>
      </c>
      <c r="B15" s="24">
        <v>8</v>
      </c>
    </row>
    <row r="16" spans="1:2" x14ac:dyDescent="0.3">
      <c r="A16" s="2" t="s">
        <v>39</v>
      </c>
      <c r="B16" s="24">
        <v>7</v>
      </c>
    </row>
    <row r="17" spans="1:2" x14ac:dyDescent="0.3">
      <c r="A17" s="2" t="s">
        <v>147</v>
      </c>
      <c r="B17" s="24">
        <v>6</v>
      </c>
    </row>
    <row r="18" spans="1:2" x14ac:dyDescent="0.3">
      <c r="A18" s="2" t="s">
        <v>44</v>
      </c>
      <c r="B18" s="24">
        <v>5</v>
      </c>
    </row>
    <row r="19" spans="1:2" x14ac:dyDescent="0.3">
      <c r="A19" s="2" t="s">
        <v>204</v>
      </c>
      <c r="B19" s="24">
        <v>2</v>
      </c>
    </row>
    <row r="20" spans="1:2" x14ac:dyDescent="0.3">
      <c r="A20" s="2" t="s">
        <v>324</v>
      </c>
      <c r="B20" s="24">
        <v>1</v>
      </c>
    </row>
    <row r="21" spans="1:2" x14ac:dyDescent="0.3">
      <c r="A21" s="2" t="s">
        <v>19</v>
      </c>
      <c r="B21" s="24">
        <v>1</v>
      </c>
    </row>
    <row r="22" spans="1:2" x14ac:dyDescent="0.3">
      <c r="A22" s="2" t="s">
        <v>740</v>
      </c>
      <c r="B22" s="24">
        <v>571</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5"/>
  <sheetViews>
    <sheetView topLeftCell="A4" zoomScale="90" zoomScaleNormal="90" workbookViewId="0">
      <selection activeCell="P18" sqref="P18"/>
    </sheetView>
  </sheetViews>
  <sheetFormatPr baseColWidth="10" defaultColWidth="11.5546875" defaultRowHeight="14.4" x14ac:dyDescent="0.3"/>
  <cols>
    <col min="1" max="1" width="10.33203125" bestFit="1" customWidth="1"/>
    <col min="2" max="2" width="15.5546875" bestFit="1" customWidth="1"/>
  </cols>
  <sheetData>
    <row r="3" spans="1:2" x14ac:dyDescent="0.3">
      <c r="A3" s="1" t="s">
        <v>15</v>
      </c>
      <c r="B3" t="s">
        <v>549</v>
      </c>
    </row>
    <row r="4" spans="1:2" x14ac:dyDescent="0.3">
      <c r="A4" t="s">
        <v>26</v>
      </c>
      <c r="B4" s="24">
        <v>372</v>
      </c>
    </row>
    <row r="5" spans="1:2" x14ac:dyDescent="0.3">
      <c r="A5" t="s">
        <v>22</v>
      </c>
      <c r="B5" s="24">
        <v>199</v>
      </c>
    </row>
  </sheetData>
  <pageMargins left="0.7" right="0.7" top="0.78740157499999996" bottom="0.78740157499999996"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2CAFA-9E1A-49C1-AEF8-73B41CB84ACD}">
  <dimension ref="A1:I86"/>
  <sheetViews>
    <sheetView zoomScale="90" zoomScaleNormal="90" zoomScaleSheetLayoutView="110" workbookViewId="0">
      <selection activeCell="K6" sqref="K6"/>
    </sheetView>
  </sheetViews>
  <sheetFormatPr baseColWidth="10" defaultColWidth="8.88671875" defaultRowHeight="14.4" x14ac:dyDescent="0.3"/>
  <cols>
    <col min="1" max="1" width="22.88671875" bestFit="1" customWidth="1"/>
    <col min="2" max="2" width="16.21875" bestFit="1" customWidth="1"/>
    <col min="3" max="3" width="11.21875" hidden="1" customWidth="1"/>
    <col min="4" max="4" width="22.88671875" customWidth="1"/>
    <col min="5" max="5" width="14.6640625" hidden="1" customWidth="1"/>
    <col min="6" max="6" width="16.77734375" bestFit="1" customWidth="1"/>
    <col min="7" max="7" width="13.33203125" hidden="1" customWidth="1"/>
    <col min="8" max="8" width="20.21875" customWidth="1"/>
    <col min="9" max="9" width="14.5546875" hidden="1" customWidth="1"/>
  </cols>
  <sheetData>
    <row r="1" spans="1:9" ht="25.8" x14ac:dyDescent="0.5">
      <c r="A1" s="9" t="s">
        <v>553</v>
      </c>
    </row>
    <row r="3" spans="1:9" x14ac:dyDescent="0.3">
      <c r="B3" s="7" t="s">
        <v>708</v>
      </c>
      <c r="C3" s="7" t="s">
        <v>713</v>
      </c>
      <c r="D3" s="7" t="s">
        <v>709</v>
      </c>
      <c r="E3" s="7" t="s">
        <v>714</v>
      </c>
      <c r="F3" s="7" t="s">
        <v>710</v>
      </c>
      <c r="G3" s="7" t="s">
        <v>715</v>
      </c>
      <c r="H3" s="7" t="s">
        <v>711</v>
      </c>
      <c r="I3" s="5" t="s">
        <v>716</v>
      </c>
    </row>
    <row r="4" spans="1:9" x14ac:dyDescent="0.3">
      <c r="A4" s="7" t="s">
        <v>712</v>
      </c>
      <c r="B4" s="8">
        <f>SUBTOTAL(101,Nodes[degree_centrality])</f>
        <v>1.0112031229367056</v>
      </c>
      <c r="C4" s="8">
        <f>Figuren!$J$569</f>
        <v>1.0112031229367056</v>
      </c>
      <c r="D4" s="8">
        <f>SUBTOTAL(101,Nodes[betweenness_centrality])</f>
        <v>0.12765998692644917</v>
      </c>
      <c r="E4" s="8">
        <f>Figuren!$K$569</f>
        <v>0.12765998692644917</v>
      </c>
      <c r="F4" s="8">
        <f>SUBTOTAL(101,Nodes[closeness_centrality])</f>
        <v>0.35223186090620551</v>
      </c>
      <c r="G4" s="8">
        <f>Figuren!$L$569</f>
        <v>0.35223186090620551</v>
      </c>
      <c r="H4" s="8">
        <f>SUBTOTAL(101,Nodes[eigenvector_centrality])</f>
        <v>0.42111383642162159</v>
      </c>
      <c r="I4" s="6">
        <f>Figuren!$M$569</f>
        <v>0.42111383642162159</v>
      </c>
    </row>
    <row r="5" spans="1:9" x14ac:dyDescent="0.3">
      <c r="A5" s="7" t="s">
        <v>705</v>
      </c>
      <c r="B5" s="8">
        <f>AVERAGEIF(Nodes[Konstellation], "Ehekonstellation",Nodes[degree_centrality])</f>
        <v>1.0713170469075983</v>
      </c>
      <c r="C5" s="8">
        <f>Figuren!$J$569</f>
        <v>1.0112031229367056</v>
      </c>
      <c r="D5" s="8">
        <f>AVERAGEIF(Nodes[Konstellation], "Ehekonstellation",Nodes[betweenness_centrality])</f>
        <v>0.13378685266148896</v>
      </c>
      <c r="E5" s="8">
        <f>Figuren!$K$569</f>
        <v>0.12765998692644917</v>
      </c>
      <c r="F5" s="8">
        <f>AVERAGEIF(Nodes[Konstellation], "Ehekonstellation",Nodes[closeness_centrality])</f>
        <v>0.36397061418145926</v>
      </c>
      <c r="G5" s="8">
        <f>Figuren!$L$569</f>
        <v>0.35223186090620551</v>
      </c>
      <c r="H5" s="8">
        <f>AVERAGEIF(Nodes[Konstellation], "Ehekonstellation",Nodes[eigenvector_centrality])</f>
        <v>0.43745091381076634</v>
      </c>
      <c r="I5" s="6">
        <f>Figuren!$M$569</f>
        <v>0.42111383642162159</v>
      </c>
    </row>
    <row r="6" spans="1:9" x14ac:dyDescent="0.3">
      <c r="A6" s="7" t="s">
        <v>706</v>
      </c>
      <c r="B6" s="8">
        <f>AVERAGEIF(Nodes[Konstellation], "Liebeskonstellation",Nodes[degree_centrality])</f>
        <v>1.1553806462897374</v>
      </c>
      <c r="C6" s="8">
        <f>Figuren!$J$569</f>
        <v>1.0112031229367056</v>
      </c>
      <c r="D6" s="8">
        <f>AVERAGEIF(Nodes[Konstellation], "Liebeskonstellation",Nodes[betweenness_centrality])</f>
        <v>0.14417187750521077</v>
      </c>
      <c r="E6" s="8">
        <f>Figuren!$K$569</f>
        <v>0.12765998692644917</v>
      </c>
      <c r="F6" s="8">
        <f>AVERAGEIF(Nodes[Konstellation], "Liebeskonstellation",Nodes[closeness_centrality])</f>
        <v>0.36881921009067509</v>
      </c>
      <c r="G6" s="8">
        <f>Figuren!$L$569</f>
        <v>0.35223186090620551</v>
      </c>
      <c r="H6" s="8">
        <f>AVERAGEIF(Nodes[Konstellation], "Liebeskonstellation",Nodes[eigenvector_centrality])</f>
        <v>0.41141616915073165</v>
      </c>
      <c r="I6" s="6">
        <f>Figuren!$M$569</f>
        <v>0.42111383642162159</v>
      </c>
    </row>
    <row r="7" spans="1:9" x14ac:dyDescent="0.3">
      <c r="A7" s="7" t="s">
        <v>707</v>
      </c>
      <c r="B7" s="8">
        <f>AVERAGEIF(Nodes[Konstellation], "Unerotisches Verhältnis",Nodes[degree_centrality])</f>
        <v>0.94286419580537217</v>
      </c>
      <c r="C7" s="8">
        <f>Figuren!$J$569</f>
        <v>1.0112031229367056</v>
      </c>
      <c r="D7" s="8">
        <f>AVERAGEIF(Nodes[Konstellation], "Unerotisches Verhältnis",Nodes[betweenness_centrality])</f>
        <v>0.12056376903190628</v>
      </c>
      <c r="E7" s="8">
        <f>Figuren!$K$569</f>
        <v>0.12765998692644917</v>
      </c>
      <c r="F7" s="8">
        <f>AVERAGEIF(Nodes[Konstellation], "Unerotisches Verhältnis",Nodes[closeness_centrality])</f>
        <v>0.33901094426364736</v>
      </c>
      <c r="G7" s="8">
        <f>Figuren!$L$569</f>
        <v>0.35223186090620551</v>
      </c>
      <c r="H7" s="8">
        <f>AVERAGEIF(Nodes[Konstellation], "Unerotisches Verhältnis",Nodes[eigenvector_centrality])</f>
        <v>0.42242342720527315</v>
      </c>
      <c r="I7" s="6">
        <f>Figuren!$M$569</f>
        <v>0.42111383642162159</v>
      </c>
    </row>
    <row r="8" spans="1:9" x14ac:dyDescent="0.3">
      <c r="A8" s="7"/>
    </row>
    <row r="27" spans="1:9" ht="25.8" x14ac:dyDescent="0.5">
      <c r="A27" s="9" t="s">
        <v>550</v>
      </c>
    </row>
    <row r="29" spans="1:9" x14ac:dyDescent="0.3">
      <c r="A29" s="7" t="s">
        <v>717</v>
      </c>
      <c r="B29" s="8">
        <f>AVERAGEIF(Nodes[Stand], "adel",Nodes[degree_centrality])</f>
        <v>1.0564781384307096</v>
      </c>
      <c r="C29" s="8">
        <f>Figuren!$J$569</f>
        <v>1.0112031229367056</v>
      </c>
      <c r="D29" s="8">
        <f>AVERAGEIF(Nodes[Stand], "adel",Nodes[betweenness_centrality])</f>
        <v>0.12846499730680441</v>
      </c>
      <c r="E29" s="8">
        <f>Figuren!$K$569</f>
        <v>0.12765998692644917</v>
      </c>
      <c r="F29" s="8">
        <f>AVERAGEIF(Nodes[Stand], "adel",Nodes[closeness_centrality])</f>
        <v>0.3605274137190041</v>
      </c>
      <c r="G29" s="8">
        <f>Figuren!$L$569</f>
        <v>0.35223186090620551</v>
      </c>
      <c r="H29" s="8">
        <f>AVERAGEIF(Nodes[Stand], "adel",Nodes[eigenvector_centrality])</f>
        <v>0.47600025713304078</v>
      </c>
      <c r="I29" s="4">
        <f>Figuren!$M$569</f>
        <v>0.42111383642162159</v>
      </c>
    </row>
    <row r="30" spans="1:9" x14ac:dyDescent="0.3">
      <c r="A30" s="7" t="s">
        <v>718</v>
      </c>
      <c r="B30" s="8">
        <f>AVERAGEIF(Nodes[Stand], "buergerlich",Nodes[degree_centrality])</f>
        <v>1.0114381650095943</v>
      </c>
      <c r="C30" s="8">
        <f>Figuren!$J$569</f>
        <v>1.0112031229367056</v>
      </c>
      <c r="D30" s="8">
        <f>AVERAGEIF(Nodes[Stand], "buergerlich",Nodes[betweenness_centrality])</f>
        <v>0.14159338891050424</v>
      </c>
      <c r="E30" s="8">
        <f>Figuren!$K$569</f>
        <v>0.12765998692644917</v>
      </c>
      <c r="F30" s="8">
        <f>AVERAGEIF(Nodes[Stand], "buergerlich",Nodes[closeness_centrality])</f>
        <v>0.36353373733632627</v>
      </c>
      <c r="G30" s="8">
        <f>Figuren!$L$569</f>
        <v>0.35223186090620551</v>
      </c>
      <c r="H30" s="8">
        <f>AVERAGEIF(Nodes[Stand], "buergerlich",Nodes[eigenvector_centrality])</f>
        <v>0.41859918210548586</v>
      </c>
      <c r="I30" s="4">
        <f>Figuren!$M$569</f>
        <v>0.42111383642162159</v>
      </c>
    </row>
    <row r="31" spans="1:9" x14ac:dyDescent="0.3">
      <c r="A31" s="7" t="s">
        <v>719</v>
      </c>
      <c r="B31" s="8">
        <f>AVERAGEIF(Nodes[Stand], "klerus",Nodes[degree_centrality])</f>
        <v>1.0043513957307055</v>
      </c>
      <c r="C31" s="8">
        <f>Figuren!$J$569</f>
        <v>1.0112031229367056</v>
      </c>
      <c r="D31" s="8">
        <f>AVERAGEIF(Nodes[Stand], "klerus",Nodes[betweenness_centrality])</f>
        <v>0.12345374931581828</v>
      </c>
      <c r="E31" s="8">
        <f>Figuren!$K$569</f>
        <v>0.12765998692644917</v>
      </c>
      <c r="F31" s="8">
        <f>AVERAGEIF(Nodes[Stand], "klerus",Nodes[closeness_centrality])</f>
        <v>0.35556038757384911</v>
      </c>
      <c r="G31" s="8">
        <f>Figuren!$L$569</f>
        <v>0.35223186090620551</v>
      </c>
      <c r="H31" s="8">
        <f>AVERAGEIF(Nodes[Stand], "klerus",Nodes[eigenvector_centrality])</f>
        <v>0.3706479165109422</v>
      </c>
      <c r="I31" s="4">
        <f>Figuren!$M$569</f>
        <v>0.42111383642162159</v>
      </c>
    </row>
    <row r="32" spans="1:9" x14ac:dyDescent="0.3">
      <c r="A32" s="7" t="s">
        <v>720</v>
      </c>
      <c r="B32" s="8">
        <f>AVERAGEIF(Nodes[Stand], "bauer",Nodes[degree_centrality])</f>
        <v>1.0547619047619046</v>
      </c>
      <c r="C32" s="8">
        <f>Figuren!$J$569</f>
        <v>1.0112031229367056</v>
      </c>
      <c r="D32" s="8">
        <f>AVERAGEIF(Nodes[Stand], "bauer",Nodes[betweenness_centrality])</f>
        <v>8.4369488536155168E-2</v>
      </c>
      <c r="E32" s="8">
        <f>Figuren!$K$569</f>
        <v>0.12765998692644917</v>
      </c>
      <c r="F32" s="8">
        <f>AVERAGEIF(Nodes[Stand], "bauer",Nodes[closeness_centrality])</f>
        <v>0.29645081822685637</v>
      </c>
      <c r="G32" s="8">
        <f>Figuren!$L$569</f>
        <v>0.35223186090620551</v>
      </c>
      <c r="H32" s="8">
        <f>AVERAGEIF(Nodes[Stand], "bauer",Nodes[eigenvector_centrality])</f>
        <v>0.46265954828160211</v>
      </c>
      <c r="I32" s="4">
        <f>Figuren!$M$569</f>
        <v>0.42111383642162159</v>
      </c>
    </row>
    <row r="33" spans="1:9" x14ac:dyDescent="0.3">
      <c r="A33" s="7" t="s">
        <v>721</v>
      </c>
      <c r="B33" s="8">
        <f>AVERAGEIF(Nodes[Stand], "NA",Nodes[degree_centrality])</f>
        <v>0.65553927553927527</v>
      </c>
      <c r="C33" s="8">
        <f>Figuren!$J$569</f>
        <v>1.0112031229367056</v>
      </c>
      <c r="D33" s="8">
        <f>AVERAGEIF(Nodes[Stand], "NA",Nodes[betweenness_centrality])</f>
        <v>0.1112435095768429</v>
      </c>
      <c r="E33" s="8">
        <f>Figuren!$K$569</f>
        <v>0.12765998692644917</v>
      </c>
      <c r="F33" s="8">
        <f>AVERAGEIF(Nodes[Stand], "NA",Nodes[closeness_centrality])</f>
        <v>0.19516258023781957</v>
      </c>
      <c r="G33" s="8">
        <f>Figuren!$L$569</f>
        <v>0.35223186090620551</v>
      </c>
      <c r="H33" s="8">
        <f>AVERAGEIF(Nodes[Stand], "NA",Nodes[eigenvector_centrality])</f>
        <v>0.3307837177668394</v>
      </c>
      <c r="I33" s="4">
        <f>Figuren!$M$569</f>
        <v>0.42111383642162159</v>
      </c>
    </row>
    <row r="34" spans="1:9" x14ac:dyDescent="0.3">
      <c r="A34" s="7" t="s">
        <v>722</v>
      </c>
      <c r="B34" s="8">
        <f>AVERAGEIF(Nodes[Stand], "unbekannt",Nodes[degree_centrality])</f>
        <v>0.98775127737391821</v>
      </c>
      <c r="C34" s="8">
        <f>Figuren!$J$569</f>
        <v>1.0112031229367056</v>
      </c>
      <c r="D34" s="8">
        <f>AVERAGEIF(Nodes[Stand], "unbekannt",Nodes[betweenness_centrality])</f>
        <v>0.12363528428523646</v>
      </c>
      <c r="E34" s="8">
        <f>Figuren!$K$569</f>
        <v>0.12765998692644917</v>
      </c>
      <c r="F34" s="8">
        <f>AVERAGEIF(Nodes[Stand], "unbekannt",Nodes[closeness_centrality])</f>
        <v>0.35322907105771828</v>
      </c>
      <c r="G34" s="8">
        <f>Figuren!$L$569</f>
        <v>0.35223186090620551</v>
      </c>
      <c r="H34" s="8">
        <f>AVERAGEIF(Nodes[Stand], "unbekannt",Nodes[eigenvector_centrality])</f>
        <v>0.37940121006384703</v>
      </c>
      <c r="I34" s="4">
        <f>Figuren!$M$569</f>
        <v>0.42111383642162159</v>
      </c>
    </row>
    <row r="53" spans="1:9" ht="25.8" x14ac:dyDescent="0.5">
      <c r="A53" s="9" t="s">
        <v>11</v>
      </c>
    </row>
    <row r="55" spans="1:9" x14ac:dyDescent="0.3">
      <c r="A55" s="7" t="s">
        <v>725</v>
      </c>
      <c r="B55" s="8">
        <f>AVERAGEIF(Nodes[Geschlecht], "maennlich",Nodes[degree_centrality])</f>
        <v>1.0651446184534423</v>
      </c>
      <c r="C55" s="8">
        <f>Figuren!$J$569</f>
        <v>1.0112031229367056</v>
      </c>
      <c r="D55" s="8">
        <f>AVERAGEIF(Nodes[Geschlecht], "maennlich",Nodes[betweenness_centrality])</f>
        <v>0.14191787718701873</v>
      </c>
      <c r="E55" s="8">
        <f>Figuren!$K$569</f>
        <v>0.12765998692644917</v>
      </c>
      <c r="F55" s="8">
        <f>AVERAGEIF(Nodes[Geschlecht], "maennlich",Nodes[closeness_centrality])</f>
        <v>0.34937074679436719</v>
      </c>
      <c r="G55" s="8">
        <f>Figuren!$L$569</f>
        <v>0.35223186090620551</v>
      </c>
      <c r="H55" s="8">
        <f>AVERAGEIF(Nodes[Geschlecht], "maennlich",Nodes[eigenvector_centrality])</f>
        <v>0.44739550679606294</v>
      </c>
      <c r="I55" s="4">
        <f>Figuren!$M$569</f>
        <v>0.42111383642162159</v>
      </c>
    </row>
    <row r="56" spans="1:9" x14ac:dyDescent="0.3">
      <c r="A56" s="7" t="s">
        <v>726</v>
      </c>
      <c r="B56" s="8">
        <f>AVERAGEIF(Nodes[Geschlecht], "weiblich",Nodes[degree_centrality])</f>
        <v>1.0130036085918435</v>
      </c>
      <c r="C56" s="8">
        <f>Figuren!$J$569</f>
        <v>1.0112031229367056</v>
      </c>
      <c r="D56" s="8">
        <f>AVERAGEIF(Nodes[Geschlecht], "weiblich",Nodes[betweenness_centrality])</f>
        <v>0.10376238260654404</v>
      </c>
      <c r="E56" s="8">
        <f>Figuren!$K$569</f>
        <v>0.12765998692644917</v>
      </c>
      <c r="F56" s="8">
        <f>AVERAGEIF(Nodes[Geschlecht], "weiblich",Nodes[closeness_centrality])</f>
        <v>0.34323585543171437</v>
      </c>
      <c r="G56" s="8">
        <f>Figuren!$L$569</f>
        <v>0.35223186090620551</v>
      </c>
      <c r="H56" s="8">
        <f>AVERAGEIF(Nodes[Geschlecht], "weiblich",Nodes[eigenvector_centrality])</f>
        <v>0.46759681818066456</v>
      </c>
      <c r="I56" s="4">
        <f>Figuren!$M$569</f>
        <v>0.42111383642162159</v>
      </c>
    </row>
    <row r="57" spans="1:9" x14ac:dyDescent="0.3">
      <c r="A57" s="7" t="s">
        <v>727</v>
      </c>
      <c r="B57" s="8">
        <f>AVERAGEIF(Nodes[Geschlecht], "gruppe",Nodes[degree_centrality])</f>
        <v>0.87717133915276257</v>
      </c>
      <c r="C57" s="8">
        <f>Figuren!$J$569</f>
        <v>1.0112031229367056</v>
      </c>
      <c r="D57" s="8">
        <f>AVERAGEIF(Nodes[Geschlecht], "gruppe",Nodes[betweenness_centrality])</f>
        <v>0.12164902787707003</v>
      </c>
      <c r="E57" s="8">
        <f>Figuren!$K$569</f>
        <v>0.12765998692644917</v>
      </c>
      <c r="F57" s="8">
        <f>AVERAGEIF(Nodes[Geschlecht], "gruppe",Nodes[closeness_centrality])</f>
        <v>0.38527597000060565</v>
      </c>
      <c r="G57" s="8">
        <f>Figuren!$L$569</f>
        <v>0.35223186090620551</v>
      </c>
      <c r="H57" s="8">
        <f>AVERAGEIF(Nodes[Geschlecht], "gruppe",Nodes[eigenvector_centrality])</f>
        <v>0.26407334942874977</v>
      </c>
      <c r="I57" s="4">
        <f>Figuren!$M$569</f>
        <v>0.42111383642162159</v>
      </c>
    </row>
    <row r="58" spans="1:9" x14ac:dyDescent="0.3">
      <c r="A58" s="7" t="s">
        <v>721</v>
      </c>
      <c r="B58" s="8">
        <f>AVERAGEIF(Nodes[Geschlecht], "NA",Nodes[degree_centrality])</f>
        <v>0.71978021978021867</v>
      </c>
      <c r="C58" s="8">
        <f>Figuren!$J$569</f>
        <v>1.0112031229367056</v>
      </c>
      <c r="D58" s="8">
        <f>AVERAGEIF(Nodes[Geschlecht], "NA",Nodes[betweenness_centrality])</f>
        <v>0.15796703296703307</v>
      </c>
      <c r="E58" s="8">
        <f>Figuren!$K$569</f>
        <v>0.12765998692644917</v>
      </c>
      <c r="F58" s="8">
        <f>AVERAGEIF(Nodes[Geschlecht], "NA",Nodes[closeness_centrality])</f>
        <v>0.26166736819951575</v>
      </c>
      <c r="G58" s="8">
        <f>Figuren!$L$569</f>
        <v>0.35223186090620551</v>
      </c>
      <c r="H58" s="8">
        <f>AVERAGEIF(Nodes[Geschlecht], "NA",Nodes[eigenvector_centrality])</f>
        <v>0.42323076204453786</v>
      </c>
      <c r="I58" s="4">
        <f>Figuren!$M$569</f>
        <v>0.42111383642162159</v>
      </c>
    </row>
    <row r="77" spans="1:9" ht="25.8" x14ac:dyDescent="0.5">
      <c r="A77" s="9" t="s">
        <v>14</v>
      </c>
    </row>
    <row r="79" spans="1:9" x14ac:dyDescent="0.3">
      <c r="A79" s="7" t="s">
        <v>728</v>
      </c>
      <c r="B79" s="8">
        <f>AVERAGEIF(Nodes[Bezeichnung2], "betrueger",Nodes[degree_centrality])</f>
        <v>1.5753766973766972</v>
      </c>
      <c r="C79" s="8">
        <f>Figuren!$J$569</f>
        <v>1.0112031229367056</v>
      </c>
      <c r="D79" s="10">
        <f>AVERAGEIF(Nodes[Bezeichnung2], "betrueger",Nodes[betweenness_centrality])</f>
        <v>0.20295409401387662</v>
      </c>
      <c r="E79" s="8">
        <f>Figuren!$K$569</f>
        <v>0.12765998692644917</v>
      </c>
      <c r="F79" s="10">
        <f>AVERAGEIF(Nodes[Bezeichnung2], "betrueger",Nodes[closeness_centrality])</f>
        <v>0.375021073963761</v>
      </c>
      <c r="G79" s="8">
        <f>Figuren!$L$569</f>
        <v>0.35223186090620551</v>
      </c>
      <c r="H79" s="10">
        <f>AVERAGEIF(Nodes[Bezeichnung2], "betrueger",Nodes[eigenvector_centrality])</f>
        <v>0.81455622775500824</v>
      </c>
      <c r="I79" s="4">
        <f>Figuren!$M$569</f>
        <v>0.42111383642162159</v>
      </c>
    </row>
    <row r="80" spans="1:9" x14ac:dyDescent="0.3">
      <c r="A80" s="7" t="s">
        <v>729</v>
      </c>
      <c r="B80" s="8">
        <f>AVERAGEIF(Nodes[Bezeichnung2], "betrogener",Nodes[degree_centrality])</f>
        <v>1.5601190476190476</v>
      </c>
      <c r="C80" s="8">
        <f>Figuren!$J$569</f>
        <v>1.0112031229367056</v>
      </c>
      <c r="D80" s="10">
        <f>AVERAGEIF(Nodes[Bezeichnung2], "betrogener",Nodes[betweenness_centrality])</f>
        <v>0.13854269362506455</v>
      </c>
      <c r="E80" s="8">
        <f>Figuren!$K$569</f>
        <v>0.12765998692644917</v>
      </c>
      <c r="F80" s="10">
        <f>AVERAGEIF(Nodes[Bezeichnung2], "betrogener",Nodes[closeness_centrality])</f>
        <v>0.36081067679496365</v>
      </c>
      <c r="G80" s="8">
        <f>Figuren!$L$569</f>
        <v>0.35223186090620551</v>
      </c>
      <c r="H80" s="10">
        <f>AVERAGEIF(Nodes[Bezeichnung2], "betrogener",Nodes[eigenvector_centrality])</f>
        <v>0.80654255030568645</v>
      </c>
      <c r="I80" s="4">
        <f>Figuren!$M$569</f>
        <v>0.42111383642162159</v>
      </c>
    </row>
    <row r="81" spans="1:9" x14ac:dyDescent="0.3">
      <c r="A81" s="7" t="s">
        <v>730</v>
      </c>
      <c r="B81" s="8">
        <f>AVERAGEIF(Nodes[Bezeichnung2], "helfer",Nodes[degree_centrality])</f>
        <v>0.95432016450115975</v>
      </c>
      <c r="C81" s="8">
        <f>Figuren!$J$569</f>
        <v>1.0112031229367056</v>
      </c>
      <c r="D81" s="10">
        <f>AVERAGEIF(Nodes[Bezeichnung2], "helfer",Nodes[betweenness_centrality])</f>
        <v>8.8193055478123339E-2</v>
      </c>
      <c r="E81" s="8">
        <f>Figuren!$K$569</f>
        <v>0.12765998692644917</v>
      </c>
      <c r="F81" s="10">
        <f>AVERAGEIF(Nodes[Bezeichnung2], "helfer",Nodes[closeness_centrality])</f>
        <v>0.30648637440139959</v>
      </c>
      <c r="G81" s="8">
        <f>Figuren!$L$569</f>
        <v>0.35223186090620551</v>
      </c>
      <c r="H81" s="10">
        <f>AVERAGEIF(Nodes[Bezeichnung2], "helfer",Nodes[eigenvector_centrality])</f>
        <v>0.44862966387964287</v>
      </c>
      <c r="I81" s="4">
        <f>Figuren!$M$569</f>
        <v>0.42111383642162159</v>
      </c>
    </row>
    <row r="82" spans="1:9" x14ac:dyDescent="0.3">
      <c r="A82" s="7" t="s">
        <v>733</v>
      </c>
      <c r="B82" s="8">
        <f>AVERAGEIF(Nodes[Bezeichnung2], "bote",Nodes[degree_centrality])</f>
        <v>0.76573498964803333</v>
      </c>
      <c r="C82" s="8">
        <f>Figuren!$J$569</f>
        <v>1.0112031229367056</v>
      </c>
      <c r="D82" s="10">
        <f>AVERAGEIF(Nodes[Bezeichnung2], "bote",Nodes[betweenness_centrality])</f>
        <v>0.20422634496358505</v>
      </c>
      <c r="E82" s="8">
        <f>Figuren!$K$569</f>
        <v>0.12765998692644917</v>
      </c>
      <c r="F82" s="10">
        <f>AVERAGEIF(Nodes[Bezeichnung2], "bote",Nodes[closeness_centrality])</f>
        <v>0.39521845193983041</v>
      </c>
      <c r="G82" s="8">
        <f>Figuren!$L$569</f>
        <v>0.35223186090620551</v>
      </c>
      <c r="H82" s="10">
        <f>AVERAGEIF(Nodes[Bezeichnung2], "bote",Nodes[eigenvector_centrality])</f>
        <v>0.16595738589555911</v>
      </c>
      <c r="I82" s="4">
        <f>Figuren!$M$569</f>
        <v>0.42111383642162159</v>
      </c>
    </row>
    <row r="83" spans="1:9" x14ac:dyDescent="0.3">
      <c r="A83" s="7" t="s">
        <v>741</v>
      </c>
      <c r="B83" s="8">
        <f>AVERAGEIF(Nodes[Bezeichnung2], "liebender",Nodes[degree_centrality])</f>
        <v>1.6854875283446715</v>
      </c>
      <c r="C83" s="8">
        <f>Figuren!$J$569</f>
        <v>1.0112031229367056</v>
      </c>
      <c r="D83" s="10">
        <f>AVERAGEIF(Nodes[Bezeichnung2], "liebender",Nodes[betweenness_centrality])</f>
        <v>0.34172335600907017</v>
      </c>
      <c r="E83" s="8">
        <f>Figuren!$K$569</f>
        <v>0.12765998692644917</v>
      </c>
      <c r="F83" s="10">
        <f>AVERAGEIF(Nodes[Bezeichnung2], "liebender",Nodes[closeness_centrality])</f>
        <v>0.39725921947726445</v>
      </c>
      <c r="G83" s="8">
        <f>Figuren!$L$569</f>
        <v>0.35223186090620551</v>
      </c>
      <c r="H83" s="10">
        <f>AVERAGEIF(Nodes[Bezeichnung2], "liebender",Nodes[eigenvector_centrality])</f>
        <v>0.92250203242075079</v>
      </c>
      <c r="I83" s="4">
        <f>Figuren!$M$569</f>
        <v>0.42111383642162159</v>
      </c>
    </row>
    <row r="84" spans="1:9" x14ac:dyDescent="0.3">
      <c r="A84" s="7" t="s">
        <v>742</v>
      </c>
      <c r="B84" s="8">
        <f>AVERAGEIF(Nodes[Bezeichnung2], "liebende",Nodes[degree_centrality])</f>
        <v>1.6912698412698419</v>
      </c>
      <c r="C84" s="8">
        <f>Figuren!$J$569</f>
        <v>1.0112031229367056</v>
      </c>
      <c r="D84" s="10">
        <f>AVERAGEIF(Nodes[Bezeichnung2], "liebende",Nodes[closeness_centrality])</f>
        <v>0.35855255855255858</v>
      </c>
      <c r="E84" s="8">
        <f>Figuren!$K$569</f>
        <v>0.12765998692644917</v>
      </c>
      <c r="F84" s="10">
        <f>AVERAGEIF(Nodes[Bezeichnung2], "liebende",Nodes[closeness_centrality])</f>
        <v>0.35855255855255858</v>
      </c>
      <c r="G84" s="8">
        <f>Figuren!$L$569</f>
        <v>0.35223186090620551</v>
      </c>
      <c r="H84" s="10">
        <f>AVERAGEIF(Nodes[Bezeichnung2], "liebende",Nodes[eigenvector_centrality])</f>
        <v>0.99508537837579214</v>
      </c>
      <c r="I84" s="4">
        <f>Figuren!$M$569</f>
        <v>0.42111383642162159</v>
      </c>
    </row>
    <row r="85" spans="1:9" x14ac:dyDescent="0.3">
      <c r="A85" s="7" t="s">
        <v>743</v>
      </c>
      <c r="B85" s="8">
        <f>AVERAGEIF(Nodes[Bezeichnung2], "gegenspieler",Nodes[degree_centrality])</f>
        <v>0.93141507615191776</v>
      </c>
      <c r="D85" s="10">
        <f>AVERAGEIF(Nodes[Bezeichnung2], "gegenspieler",Nodes[closeness_centrality])</f>
        <v>0.33606292660505721</v>
      </c>
      <c r="F85" s="10">
        <f>AVERAGEIF(Nodes[Bezeichnung2], "gegenspieler",Nodes[closeness_centrality])</f>
        <v>0.33606292660505721</v>
      </c>
      <c r="H85" s="10">
        <f>AVERAGEIF(Nodes[Bezeichnung2], "gegenspieler",Nodes[eigenvector_centrality])</f>
        <v>0.39543730661367132</v>
      </c>
    </row>
    <row r="86" spans="1:9" x14ac:dyDescent="0.3">
      <c r="A86" s="7"/>
      <c r="B86" s="8"/>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AB1D20-47D4-4BD2-8408-A7747986D2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Korpus</vt:lpstr>
      <vt:lpstr>Korpuszusammensetzung</vt:lpstr>
      <vt:lpstr>Werte</vt:lpstr>
      <vt:lpstr>Durchschnitt</vt:lpstr>
      <vt:lpstr>Figuren</vt:lpstr>
      <vt:lpstr>Adam_und_Eva_metrics</vt:lpstr>
      <vt:lpstr>Geschlecht</vt:lpstr>
      <vt:lpstr>Alter</vt:lpstr>
      <vt:lpstr>Adam_und_Eva</vt:lpstr>
      <vt:lpstr>Stand</vt:lpstr>
      <vt:lpstr>Bezeichnung</vt:lpstr>
      <vt:lpstr>Rolle</vt:lpstr>
      <vt:lpstr>Centrality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Kiss</dc:creator>
  <cp:lastModifiedBy>Lisa Kiss</cp:lastModifiedBy>
  <dcterms:created xsi:type="dcterms:W3CDTF">2022-03-05T13:04:18Z</dcterms:created>
  <dcterms:modified xsi:type="dcterms:W3CDTF">2022-08-03T11:00:03Z</dcterms:modified>
</cp:coreProperties>
</file>