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49ffa8e94f27b0/Documentos/SENA/PROYECTO/TRIMESTRE2/Matriz Tecnica/"/>
    </mc:Choice>
  </mc:AlternateContent>
  <xr:revisionPtr revIDLastSave="51" documentId="13_ncr:1_{7A18D279-CAEE-4406-9C6A-B2246508AF17}" xr6:coauthVersionLast="47" xr6:coauthVersionMax="47" xr10:uidLastSave="{E90C422C-100C-4189-96C2-D7078E04C9D2}"/>
  <bookViews>
    <workbookView xWindow="-120" yWindow="-120" windowWidth="20730" windowHeight="11040" activeTab="1" xr2:uid="{00000000-000D-0000-FFFF-FFFF00000000}"/>
  </bookViews>
  <sheets>
    <sheet name="- AYUDA -" sheetId="5" r:id="rId1"/>
    <sheet name="Precios(Equipo Programacion)" sheetId="7" r:id="rId2"/>
    <sheet name="Precios (Equipo Admin)" sheetId="9" r:id="rId3"/>
    <sheet name="Precios (pc Doctor)" sheetId="10" r:id="rId4"/>
    <sheet name="Precios (pc Enfermero)" sheetId="11" r:id="rId5"/>
    <sheet name="Soporte" sheetId="8" state="hidden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E12" i="11"/>
  <c r="D12" i="11"/>
  <c r="B12" i="11"/>
  <c r="F12" i="10"/>
  <c r="E12" i="10"/>
  <c r="D12" i="10"/>
  <c r="B12" i="10"/>
  <c r="B14" i="7"/>
  <c r="B19" i="9" l="1"/>
  <c r="F14" i="7"/>
  <c r="E14" i="7"/>
  <c r="F11" i="11" l="1"/>
  <c r="E11" i="11"/>
  <c r="D11" i="11"/>
  <c r="B11" i="11"/>
  <c r="F11" i="10"/>
  <c r="E11" i="10"/>
  <c r="D11" i="10"/>
  <c r="B11" i="10"/>
  <c r="F10" i="10"/>
  <c r="E10" i="10"/>
  <c r="D10" i="10"/>
  <c r="L10" i="10" s="1"/>
  <c r="B10" i="10"/>
  <c r="F10" i="11"/>
  <c r="E10" i="11"/>
  <c r="D10" i="11"/>
  <c r="J10" i="11" s="1"/>
  <c r="B10" i="11"/>
  <c r="F9" i="11"/>
  <c r="J19" i="11"/>
  <c r="J20" i="11"/>
  <c r="E9" i="11"/>
  <c r="L12" i="11"/>
  <c r="L21" i="11"/>
  <c r="K24" i="11"/>
  <c r="D9" i="11"/>
  <c r="K12" i="11"/>
  <c r="K14" i="11"/>
  <c r="K20" i="11"/>
  <c r="L22" i="11"/>
  <c r="B9" i="11"/>
  <c r="F9" i="10"/>
  <c r="L12" i="10"/>
  <c r="L13" i="10"/>
  <c r="K16" i="10"/>
  <c r="K17" i="10"/>
  <c r="L18" i="10"/>
  <c r="L19" i="10"/>
  <c r="J20" i="10"/>
  <c r="L21" i="10"/>
  <c r="L22" i="10"/>
  <c r="L23" i="10"/>
  <c r="K24" i="10"/>
  <c r="E9" i="10"/>
  <c r="D9" i="10"/>
  <c r="B9" i="10"/>
  <c r="I25" i="11"/>
  <c r="H25" i="11"/>
  <c r="G25" i="11"/>
  <c r="L13" i="11"/>
  <c r="I25" i="10"/>
  <c r="H25" i="10"/>
  <c r="G25" i="10"/>
  <c r="J15" i="10"/>
  <c r="L14" i="10"/>
  <c r="K14" i="10"/>
  <c r="L11" i="10"/>
  <c r="F18" i="9"/>
  <c r="F16" i="7"/>
  <c r="E16" i="7"/>
  <c r="D16" i="7"/>
  <c r="B16" i="7"/>
  <c r="F15" i="7"/>
  <c r="E15" i="7"/>
  <c r="D15" i="7"/>
  <c r="B15" i="7"/>
  <c r="D25" i="11" l="1"/>
  <c r="F25" i="11"/>
  <c r="E25" i="10"/>
  <c r="K9" i="11"/>
  <c r="L11" i="11"/>
  <c r="L23" i="11"/>
  <c r="K17" i="11"/>
  <c r="L19" i="11"/>
  <c r="L20" i="11"/>
  <c r="K19" i="11"/>
  <c r="L17" i="11"/>
  <c r="L24" i="11"/>
  <c r="J21" i="11"/>
  <c r="E25" i="11"/>
  <c r="K21" i="11"/>
  <c r="L16" i="11"/>
  <c r="J24" i="11"/>
  <c r="J23" i="11"/>
  <c r="L9" i="11"/>
  <c r="K23" i="11"/>
  <c r="L15" i="11"/>
  <c r="J17" i="11"/>
  <c r="L18" i="11"/>
  <c r="L14" i="11"/>
  <c r="J14" i="11"/>
  <c r="J22" i="11"/>
  <c r="K22" i="11"/>
  <c r="J12" i="11"/>
  <c r="F25" i="10"/>
  <c r="K19" i="10"/>
  <c r="L16" i="10"/>
  <c r="L20" i="10"/>
  <c r="J19" i="10"/>
  <c r="L17" i="10"/>
  <c r="L9" i="10"/>
  <c r="K21" i="10"/>
  <c r="J22" i="10"/>
  <c r="L24" i="10"/>
  <c r="K20" i="10"/>
  <c r="K22" i="10"/>
  <c r="J23" i="10"/>
  <c r="D25" i="10"/>
  <c r="K23" i="10"/>
  <c r="K9" i="10"/>
  <c r="J24" i="10"/>
  <c r="K10" i="10"/>
  <c r="J10" i="10"/>
  <c r="J21" i="10"/>
  <c r="K15" i="11"/>
  <c r="K10" i="11"/>
  <c r="J13" i="11"/>
  <c r="K13" i="11"/>
  <c r="J18" i="11"/>
  <c r="J11" i="11"/>
  <c r="K18" i="11"/>
  <c r="K11" i="11"/>
  <c r="J16" i="11"/>
  <c r="J9" i="11"/>
  <c r="K16" i="11"/>
  <c r="J15" i="11"/>
  <c r="L10" i="11"/>
  <c r="L15" i="10"/>
  <c r="K13" i="10"/>
  <c r="J18" i="10"/>
  <c r="J13" i="10"/>
  <c r="K18" i="10"/>
  <c r="J11" i="10"/>
  <c r="K11" i="10"/>
  <c r="J16" i="10"/>
  <c r="J9" i="10"/>
  <c r="J14" i="10"/>
  <c r="K15" i="10"/>
  <c r="K12" i="10"/>
  <c r="J17" i="10"/>
  <c r="J12" i="10"/>
  <c r="E18" i="9"/>
  <c r="D18" i="9"/>
  <c r="B18" i="9"/>
  <c r="F17" i="9"/>
  <c r="E17" i="9"/>
  <c r="D17" i="9"/>
  <c r="B17" i="9"/>
  <c r="F11" i="9"/>
  <c r="E11" i="9"/>
  <c r="D11" i="9"/>
  <c r="B11" i="9"/>
  <c r="F10" i="9" l="1"/>
  <c r="E10" i="9"/>
  <c r="D10" i="9"/>
  <c r="B10" i="9"/>
  <c r="F16" i="9"/>
  <c r="E16" i="9"/>
  <c r="D16" i="9"/>
  <c r="L16" i="9" s="1"/>
  <c r="F15" i="9"/>
  <c r="E15" i="9"/>
  <c r="D15" i="9"/>
  <c r="L15" i="9" s="1"/>
  <c r="B15" i="9"/>
  <c r="F14" i="9"/>
  <c r="E14" i="9"/>
  <c r="D14" i="9"/>
  <c r="F13" i="9"/>
  <c r="E13" i="9"/>
  <c r="D13" i="9"/>
  <c r="B13" i="9"/>
  <c r="F12" i="9"/>
  <c r="E12" i="9"/>
  <c r="D12" i="9"/>
  <c r="J12" i="9" s="1"/>
  <c r="B12" i="9"/>
  <c r="F9" i="9"/>
  <c r="E9" i="9"/>
  <c r="D9" i="9"/>
  <c r="B9" i="9"/>
  <c r="I25" i="9"/>
  <c r="H25" i="9"/>
  <c r="G25" i="9"/>
  <c r="L24" i="9"/>
  <c r="K24" i="9"/>
  <c r="J24" i="9"/>
  <c r="L23" i="9"/>
  <c r="K23" i="9"/>
  <c r="J23" i="9"/>
  <c r="L22" i="9"/>
  <c r="K22" i="9"/>
  <c r="J22" i="9"/>
  <c r="L21" i="9"/>
  <c r="K21" i="9"/>
  <c r="J21" i="9"/>
  <c r="L11" i="9"/>
  <c r="L10" i="9"/>
  <c r="K10" i="9"/>
  <c r="F13" i="7"/>
  <c r="E13" i="7"/>
  <c r="D13" i="7"/>
  <c r="B13" i="7"/>
  <c r="E12" i="7"/>
  <c r="F12" i="7"/>
  <c r="D12" i="7"/>
  <c r="B12" i="7"/>
  <c r="E11" i="7"/>
  <c r="F11" i="7"/>
  <c r="D11" i="7"/>
  <c r="B11" i="7"/>
  <c r="D10" i="7"/>
  <c r="F10" i="7"/>
  <c r="E10" i="7"/>
  <c r="B10" i="7"/>
  <c r="F9" i="7"/>
  <c r="E9" i="7"/>
  <c r="D9" i="7"/>
  <c r="B9" i="7"/>
  <c r="L22" i="7"/>
  <c r="J15" i="7"/>
  <c r="K13" i="9" l="1"/>
  <c r="J13" i="9"/>
  <c r="L13" i="9"/>
  <c r="E25" i="9"/>
  <c r="F25" i="9"/>
  <c r="L14" i="9"/>
  <c r="J18" i="9"/>
  <c r="K15" i="9"/>
  <c r="L19" i="9"/>
  <c r="J16" i="9"/>
  <c r="K16" i="9"/>
  <c r="K20" i="9"/>
  <c r="K19" i="9"/>
  <c r="L18" i="9"/>
  <c r="L17" i="9"/>
  <c r="J20" i="9"/>
  <c r="J17" i="9"/>
  <c r="J14" i="9"/>
  <c r="K14" i="9"/>
  <c r="K18" i="9"/>
  <c r="L20" i="9"/>
  <c r="D25" i="9"/>
  <c r="K17" i="9"/>
  <c r="J15" i="9"/>
  <c r="J19" i="9"/>
  <c r="K12" i="9"/>
  <c r="L12" i="9"/>
  <c r="J9" i="9"/>
  <c r="K9" i="9"/>
  <c r="J11" i="9"/>
  <c r="L9" i="9"/>
  <c r="K11" i="9"/>
  <c r="J10" i="9"/>
  <c r="G25" i="7"/>
  <c r="K17" i="7"/>
  <c r="L24" i="7"/>
  <c r="L20" i="7"/>
  <c r="K23" i="7"/>
  <c r="K22" i="7"/>
  <c r="L15" i="7"/>
  <c r="K20" i="7"/>
  <c r="J18" i="7"/>
  <c r="H25" i="7"/>
  <c r="K15" i="7"/>
  <c r="K19" i="7"/>
  <c r="I25" i="7"/>
  <c r="J23" i="7"/>
  <c r="J22" i="7"/>
  <c r="J17" i="7"/>
  <c r="K21" i="7"/>
  <c r="L23" i="7"/>
  <c r="K18" i="7"/>
  <c r="L21" i="7"/>
  <c r="L17" i="7"/>
  <c r="L19" i="7"/>
  <c r="J20" i="7"/>
  <c r="J16" i="7"/>
  <c r="J19" i="7"/>
  <c r="L18" i="7"/>
  <c r="K24" i="7"/>
  <c r="J24" i="7"/>
  <c r="L16" i="7"/>
  <c r="K16" i="7"/>
  <c r="J21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  <c r="E25" i="7" l="1"/>
  <c r="D14" i="7"/>
  <c r="F25" i="7"/>
  <c r="K14" i="7" l="1"/>
  <c r="J14" i="7"/>
  <c r="L14" i="7"/>
  <c r="D25" i="7"/>
</calcChain>
</file>

<file path=xl/sharedStrings.xml><?xml version="1.0" encoding="utf-8"?>
<sst xmlns="http://schemas.openxmlformats.org/spreadsheetml/2006/main" count="115" uniqueCount="43">
  <si>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</si>
  <si>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</si>
  <si>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</si>
  <si>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</si>
  <si>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</si>
  <si>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</si>
  <si>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</si>
  <si>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</si>
  <si>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</si>
  <si>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</si>
  <si>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</si>
  <si>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</si>
  <si>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</si>
  <si>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</si>
  <si>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</si>
  <si>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</si>
  <si>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</si>
  <si>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</si>
  <si>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10 dias habiles</t>
  </si>
  <si>
    <t>30 dias habiles</t>
  </si>
  <si>
    <t>entrega inmediata</t>
  </si>
  <si>
    <t>COSTO DE ENVÍO</t>
  </si>
  <si>
    <t>FORMAS DE PAGO</t>
  </si>
  <si>
    <t>Antivirus</t>
  </si>
  <si>
    <t>Dominio</t>
  </si>
  <si>
    <t>Inmediata</t>
  </si>
  <si>
    <t>7 dias habiles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</si>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</sst>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164" formatCode="&quot;$&quot;\ #,##0.00"/>
    <numFmt numFmtId="165" formatCode="&quot;$&quot;\ #,##0.0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family val="2"/>
      <scheme val="minor"/>
    </font>
    <font>
      <sz val="14"/>
      <color theme="1" tint="0.34998626667073579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0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164" fontId="9" fillId="0" borderId="2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left" vertical="center"/>
    </xf>
    <xf numFmtId="164" fontId="9" fillId="2" borderId="2" xfId="0" applyNumberFormat="1" applyFont="1" applyFill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15"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114"/>
      <tableStyleElement type="headerRow" dxfId="113"/>
      <tableStyleElement type="totalRow" dxfId="112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2</xdr:col>
      <xdr:colOff>1347575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125522</xdr:colOff>
      <xdr:row>1</xdr:row>
      <xdr:rowOff>155780</xdr:rowOff>
    </xdr:from>
    <xdr:to>
      <xdr:col>7</xdr:col>
      <xdr:colOff>45484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3</xdr:col>
      <xdr:colOff>447992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E25C23-A302-4087-A221-8845A5A7C89C}"/>
            </a:ext>
          </a:extLst>
        </xdr:cNvPr>
        <xdr:cNvSpPr txBox="1"/>
      </xdr:nvSpPr>
      <xdr:spPr>
        <a:xfrm>
          <a:off x="228600" y="190500"/>
          <a:ext cx="768170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581568</xdr:colOff>
      <xdr:row>1</xdr:row>
      <xdr:rowOff>155780</xdr:rowOff>
    </xdr:from>
    <xdr:to>
      <xdr:col>8</xdr:col>
      <xdr:colOff>1037816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182AC0-CF1C-46DE-B3D6-8EA20B5E952F}"/>
            </a:ext>
          </a:extLst>
        </xdr:cNvPr>
        <xdr:cNvSpPr txBox="1"/>
      </xdr:nvSpPr>
      <xdr:spPr>
        <a:xfrm>
          <a:off x="11979818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3</xdr:col>
      <xdr:colOff>447992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65C0BF-5C94-4BAC-A24C-B31B96CC5E0A}"/>
            </a:ext>
          </a:extLst>
        </xdr:cNvPr>
        <xdr:cNvSpPr txBox="1"/>
      </xdr:nvSpPr>
      <xdr:spPr>
        <a:xfrm>
          <a:off x="228600" y="190500"/>
          <a:ext cx="767746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496901</xdr:colOff>
      <xdr:row>1</xdr:row>
      <xdr:rowOff>155780</xdr:rowOff>
    </xdr:from>
    <xdr:to>
      <xdr:col>8</xdr:col>
      <xdr:colOff>953149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DA1F3E-9A62-4AAA-9FBF-4AFFAC601BE9}"/>
            </a:ext>
          </a:extLst>
        </xdr:cNvPr>
        <xdr:cNvSpPr txBox="1"/>
      </xdr:nvSpPr>
      <xdr:spPr>
        <a:xfrm>
          <a:off x="11973468" y="346280"/>
          <a:ext cx="3008948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1220575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01AFDE-AD23-4C1A-896D-C85830F84393}"/>
            </a:ext>
          </a:extLst>
        </xdr:cNvPr>
        <xdr:cNvSpPr txBox="1"/>
      </xdr:nvSpPr>
      <xdr:spPr>
        <a:xfrm>
          <a:off x="228600" y="190500"/>
          <a:ext cx="767746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200568</xdr:colOff>
      <xdr:row>1</xdr:row>
      <xdr:rowOff>155780</xdr:rowOff>
    </xdr:from>
    <xdr:to>
      <xdr:col>11</xdr:col>
      <xdr:colOff>307566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0427B5-6374-4545-A312-B5A1961A8E6D}"/>
            </a:ext>
          </a:extLst>
        </xdr:cNvPr>
        <xdr:cNvSpPr txBox="1"/>
      </xdr:nvSpPr>
      <xdr:spPr>
        <a:xfrm>
          <a:off x="11973468" y="346280"/>
          <a:ext cx="3008948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f49ffa8e94f27b0/Documentos/SENA/PROYECTO/TRIMESTRE2/Matriz%20Tecnica/Cuadro%20de%20cotizaciones%20G4.xlsx" TargetMode="External"/><Relationship Id="rId1" Type="http://schemas.openxmlformats.org/officeDocument/2006/relationships/externalLinkPath" Target="Cuadro%20de%20cotizaciones%20G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91uW6-MeIEaKPffJt3zFBObashfV2JxFvPNEozz_Sw0HrFr_-_OtTLXID0635M_e" itemId="01ZQYWSGRILM53JXFE5BALD6MK64VPK6Y3">
      <xxl21:absoluteUrl r:id="rId2"/>
    </xxl21:alternateUrls>
    <sheetNames>
      <sheetName val="Cuadro de cotizacion"/>
      <sheetName val="Mouse admin"/>
      <sheetName val="Teclado admin"/>
      <sheetName val="Monitor admin"/>
      <sheetName val="SERVER Admin"/>
      <sheetName val="DOMINIO"/>
      <sheetName val="HOSTING"/>
      <sheetName val="Teclado Equipo de programacion"/>
      <sheetName val="Mouse equipo de programacion"/>
      <sheetName val="LAPTOP Programadores"/>
      <sheetName val="MONITOR 1 Programadores"/>
      <sheetName val="MONITOR 2 Programadores "/>
      <sheetName val="SOFTWARE (VSCode)"/>
      <sheetName val="SOFTWARE NECESARIO(office2021)"/>
      <sheetName val="SOFTWARE NECESARIO(Antivirus)"/>
      <sheetName val="SOFTWARE NECESARIO(windows)"/>
      <sheetName val="Licencia MongoDB"/>
      <sheetName val="Pc Doctor"/>
      <sheetName val="Pc  enfermeros"/>
      <sheetName val="EJEMPLO"/>
    </sheetNames>
    <sheetDataSet>
      <sheetData sheetId="0"/>
      <sheetData sheetId="1">
        <row r="8">
          <cell r="D8" t="str">
            <v>Wireless Logitech Mx Master 3s</v>
          </cell>
          <cell r="G8">
            <v>579900</v>
          </cell>
          <cell r="H8">
            <v>579900</v>
          </cell>
        </row>
        <row r="9">
          <cell r="G9">
            <v>699900</v>
          </cell>
          <cell r="H9">
            <v>699900</v>
          </cell>
        </row>
        <row r="10">
          <cell r="H10">
            <v>334230</v>
          </cell>
        </row>
      </sheetData>
      <sheetData sheetId="2">
        <row r="8">
          <cell r="D8" t="str">
            <v>Ducky One 2 Rgb Tkl Pudding Edition</v>
          </cell>
          <cell r="H8">
            <v>851000</v>
          </cell>
        </row>
        <row r="9">
          <cell r="H9">
            <v>658398</v>
          </cell>
        </row>
        <row r="10">
          <cell r="H10">
            <v>215974</v>
          </cell>
        </row>
      </sheetData>
      <sheetData sheetId="3">
        <row r="8">
          <cell r="G8">
            <v>799900</v>
          </cell>
        </row>
        <row r="9">
          <cell r="G9">
            <v>1379900</v>
          </cell>
        </row>
        <row r="10">
          <cell r="D10" t="str">
            <v xml:space="preserve">Monitor Ultrawide Lg 34 Ips Hrd10 Freesync 75Hz 34Wp500 B </v>
          </cell>
          <cell r="H10">
            <v>1049100</v>
          </cell>
        </row>
      </sheetData>
      <sheetData sheetId="4">
        <row r="8">
          <cell r="D8" t="str">
            <v>Servidor Dell Power Edge T40 Intel Xeon</v>
          </cell>
          <cell r="H8">
            <v>7565800</v>
          </cell>
        </row>
        <row r="9">
          <cell r="H9">
            <v>5799000</v>
          </cell>
        </row>
        <row r="10">
          <cell r="H10">
            <v>4900000</v>
          </cell>
        </row>
      </sheetData>
      <sheetData sheetId="5">
        <row r="8">
          <cell r="H8">
            <v>17000</v>
          </cell>
        </row>
        <row r="9">
          <cell r="H9">
            <v>331500</v>
          </cell>
        </row>
        <row r="10">
          <cell r="H10">
            <v>277729</v>
          </cell>
        </row>
      </sheetData>
      <sheetData sheetId="6">
        <row r="8">
          <cell r="D8" t="str">
            <v>Hosting anual</v>
          </cell>
          <cell r="G8">
            <v>302013</v>
          </cell>
        </row>
        <row r="9">
          <cell r="G9">
            <v>699900</v>
          </cell>
        </row>
        <row r="10">
          <cell r="G10">
            <v>682800</v>
          </cell>
        </row>
      </sheetData>
      <sheetData sheetId="7">
        <row r="8">
          <cell r="D8" t="str">
            <v>Teclado Mecanico Razer Blackwidow V3</v>
          </cell>
          <cell r="G8">
            <v>510300</v>
          </cell>
        </row>
        <row r="9">
          <cell r="G9">
            <v>690000</v>
          </cell>
        </row>
        <row r="10">
          <cell r="H10">
            <v>382161</v>
          </cell>
        </row>
      </sheetData>
      <sheetData sheetId="8">
        <row r="8">
          <cell r="D8" t="str">
            <v>RAZER NAGA X</v>
          </cell>
          <cell r="H8">
            <v>464061</v>
          </cell>
        </row>
        <row r="9">
          <cell r="G9">
            <v>379900</v>
          </cell>
        </row>
        <row r="10">
          <cell r="G10">
            <v>430000</v>
          </cell>
        </row>
      </sheetData>
      <sheetData sheetId="9">
        <row r="8">
          <cell r="D8" t="str">
            <v xml:space="preserve">ThinkPad P16 Gen 2 (16" Intel)
</v>
          </cell>
          <cell r="G8">
            <v>2537.5500000000002</v>
          </cell>
        </row>
        <row r="9">
          <cell r="G9">
            <v>3461.19</v>
          </cell>
        </row>
        <row r="10">
          <cell r="G10">
            <v>13699900</v>
          </cell>
        </row>
      </sheetData>
      <sheetData sheetId="10">
        <row r="8">
          <cell r="D8" t="str">
            <v xml:space="preserve">Monitor LG 29'' Pulgadas 29WQ500 FHD
</v>
          </cell>
          <cell r="H8">
            <v>1420263</v>
          </cell>
        </row>
        <row r="9">
          <cell r="G9">
            <v>899900</v>
          </cell>
        </row>
        <row r="10">
          <cell r="G10">
            <v>899900</v>
          </cell>
        </row>
      </sheetData>
      <sheetData sheetId="11">
        <row r="8">
          <cell r="D8" t="str">
            <v>Monitor Gamer Samsung 24 Odyssey G3 Pivot Freesync Premium 165hz 1ms</v>
          </cell>
          <cell r="G8">
            <v>803800</v>
          </cell>
        </row>
        <row r="9">
          <cell r="G9">
            <v>819900</v>
          </cell>
        </row>
        <row r="10">
          <cell r="H10">
            <v>699900</v>
          </cell>
        </row>
      </sheetData>
      <sheetData sheetId="12">
        <row r="8">
          <cell r="D8" t="str">
            <v xml:space="preserve">Licencia visual studio </v>
          </cell>
          <cell r="H8">
            <v>975000</v>
          </cell>
        </row>
        <row r="9">
          <cell r="H9">
            <v>175500</v>
          </cell>
        </row>
        <row r="10">
          <cell r="D10" t="str">
            <v xml:space="preserve">Licencia visual studio </v>
          </cell>
          <cell r="H10">
            <v>1139600</v>
          </cell>
        </row>
      </sheetData>
      <sheetData sheetId="13">
        <row r="8">
          <cell r="D8" t="str">
            <v>Office 2021</v>
          </cell>
          <cell r="G8">
            <v>66000</v>
          </cell>
          <cell r="H8">
            <v>66000</v>
          </cell>
        </row>
        <row r="9">
          <cell r="H9">
            <v>99960</v>
          </cell>
        </row>
        <row r="10">
          <cell r="G10">
            <v>119800</v>
          </cell>
          <cell r="H10">
            <v>119800</v>
          </cell>
        </row>
      </sheetData>
      <sheetData sheetId="14">
        <row r="8">
          <cell r="G8">
            <v>128000</v>
          </cell>
        </row>
        <row r="9">
          <cell r="G9">
            <v>179950</v>
          </cell>
        </row>
        <row r="10">
          <cell r="H10">
            <v>135816.06</v>
          </cell>
        </row>
      </sheetData>
      <sheetData sheetId="15">
        <row r="8">
          <cell r="D8" t="str">
            <v>Windows 10 Professional</v>
          </cell>
          <cell r="G8">
            <v>44900</v>
          </cell>
          <cell r="H8">
            <v>44900</v>
          </cell>
        </row>
        <row r="9">
          <cell r="G9">
            <v>22500</v>
          </cell>
          <cell r="H9">
            <v>22500</v>
          </cell>
        </row>
        <row r="10">
          <cell r="G10">
            <v>43000</v>
          </cell>
          <cell r="H10">
            <v>43000</v>
          </cell>
        </row>
      </sheetData>
      <sheetData sheetId="16"/>
      <sheetData sheetId="17">
        <row r="8">
          <cell r="D8" t="str">
            <v>HP Envy 34 (34 pulgadas)</v>
          </cell>
          <cell r="H8">
            <v>16900000</v>
          </cell>
        </row>
        <row r="9">
          <cell r="H9">
            <v>12916200</v>
          </cell>
        </row>
        <row r="10">
          <cell r="H10">
            <v>14753990</v>
          </cell>
        </row>
      </sheetData>
      <sheetData sheetId="18">
        <row r="8">
          <cell r="D8" t="str">
            <v>Lenovo IdeaCentre AIO 3.</v>
          </cell>
          <cell r="H8">
            <v>1699000</v>
          </cell>
        </row>
        <row r="9">
          <cell r="H9">
            <v>1990000</v>
          </cell>
        </row>
        <row r="10">
          <cell r="H10">
            <v>1799000</v>
          </cell>
        </row>
      </sheetData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 headerRowDxfId="111" dataDxfId="110">
  <tableColumns count="11">
    <tableColumn id="1" xr3:uid="{00000000-0010-0000-0000-000001000000}" name="PRODUCTO" totalsRowLabel="Total" dataDxfId="109" totalsRowDxfId="108">
      <calculatedColumnFormula>+'[1]LAPTOP Programadores'!$D$8</calculatedColumnFormula>
    </tableColumn>
    <tableColumn id="8" xr3:uid="{00000000-0010-0000-0000-000008000000}" name="CANTIDAD" dataDxfId="107" totalsRowDxfId="106"/>
    <tableColumn id="2" xr3:uid="{00000000-0010-0000-0000-000002000000}" name="PROVEEDOR 1" totalsRowFunction="custom" dataDxfId="105" totalsRowDxfId="104">
      <calculatedColumnFormula>+'[1]LAPTOP Programadores'!$G$8</calculatedColumnFormula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dataDxfId="103" totalsRowDxfId="102">
      <calculatedColumnFormula>+'[1]LAPTOP Programadores'!$G$9</calculatedColumnFormula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101" totalsRowDxfId="100">
      <calculatedColumnFormula>+'[1]LAPTOP Programadores'!$G$10</calculatedColumnFormula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99" totalsRowDxfId="98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97" totalsRowDxfId="96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95" totalsRowDxfId="94">
      <totalsRowFormula>ROUND(SUMPRODUCT(Comparación_precios[[CANTIDAD]:[CANTIDAD]],Comparación_precios[PROVEEDOR 6]),2)</totalsRowFormula>
    </tableColumn>
    <tableColumn id="11" xr3:uid="{00000000-0010-0000-0000-00000B000000}" name="PRECIO MÁS BAJO" dataDxfId="93" totalsRowDxfId="92">
      <calculatedColumnFormula>MIN(Comparación_precios[[#This Row],[PROVEEDOR 1]:[PROVEEDOR 6]])</calculatedColumnFormula>
    </tableColumn>
    <tableColumn id="12" xr3:uid="{00000000-0010-0000-0000-00000C000000}" name="PRECIO PROMEDIO" dataDxfId="91" totalsRowDxfId="90">
      <calculatedColumnFormula>IFERROR(AVERAGE(Comparación_precios[[#This Row],[PROVEEDOR 1]:[PROVEEDOR 6]]),0)</calculatedColumnFormula>
    </tableColumn>
    <tableColumn id="13" xr3:uid="{00000000-0010-0000-0000-00000D000000}" name="PRECIO MÁS ALTO" dataDxfId="89" totalsRowDxfId="88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48DCA-FCF3-4FC0-B02F-5AF3980ECF07}" name="Comparación_precios2" displayName="Comparación_precios2" ref="B8:L25" totalsRowCount="1" headerRowDxfId="87" dataDxfId="86">
  <tableColumns count="11">
    <tableColumn id="1" xr3:uid="{98CCC73B-679A-4993-A7BC-D9CDE72EF618}" name="PRODUCTO" totalsRowLabel="Total" dataDxfId="85" totalsRowDxfId="84">
      <calculatedColumnFormula>+'[1]SERVER Admin'!$D$8</calculatedColumnFormula>
    </tableColumn>
    <tableColumn id="8" xr3:uid="{53BC4EB5-3A3B-4BFA-9601-09153EFECE1B}" name="CANTIDAD" dataDxfId="83" totalsRowDxfId="82"/>
    <tableColumn id="2" xr3:uid="{CC8E7709-E0D4-44DE-8A10-2DF917B2C519}" name="PROVEEDOR 1" totalsRowFunction="custom" dataDxfId="81" totalsRowDxfId="80">
      <calculatedColumnFormula>+'[1]SERVER Admin'!$H$8</calculatedColumnFormula>
      <totalsRowFormula>ROUND(SUMPRODUCT(Comparación_precios2[[CANTIDAD]:[CANTIDAD]],Comparación_precios2[PROVEEDOR 1]),2)</totalsRowFormula>
    </tableColumn>
    <tableColumn id="3" xr3:uid="{78FC3B85-FFE0-46C3-BDA2-50A80F0F00C3}" name="PROVEEDOR 2" totalsRowFunction="custom" dataDxfId="79" totalsRowDxfId="78">
      <calculatedColumnFormula>+'[1]SERVER Admin'!$H$9</calculatedColumnFormula>
      <totalsRowFormula>ROUND(SUMPRODUCT(Comparación_precios2[[CANTIDAD]:[CANTIDAD]],Comparación_precios2[PROVEEDOR 2]),2)</totalsRowFormula>
    </tableColumn>
    <tableColumn id="4" xr3:uid="{2A44B1D7-FC50-43FA-8D2F-976AFC5F4470}" name="PROVEEDOR 3" totalsRowFunction="custom" dataDxfId="77" totalsRowDxfId="76">
      <calculatedColumnFormula>+'[1]SERVER Admin'!$H$10</calculatedColumnFormula>
      <totalsRowFormula>ROUND(SUMPRODUCT(Comparación_precios2[[CANTIDAD]:[CANTIDAD]],Comparación_precios2[PROVEEDOR 3]),2)</totalsRowFormula>
    </tableColumn>
    <tableColumn id="5" xr3:uid="{2B00F288-1477-4D07-B83C-CFEA0C42E5B4}" name="PROVEEDOR 4" totalsRowFunction="custom" dataDxfId="75" totalsRowDxfId="74">
      <totalsRowFormula>ROUND(SUMPRODUCT(Comparación_precios2[[CANTIDAD]:[CANTIDAD]],Comparación_precios2[PROVEEDOR 4]),2)</totalsRowFormula>
    </tableColumn>
    <tableColumn id="6" xr3:uid="{C1C58F6B-667F-4CA6-BB44-16BF60B733BE}" name="PROVEEDOR 5" totalsRowFunction="custom" dataDxfId="73" totalsRowDxfId="72">
      <totalsRowFormula>ROUND(SUMPRODUCT(Comparación_precios2[[CANTIDAD]:[CANTIDAD]],Comparación_precios2[PROVEEDOR 5]),2)</totalsRowFormula>
    </tableColumn>
    <tableColumn id="7" xr3:uid="{15F918B7-1AEE-41C1-AE9E-8DB81F226EA1}" name="PROVEEDOR 6" totalsRowFunction="custom" dataDxfId="71" totalsRowDxfId="70">
      <totalsRowFormula>ROUND(SUMPRODUCT(Comparación_precios2[[CANTIDAD]:[CANTIDAD]],Comparación_precios2[PROVEEDOR 6]),2)</totalsRowFormula>
    </tableColumn>
    <tableColumn id="11" xr3:uid="{4E248862-D9BB-4559-883B-20C2BFA14629}" name="PRECIO MÁS BAJO" dataDxfId="69" totalsRowDxfId="68">
      <calculatedColumnFormula>MIN(Comparación_precios2[[#This Row],[PROVEEDOR 1]:[PROVEEDOR 6]])</calculatedColumnFormula>
    </tableColumn>
    <tableColumn id="12" xr3:uid="{5FA38258-DA38-4C0F-9E87-DCB20B884C4C}" name="PRECIO PROMEDIO" dataDxfId="67" totalsRowDxfId="66">
      <calculatedColumnFormula>IFERROR(AVERAGE(Comparación_precios2[[#This Row],[PROVEEDOR 1]:[PROVEEDOR 6]]),0)</calculatedColumnFormula>
    </tableColumn>
    <tableColumn id="13" xr3:uid="{CCFF5B27-013C-4C21-83F6-7D498A49675C}" name="PRECIO MÁS ALTO" dataDxfId="65" totalsRowDxfId="64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88922-D300-4BE9-A946-000C136F7852}" name="Comparación_precios24" displayName="Comparación_precios24" ref="B8:L25" totalsRowCount="1" headerRowDxfId="63" dataDxfId="62">
  <tableColumns count="11">
    <tableColumn id="1" xr3:uid="{2644B9DD-7F58-499F-BFB4-BCE261B7F078}" name="PRODUCTO" totalsRowLabel="Total" dataDxfId="61" totalsRowDxfId="60">
      <calculatedColumnFormula>+'[1]Pc Doctor'!$D$8</calculatedColumnFormula>
    </tableColumn>
    <tableColumn id="8" xr3:uid="{310A6689-7CC0-456E-8258-1CFA61966A8B}" name="CANTIDAD" dataDxfId="59" totalsRowDxfId="58"/>
    <tableColumn id="2" xr3:uid="{5E24A94F-0B7B-4285-8E8D-CFD0C36613F9}" name="PROVEEDOR 1" totalsRowFunction="custom" dataDxfId="57" totalsRowDxfId="56">
      <calculatedColumnFormula>+'[1]Pc Doctor'!$H$8</calculatedColumnFormula>
      <totalsRowFormula>ROUND(SUMPRODUCT(Comparación_precios24[[CANTIDAD]:[CANTIDAD]],Comparación_precios24[PROVEEDOR 1]),2)</totalsRowFormula>
    </tableColumn>
    <tableColumn id="3" xr3:uid="{A0589803-CAFA-459C-8F50-56642DB4B4C2}" name="PROVEEDOR 2" totalsRowFunction="custom" dataDxfId="55" totalsRowDxfId="54">
      <calculatedColumnFormula>+'[1]Pc Doctor'!$H$9</calculatedColumnFormula>
      <totalsRowFormula>ROUND(SUMPRODUCT(Comparación_precios24[[CANTIDAD]:[CANTIDAD]],Comparación_precios24[PROVEEDOR 2]),2)</totalsRowFormula>
    </tableColumn>
    <tableColumn id="4" xr3:uid="{77A12824-F021-4FD6-A5E8-6E428765427F}" name="PROVEEDOR 3" totalsRowFunction="custom" dataDxfId="53" totalsRowDxfId="52">
      <calculatedColumnFormula>+'[1]Pc Doctor'!$H$10</calculatedColumnFormula>
      <totalsRowFormula>ROUND(SUMPRODUCT(Comparación_precios24[[CANTIDAD]:[CANTIDAD]],Comparación_precios24[PROVEEDOR 3]),2)</totalsRowFormula>
    </tableColumn>
    <tableColumn id="5" xr3:uid="{2094D26F-12DD-4C98-88B9-BB8FA5F3A185}" name="PROVEEDOR 4" totalsRowFunction="custom" dataDxfId="51" totalsRowDxfId="50">
      <totalsRowFormula>ROUND(SUMPRODUCT(Comparación_precios24[[CANTIDAD]:[CANTIDAD]],Comparación_precios24[PROVEEDOR 4]),2)</totalsRowFormula>
    </tableColumn>
    <tableColumn id="6" xr3:uid="{1C275DBD-FC42-48C6-B8B6-6B6777ED86B9}" name="PROVEEDOR 5" totalsRowFunction="custom" dataDxfId="49" totalsRowDxfId="48">
      <totalsRowFormula>ROUND(SUMPRODUCT(Comparación_precios24[[CANTIDAD]:[CANTIDAD]],Comparación_precios24[PROVEEDOR 5]),2)</totalsRowFormula>
    </tableColumn>
    <tableColumn id="7" xr3:uid="{19002F44-1FCC-4A85-9CD3-A71D05219715}" name="PROVEEDOR 6" totalsRowFunction="custom" dataDxfId="47" totalsRowDxfId="46">
      <totalsRowFormula>ROUND(SUMPRODUCT(Comparación_precios24[[CANTIDAD]:[CANTIDAD]],Comparación_precios24[PROVEEDOR 6]),2)</totalsRowFormula>
    </tableColumn>
    <tableColumn id="11" xr3:uid="{72C7A0CC-2D08-4802-A35F-CB7A59D220BF}" name="PRECIO MÁS BAJO" dataDxfId="45" totalsRowDxfId="44">
      <calculatedColumnFormula>MIN(Comparación_precios24[[#This Row],[PROVEEDOR 1]:[PROVEEDOR 6]])</calculatedColumnFormula>
    </tableColumn>
    <tableColumn id="12" xr3:uid="{4A2DC379-E06B-4A81-AD57-D6E03BBF3929}" name="PRECIO PROMEDIO" dataDxfId="43" totalsRowDxfId="42">
      <calculatedColumnFormula>IFERROR(AVERAGE(Comparación_precios24[[#This Row],[PROVEEDOR 1]:[PROVEEDOR 6]]),0)</calculatedColumnFormula>
    </tableColumn>
    <tableColumn id="13" xr3:uid="{AB1B9274-9B47-4C5D-8355-96CE7E66E711}" name="PRECIO MÁS ALTO" dataDxfId="41" totalsRowDxfId="40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91A508-A5AF-433C-87A4-A94F83DCAE7F}" name="Comparación_precios245" displayName="Comparación_precios245" ref="B8:L25" totalsRowCount="1" headerRowDxfId="39" dataDxfId="38">
  <tableColumns count="11">
    <tableColumn id="1" xr3:uid="{5F786962-E352-49C0-8E90-BEAC71E418C3}" name="PRODUCTO" totalsRowLabel="Total" dataDxfId="37" totalsRowDxfId="36">
      <calculatedColumnFormula>+'[1]Pc  enfermeros'!$D$8</calculatedColumnFormula>
    </tableColumn>
    <tableColumn id="8" xr3:uid="{658546B5-C402-40AC-ADD8-8C9CE32B5241}" name="CANTIDAD" dataDxfId="35" totalsRowDxfId="34"/>
    <tableColumn id="2" xr3:uid="{E6FC38F3-8C30-4964-9DD0-50E28E5023B3}" name="PROVEEDOR 1" totalsRowFunction="custom" dataDxfId="33" totalsRowDxfId="32">
      <calculatedColumnFormula>+'[1]Pc  enfermeros'!$H$8</calculatedColumnFormula>
      <totalsRowFormula>ROUND(SUMPRODUCT(Comparación_precios245[[CANTIDAD]:[CANTIDAD]],Comparación_precios245[PROVEEDOR 1]),2)</totalsRowFormula>
    </tableColumn>
    <tableColumn id="3" xr3:uid="{A847EC82-DBCC-42B4-BE91-B8328A6FB98F}" name="PROVEEDOR 2" totalsRowFunction="custom" dataDxfId="31" totalsRowDxfId="30">
      <calculatedColumnFormula>+'[1]Pc  enfermeros'!$H$9</calculatedColumnFormula>
      <totalsRowFormula>ROUND(SUMPRODUCT(Comparación_precios245[[CANTIDAD]:[CANTIDAD]],Comparación_precios245[PROVEEDOR 2]),2)</totalsRowFormula>
    </tableColumn>
    <tableColumn id="4" xr3:uid="{5F44DAC0-819F-4F77-B6BE-FDC05967E244}" name="PROVEEDOR 3" totalsRowFunction="custom" dataDxfId="29" totalsRowDxfId="28">
      <calculatedColumnFormula>+'[1]Pc  enfermeros'!$H$10</calculatedColumnFormula>
      <totalsRowFormula>ROUND(SUMPRODUCT(Comparación_precios245[[CANTIDAD]:[CANTIDAD]],Comparación_precios245[PROVEEDOR 3]),2)</totalsRowFormula>
    </tableColumn>
    <tableColumn id="5" xr3:uid="{2C108DAB-514F-48EA-8F15-B77B4FF8AA23}" name="PROVEEDOR 4" totalsRowFunction="custom" dataDxfId="27" totalsRowDxfId="26">
      <totalsRowFormula>ROUND(SUMPRODUCT(Comparación_precios245[[CANTIDAD]:[CANTIDAD]],Comparación_precios245[PROVEEDOR 4]),2)</totalsRowFormula>
    </tableColumn>
    <tableColumn id="6" xr3:uid="{0A437140-9F2C-4800-B11F-4A3D47740BB4}" name="PROVEEDOR 5" totalsRowFunction="custom" dataDxfId="25" totalsRowDxfId="24">
      <totalsRowFormula>ROUND(SUMPRODUCT(Comparación_precios245[[CANTIDAD]:[CANTIDAD]],Comparación_precios245[PROVEEDOR 5]),2)</totalsRowFormula>
    </tableColumn>
    <tableColumn id="7" xr3:uid="{CF3AB311-0F5C-4C65-A3D9-90DA8010D15E}" name="PROVEEDOR 6" totalsRowFunction="custom" dataDxfId="23" totalsRowDxfId="22">
      <totalsRowFormula>ROUND(SUMPRODUCT(Comparación_precios245[[CANTIDAD]:[CANTIDAD]],Comparación_precios245[PROVEEDOR 6]),2)</totalsRowFormula>
    </tableColumn>
    <tableColumn id="11" xr3:uid="{6CFEF737-CD39-4725-84E5-D16BB507FFD1}" name="PRECIO MÁS BAJO" dataDxfId="21" totalsRowDxfId="20">
      <calculatedColumnFormula>MIN(Comparación_precios245[[#This Row],[PROVEEDOR 1]:[PROVEEDOR 6]])</calculatedColumnFormula>
    </tableColumn>
    <tableColumn id="12" xr3:uid="{6586CF8F-B772-47D6-B8D2-16FBB7D2AD3F}" name="PRECIO PROMEDIO" dataDxfId="19" totalsRowDxfId="18">
      <calculatedColumnFormula>IFERROR(AVERAGE(Comparación_precios245[[#This Row],[PROVEEDOR 1]:[PROVEEDOR 6]]),0)</calculatedColumnFormula>
    </tableColumn>
    <tableColumn id="13" xr3:uid="{89E40224-8EAD-4C66-AC40-EBFD8431DE40}" name="PRECIO MÁS ALTO" dataDxfId="17" totalsRowDxfId="16">
      <calculatedColumnFormula>MAX(Comparación_precios245[[#This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A2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18" customWidth="1"/>
    <col min="2" max="11" width="22.1640625" style="18" customWidth="1"/>
    <col min="12" max="16384" width="12" style="18"/>
  </cols>
  <sheetData>
    <row r="1" spans="2:11" ht="9.9499999999999993" customHeight="1" x14ac:dyDescent="0.25"/>
    <row r="2" spans="2:11" customFormat="1" ht="54.9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5"/>
    <row r="4" spans="2:11" ht="42" customHeight="1" x14ac:dyDescent="0.25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topLeftCell="A3" zoomScale="55" zoomScaleNormal="55" workbookViewId="0">
      <selection activeCell="J1" sqref="J1"/>
    </sheetView>
  </sheetViews>
  <sheetFormatPr baseColWidth="10" defaultColWidth="9.33203125" defaultRowHeight="12.75" x14ac:dyDescent="0.2"/>
  <cols>
    <col min="1" max="1" width="4" style="1" customWidth="1"/>
    <col min="2" max="2" width="110.83203125" style="1" bestFit="1" customWidth="1"/>
    <col min="3" max="3" width="31.5" style="1" customWidth="1"/>
    <col min="4" max="4" width="30.1640625" style="1" bestFit="1" customWidth="1"/>
    <col min="5" max="5" width="31" style="1" bestFit="1" customWidth="1"/>
    <col min="6" max="6" width="31.6640625" style="1" bestFit="1" customWidth="1"/>
    <col min="7" max="8" width="22.33203125" style="1" bestFit="1" customWidth="1"/>
    <col min="9" max="9" width="22.33203125" style="1" customWidth="1"/>
    <col min="10" max="10" width="26.1640625" style="1" bestFit="1" customWidth="1"/>
    <col min="11" max="11" width="28.6640625" style="3" bestFit="1" customWidth="1"/>
    <col min="12" max="12" width="31" style="3" bestFit="1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3" t="s">
        <v>3</v>
      </c>
      <c r="K7" s="64"/>
      <c r="L7" s="65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9.5" thickBot="1" x14ac:dyDescent="0.35">
      <c r="B9" s="56" t="str">
        <f>+'[1]LAPTOP Programadores'!$D$8</f>
        <v xml:space="preserve">ThinkPad P16 Gen 2 (16" Intel)
</v>
      </c>
      <c r="C9" s="57">
        <v>4</v>
      </c>
      <c r="D9" s="9">
        <f>+'[1]LAPTOP Programadores'!$G$8</f>
        <v>2537.5500000000002</v>
      </c>
      <c r="E9" s="9">
        <f>+'[1]LAPTOP Programadores'!$G$9</f>
        <v>3461.19</v>
      </c>
      <c r="F9" s="9">
        <f>+'[1]LAPTOP Programadores'!$G$10</f>
        <v>13699900</v>
      </c>
      <c r="G9" s="9"/>
      <c r="H9" s="9"/>
      <c r="I9" s="9"/>
      <c r="J9" s="13">
        <f>MIN(Comparación_precios[[#This Row],[PROVEEDOR 1]:[PROVEEDOR 6]])</f>
        <v>2537.5500000000002</v>
      </c>
      <c r="K9" s="8">
        <f>IFERROR(AVERAGE(Comparación_precios[[#This Row],[PROVEEDOR 1]:[PROVEEDOR 6]]),0)</f>
        <v>4568632.9133333331</v>
      </c>
      <c r="L9" s="14">
        <f>MAX(Comparación_precios[[#This Row],[PROVEEDOR 1]:[PROVEEDOR 6]])</f>
        <v>13699900</v>
      </c>
    </row>
    <row r="10" spans="2:14" s="7" customFormat="1" ht="19.5" thickBot="1" x14ac:dyDescent="0.35">
      <c r="B10" s="56" t="str">
        <f>+'[1]MONITOR 1 Programadores'!$D$8</f>
        <v xml:space="preserve">Monitor LG 29'' Pulgadas 29WQ500 FHD
</v>
      </c>
      <c r="C10" s="57">
        <v>4</v>
      </c>
      <c r="D10" s="9">
        <f>+'[1]MONITOR 1 Programadores'!$H$8</f>
        <v>1420263</v>
      </c>
      <c r="E10" s="9">
        <f>+'[1]MONITOR 1 Programadores'!$G$9</f>
        <v>899900</v>
      </c>
      <c r="F10" s="9">
        <f>+'[1]MONITOR 1 Programadores'!$G$10</f>
        <v>899900</v>
      </c>
      <c r="G10" s="9"/>
      <c r="H10" s="9"/>
      <c r="I10" s="9"/>
      <c r="J10" s="13">
        <f>MIN(Comparación_precios[[#This Row],[PROVEEDOR 1]:[PROVEEDOR 6]])</f>
        <v>899900</v>
      </c>
      <c r="K10" s="8">
        <f>IFERROR(AVERAGE(Comparación_precios[[#This Row],[PROVEEDOR 1]:[PROVEEDOR 6]]),0)</f>
        <v>1073354.3333333333</v>
      </c>
      <c r="L10" s="14">
        <f>MAX(Comparación_precios[[#This Row],[PROVEEDOR 1]:[PROVEEDOR 6]])</f>
        <v>1420263</v>
      </c>
    </row>
    <row r="11" spans="2:14" s="7" customFormat="1" ht="19.5" thickBot="1" x14ac:dyDescent="0.35">
      <c r="B11" s="56" t="str">
        <f>+'[1]MONITOR 2 Programadores '!$D$8</f>
        <v>Monitor Gamer Samsung 24 Odyssey G3 Pivot Freesync Premium 165hz 1ms</v>
      </c>
      <c r="C11" s="57">
        <v>4</v>
      </c>
      <c r="D11" s="9">
        <f>+'[1]MONITOR 2 Programadores '!$G$8</f>
        <v>803800</v>
      </c>
      <c r="E11" s="58">
        <f>+'[1]MONITOR 2 Programadores '!$G$9</f>
        <v>819900</v>
      </c>
      <c r="F11" s="9">
        <f>+'[1]MONITOR 2 Programadores '!$H$10</f>
        <v>699900</v>
      </c>
      <c r="G11" s="9"/>
      <c r="H11" s="9"/>
      <c r="I11" s="9"/>
      <c r="J11" s="13">
        <f>MIN(Comparación_precios[[#This Row],[PROVEEDOR 1]:[PROVEEDOR 6]])</f>
        <v>699900</v>
      </c>
      <c r="K11" s="8">
        <f>IFERROR(AVERAGE(Comparación_precios[[#This Row],[PROVEEDOR 1]:[PROVEEDOR 6]]),0)</f>
        <v>774533.33333333337</v>
      </c>
      <c r="L11" s="14">
        <f>MAX(Comparación_precios[[#This Row],[PROVEEDOR 1]:[PROVEEDOR 6]])</f>
        <v>819900</v>
      </c>
    </row>
    <row r="12" spans="2:14" s="7" customFormat="1" ht="19.5" thickBot="1" x14ac:dyDescent="0.35">
      <c r="B12" s="56" t="str">
        <f>+'[1]SOFTWARE NECESARIO(office2021)'!$D$8</f>
        <v>Office 2021</v>
      </c>
      <c r="C12" s="57">
        <v>4</v>
      </c>
      <c r="D12" s="9">
        <f>+'[1]SOFTWARE NECESARIO(office2021)'!$G$8</f>
        <v>66000</v>
      </c>
      <c r="E12" s="9">
        <f>+'[1]SOFTWARE NECESARIO(office2021)'!$H$9</f>
        <v>99960</v>
      </c>
      <c r="F12" s="9">
        <f>+'[1]SOFTWARE NECESARIO(office2021)'!$G$10</f>
        <v>119800</v>
      </c>
      <c r="G12" s="9"/>
      <c r="H12" s="9"/>
      <c r="I12" s="9"/>
      <c r="J12" s="13">
        <f>MIN(Comparación_precios[[#This Row],[PROVEEDOR 1]:[PROVEEDOR 6]])</f>
        <v>66000</v>
      </c>
      <c r="K12" s="8">
        <f>IFERROR(AVERAGE(Comparación_precios[[#This Row],[PROVEEDOR 1]:[PROVEEDOR 6]]),0)</f>
        <v>95253.333333333328</v>
      </c>
      <c r="L12" s="14">
        <f>MAX(Comparación_precios[[#This Row],[PROVEEDOR 1]:[PROVEEDOR 6]])</f>
        <v>119800</v>
      </c>
    </row>
    <row r="13" spans="2:14" s="7" customFormat="1" ht="19.5" thickBot="1" x14ac:dyDescent="0.35">
      <c r="B13" s="56" t="str">
        <f>+'[1]SOFTWARE NECESARIO(windows)'!$D$8</f>
        <v>Windows 10 Professional</v>
      </c>
      <c r="C13" s="57">
        <v>4</v>
      </c>
      <c r="D13" s="9">
        <f>+'[1]SOFTWARE NECESARIO(windows)'!$G$8</f>
        <v>44900</v>
      </c>
      <c r="E13" s="9">
        <f>+'[1]SOFTWARE NECESARIO(windows)'!$G$9</f>
        <v>22500</v>
      </c>
      <c r="F13" s="9">
        <f>+'[1]SOFTWARE NECESARIO(windows)'!$G$10</f>
        <v>43000</v>
      </c>
      <c r="G13" s="9"/>
      <c r="H13" s="9"/>
      <c r="I13" s="9"/>
      <c r="J13" s="13">
        <f>MIN(Comparación_precios[[#This Row],[PROVEEDOR 1]:[PROVEEDOR 6]])</f>
        <v>22500</v>
      </c>
      <c r="K13" s="8">
        <f>IFERROR(AVERAGE(Comparación_precios[[#This Row],[PROVEEDOR 1]:[PROVEEDOR 6]]),0)</f>
        <v>36800</v>
      </c>
      <c r="L13" s="14">
        <f>MAX(Comparación_precios[[#This Row],[PROVEEDOR 1]:[PROVEEDOR 6]])</f>
        <v>44900</v>
      </c>
    </row>
    <row r="14" spans="2:14" s="7" customFormat="1" ht="19.5" thickBot="1" x14ac:dyDescent="0.35">
      <c r="B14" s="56" t="str">
        <f>+'[1]SOFTWARE (VSCode)'!$D$8</f>
        <v xml:space="preserve">Licencia visual studio </v>
      </c>
      <c r="C14" s="57">
        <v>4</v>
      </c>
      <c r="D14" s="9">
        <f>+'[1]SOFTWARE (VSCode)'!$H$8</f>
        <v>975000</v>
      </c>
      <c r="E14" s="9">
        <f>+'[1]SOFTWARE (VSCode)'!$H$9</f>
        <v>175500</v>
      </c>
      <c r="F14" s="9">
        <f>+'[1]SOFTWARE (VSCode)'!$H$10</f>
        <v>1139600</v>
      </c>
      <c r="G14" s="9"/>
      <c r="H14" s="9"/>
      <c r="I14" s="9"/>
      <c r="J14" s="27">
        <f>MIN(Comparación_precios[[#This Row],[PROVEEDOR 1]:[PROVEEDOR 6]])</f>
        <v>175500</v>
      </c>
      <c r="K14" s="28">
        <f>IFERROR(AVERAGE(Comparación_precios[[#This Row],[PROVEEDOR 1]:[PROVEEDOR 6]]),0)</f>
        <v>763366.66666666663</v>
      </c>
      <c r="L14" s="29">
        <f>MAX(Comparación_precios[[#This Row],[PROVEEDOR 1]:[PROVEEDOR 6]])</f>
        <v>1139600</v>
      </c>
    </row>
    <row r="15" spans="2:14" s="2" customFormat="1" ht="19.5" thickBot="1" x14ac:dyDescent="0.35">
      <c r="B15" s="59" t="str">
        <f>+'[1]Mouse equipo de programacion'!$D$8</f>
        <v>RAZER NAGA X</v>
      </c>
      <c r="C15" s="57">
        <v>4</v>
      </c>
      <c r="D15" s="9">
        <f>+'[1]Mouse equipo de programacion'!$H$8</f>
        <v>464061</v>
      </c>
      <c r="E15" s="44">
        <f>+'[1]Mouse equipo de programacion'!$G$9</f>
        <v>379900</v>
      </c>
      <c r="F15" s="44">
        <f>+'[1]Mouse equipo de programacion'!$G$10</f>
        <v>430000</v>
      </c>
      <c r="G15" s="44"/>
      <c r="H15" s="44"/>
      <c r="I15" s="44"/>
      <c r="J15" s="27">
        <f>MIN(Comparación_precios[[#This Row],[PROVEEDOR 1]:[PROVEEDOR 6]])</f>
        <v>379900</v>
      </c>
      <c r="K15" s="8">
        <f>IFERROR(AVERAGE(Comparación_precios[[#This Row],[PROVEEDOR 1]:[PROVEEDOR 6]]),0)</f>
        <v>424653.66666666669</v>
      </c>
      <c r="L15" s="14">
        <f>MAX(Comparación_precios[[#This Row],[PROVEEDOR 1]:[PROVEEDOR 6]])</f>
        <v>464061</v>
      </c>
    </row>
    <row r="16" spans="2:14" s="2" customFormat="1" ht="19.5" thickBot="1" x14ac:dyDescent="0.35">
      <c r="B16" s="59" t="str">
        <f>+'[1]Teclado Equipo de programacion'!$D$8</f>
        <v>Teclado Mecanico Razer Blackwidow V3</v>
      </c>
      <c r="C16" s="57">
        <v>4</v>
      </c>
      <c r="D16" s="9">
        <f>+'[1]Teclado Equipo de programacion'!$G$8</f>
        <v>510300</v>
      </c>
      <c r="E16" s="44">
        <f>+'[1]Teclado Equipo de programacion'!$G$9</f>
        <v>690000</v>
      </c>
      <c r="F16" s="44">
        <f>+'[1]Teclado Equipo de programacion'!$H$10</f>
        <v>382161</v>
      </c>
      <c r="G16" s="44"/>
      <c r="H16" s="44"/>
      <c r="I16" s="44"/>
      <c r="J16" s="27">
        <f>MIN(Comparación_precios[[#This Row],[PROVEEDOR 1]:[PROVEEDOR 6]])</f>
        <v>382161</v>
      </c>
      <c r="K16" s="8">
        <f>IFERROR(AVERAGE(Comparación_precios[[#This Row],[PROVEEDOR 1]:[PROVEEDOR 6]]),0)</f>
        <v>527487</v>
      </c>
      <c r="L16" s="14">
        <f>MAX(Comparación_precios[[#This Row],[PROVEEDOR 1]:[PROVEEDOR 6]])</f>
        <v>690000</v>
      </c>
    </row>
    <row r="17" spans="2:12" s="2" customFormat="1" ht="19.5" thickBot="1" x14ac:dyDescent="0.35">
      <c r="B17" s="44"/>
      <c r="C17" s="57"/>
      <c r="D17" s="9"/>
      <c r="E17" s="44"/>
      <c r="F17" s="44"/>
      <c r="G17" s="44"/>
      <c r="H17" s="44"/>
      <c r="I17" s="44"/>
      <c r="J17" s="27">
        <f>MIN(Comparación_precios[[#This Row],[PROVEEDOR 1]:[PROVEEDOR 6]])</f>
        <v>0</v>
      </c>
      <c r="K17" s="28">
        <f>IFERROR(AVERAGE(Comparación_precios[[#This Row],[PROVEEDOR 1]:[PROVEEDOR 6]]),0)</f>
        <v>0</v>
      </c>
      <c r="L17" s="29">
        <f>MAX(Comparación_precios[[#This Row],[PROVEEDOR 1]:[PROVEEDOR 6]])</f>
        <v>0</v>
      </c>
    </row>
    <row r="18" spans="2:12" s="2" customFormat="1" ht="19.5" thickBot="1" x14ac:dyDescent="0.35">
      <c r="B18" s="41"/>
      <c r="C18" s="57"/>
      <c r="D18" s="9"/>
      <c r="E18" s="43"/>
      <c r="F18" s="43"/>
      <c r="G18" s="43"/>
      <c r="H18" s="41"/>
      <c r="I18" s="55"/>
      <c r="J18" s="27">
        <f>MIN(Comparación_precios[[#This Row],[PROVEEDOR 1]:[PROVEEDOR 6]])</f>
        <v>0</v>
      </c>
      <c r="K18" s="8">
        <f>IFERROR(AVERAGE(Comparación_precios[[#This Row],[PROVEEDOR 1]:[PROVEEDOR 6]]),0)</f>
        <v>0</v>
      </c>
      <c r="L18" s="14">
        <f>MAX(Comparación_precios[[#This Row],[PROVEEDOR 1]:[PROVEEDOR 6]])</f>
        <v>0</v>
      </c>
    </row>
    <row r="19" spans="2:12" s="2" customFormat="1" ht="19.5" thickBot="1" x14ac:dyDescent="0.35">
      <c r="B19" s="41"/>
      <c r="C19" s="57"/>
      <c r="D19" s="9"/>
      <c r="E19" s="43"/>
      <c r="F19" s="43"/>
      <c r="G19" s="43"/>
      <c r="H19" s="41"/>
      <c r="I19" s="55"/>
      <c r="J19" s="27">
        <f>MIN(Comparación_precios[[#This Row],[PROVEEDOR 1]:[PROVEEDOR 6]])</f>
        <v>0</v>
      </c>
      <c r="K19" s="8">
        <f>IFERROR(AVERAGE(Comparación_precios[[#This Row],[PROVEEDOR 1]:[PROVEEDOR 6]]),0)</f>
        <v>0</v>
      </c>
      <c r="L19" s="14">
        <f>MAX(Comparación_precios[[#This Row],[PROVEEDOR 1]:[PROVEEDOR 6]])</f>
        <v>0</v>
      </c>
    </row>
    <row r="20" spans="2:12" s="2" customFormat="1" ht="19.5" thickBot="1" x14ac:dyDescent="0.35">
      <c r="B20" s="41"/>
      <c r="C20" s="42"/>
      <c r="D20" s="9"/>
      <c r="E20" s="43"/>
      <c r="F20" s="43"/>
      <c r="G20" s="43"/>
      <c r="H20" s="41"/>
      <c r="I20" s="55"/>
      <c r="J20" s="27">
        <f>MIN(Comparación_precios[[#This Row],[PROVEEDOR 1]:[PROVEEDOR 6]])</f>
        <v>0</v>
      </c>
      <c r="K20" s="8">
        <f>IFERROR(AVERAGE(Comparación_precios[[#This Row],[PROVEEDOR 1]:[PROVEEDOR 6]]),0)</f>
        <v>0</v>
      </c>
      <c r="L20" s="14">
        <f>MAX(Comparación_precios[[#This Row],[PROVEEDOR 1]:[PROVEEDOR 6]])</f>
        <v>0</v>
      </c>
    </row>
    <row r="21" spans="2:12" s="2" customFormat="1" ht="19.5" thickBot="1" x14ac:dyDescent="0.35">
      <c r="B21" s="41"/>
      <c r="C21" s="42"/>
      <c r="D21" s="9"/>
      <c r="E21" s="43"/>
      <c r="F21" s="43"/>
      <c r="G21" s="43"/>
      <c r="H21" s="41"/>
      <c r="I21" s="55"/>
      <c r="J21" s="27">
        <f>MIN(Comparación_precios[[#This Row],[PROVEEDOR 1]:[PROVEEDOR 6]])</f>
        <v>0</v>
      </c>
      <c r="K21" s="8">
        <f>IFERROR(AVERAGE(Comparación_precios[[#This Row],[PROVEEDOR 1]:[PROVEEDOR 6]]),0)</f>
        <v>0</v>
      </c>
      <c r="L21" s="14">
        <f>MAX(Comparación_precios[[#This Row],[PROVEEDOR 1]:[PROVEEDOR 6]])</f>
        <v>0</v>
      </c>
    </row>
    <row r="22" spans="2:12" s="2" customFormat="1" ht="19.5" thickBot="1" x14ac:dyDescent="0.35">
      <c r="B22" s="41"/>
      <c r="C22" s="42"/>
      <c r="D22" s="9"/>
      <c r="E22" s="43"/>
      <c r="F22" s="43"/>
      <c r="G22" s="43"/>
      <c r="H22" s="41"/>
      <c r="I22" s="55"/>
      <c r="J22" s="27">
        <f>MIN(Comparación_precios[[#This Row],[PROVEEDOR 1]:[PROVEEDOR 6]])</f>
        <v>0</v>
      </c>
      <c r="K22" s="8">
        <f>IFERROR(AVERAGE(Comparación_precios[[#This Row],[PROVEEDOR 1]:[PROVEEDOR 6]]),0)</f>
        <v>0</v>
      </c>
      <c r="L22" s="14">
        <f>MAX(Comparación_precios[[#This Row],[PROVEEDOR 1]:[PROVEEDOR 6]])</f>
        <v>0</v>
      </c>
    </row>
    <row r="23" spans="2:12" s="2" customFormat="1" ht="19.5" thickBot="1" x14ac:dyDescent="0.35">
      <c r="B23" s="41"/>
      <c r="C23" s="42"/>
      <c r="D23" s="9"/>
      <c r="E23" s="43"/>
      <c r="F23" s="43"/>
      <c r="G23" s="43"/>
      <c r="H23" s="41"/>
      <c r="I23" s="55"/>
      <c r="J23" s="27">
        <f>MIN(Comparación_precios[[#This Row],[PROVEEDOR 1]:[PROVEEDOR 6]])</f>
        <v>0</v>
      </c>
      <c r="K23" s="8">
        <f>IFERROR(AVERAGE(Comparación_precios[[#This Row],[PROVEEDOR 1]:[PROVEEDOR 6]]),0)</f>
        <v>0</v>
      </c>
      <c r="L23" s="14">
        <f>MAX(Comparación_precios[[#This Row],[PROVEEDOR 1]:[PROVEEDOR 6]])</f>
        <v>0</v>
      </c>
    </row>
    <row r="24" spans="2:12" s="2" customFormat="1" ht="19.5" thickBot="1" x14ac:dyDescent="0.35">
      <c r="B24" s="41"/>
      <c r="C24" s="42"/>
      <c r="D24" s="9"/>
      <c r="E24" s="43"/>
      <c r="F24" s="43"/>
      <c r="G24" s="43"/>
      <c r="H24" s="41"/>
      <c r="I24" s="55"/>
      <c r="J24" s="27">
        <f>MIN(Comparación_precios[[#This Row],[PROVEEDOR 1]:[PROVEEDOR 6]])</f>
        <v>0</v>
      </c>
      <c r="K24" s="8">
        <f>IFERROR(AVERAGE(Comparación_precios[[#This Row],[PROVEEDOR 1]:[PROVEEDOR 6]]),0)</f>
        <v>0</v>
      </c>
      <c r="L24" s="14">
        <f>MAX(Comparación_precios[[#This Row],[PROVEEDOR 1]:[PROVEEDOR 6]])</f>
        <v>0</v>
      </c>
    </row>
    <row r="25" spans="2:12" s="2" customFormat="1" ht="19.5" thickBot="1" x14ac:dyDescent="0.35">
      <c r="B25" s="32" t="s">
        <v>15</v>
      </c>
      <c r="C25" s="32"/>
      <c r="D25" s="33">
        <f>ROUND(SUMPRODUCT(Comparación_precios[[CANTIDAD]:[CANTIDAD]],Comparación_precios[PROVEEDOR 1]),2)</f>
        <v>17147446.199999999</v>
      </c>
      <c r="E25" s="33">
        <f>ROUND(SUMPRODUCT(Comparación_precios[[CANTIDAD]:[CANTIDAD]],Comparación_precios[PROVEEDOR 2]),2)</f>
        <v>12364484.76</v>
      </c>
      <c r="F25" s="33">
        <f>ROUND(SUMPRODUCT(Comparación_precios[[CANTIDAD]:[CANTIDAD]],Comparación_precios[PROVEEDOR 3]),2)</f>
        <v>69657044</v>
      </c>
      <c r="G25" s="33">
        <f>ROUND(SUMPRODUCT(Comparación_precios[[CANTIDAD]:[CANTIDAD]],Comparación_precios[PROVEEDOR 4]),2)</f>
        <v>0</v>
      </c>
      <c r="H25" s="33">
        <f>ROUND(SUMPRODUCT(Comparación_precios[[CANTIDAD]:[CANTIDAD]],Comparación_precios[PROVEEDOR 5]),2)</f>
        <v>0</v>
      </c>
      <c r="I25" s="33">
        <f>ROUND(SUMPRODUCT(Comparación_precios[[CANTIDAD]:[CANTIDAD]],Comparación_precios[PROVEEDOR 6]),2)</f>
        <v>0</v>
      </c>
      <c r="J25" s="34"/>
      <c r="K25" s="34"/>
      <c r="L25" s="35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8" t="s">
        <v>16</v>
      </c>
      <c r="C28" s="69"/>
      <c r="D28" s="21"/>
      <c r="E28" s="21"/>
      <c r="F28" s="21"/>
      <c r="G28" s="21"/>
      <c r="H28" s="21"/>
    </row>
    <row r="29" spans="2:12" s="2" customFormat="1" ht="33.6" customHeight="1" x14ac:dyDescent="0.2">
      <c r="B29" s="66" t="s">
        <v>17</v>
      </c>
      <c r="C29" s="67"/>
      <c r="D29" s="46" t="s">
        <v>18</v>
      </c>
      <c r="E29" s="15" t="s">
        <v>19</v>
      </c>
      <c r="F29" s="15" t="s">
        <v>20</v>
      </c>
      <c r="G29" s="15"/>
      <c r="H29" s="15"/>
      <c r="I29" s="15"/>
    </row>
    <row r="30" spans="2:12" s="2" customFormat="1" ht="25.9" customHeight="1" x14ac:dyDescent="0.2">
      <c r="B30" s="66" t="s">
        <v>21</v>
      </c>
      <c r="C30" s="67"/>
      <c r="D30" s="47">
        <v>0</v>
      </c>
      <c r="E30" s="22">
        <v>0</v>
      </c>
      <c r="F30" s="22">
        <v>0</v>
      </c>
      <c r="G30" s="15"/>
      <c r="H30" s="22"/>
      <c r="I30" s="22"/>
    </row>
    <row r="31" spans="2:12" s="2" customFormat="1" ht="18" customHeight="1" x14ac:dyDescent="0.2">
      <c r="B31" s="66" t="s">
        <v>22</v>
      </c>
      <c r="C31" s="67"/>
      <c r="D31" s="48"/>
      <c r="E31" s="23"/>
      <c r="F31" s="23"/>
      <c r="G31" s="23"/>
      <c r="H31" s="23"/>
      <c r="I31" s="23"/>
    </row>
    <row r="32" spans="2:12" s="2" customFormat="1" ht="18.75" x14ac:dyDescent="0.2">
      <c r="B32" s="66"/>
      <c r="C32" s="67"/>
      <c r="D32" s="49"/>
      <c r="E32" s="24"/>
      <c r="F32" s="24"/>
      <c r="G32" s="24"/>
      <c r="H32" s="24"/>
      <c r="I32" s="24"/>
    </row>
    <row r="33" spans="2:12" s="2" customFormat="1" ht="18.75" x14ac:dyDescent="0.2">
      <c r="B33" s="66"/>
      <c r="C33" s="67"/>
      <c r="D33" s="50"/>
      <c r="E33" s="25"/>
      <c r="F33" s="25"/>
      <c r="G33" s="25"/>
      <c r="H33" s="25"/>
      <c r="I33" s="25"/>
    </row>
    <row r="34" spans="2:12" ht="18.75" x14ac:dyDescent="0.2">
      <c r="B34" s="66"/>
      <c r="C34" s="67"/>
      <c r="D34" s="51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6"/>
      <c r="E37" s="36"/>
      <c r="F37" s="37"/>
      <c r="G37" s="38"/>
      <c r="H37" s="39"/>
      <c r="I37" s="36"/>
      <c r="J37" s="3"/>
      <c r="K37" s="1"/>
      <c r="L37" s="1"/>
    </row>
    <row r="38" spans="2:12" ht="18.75" x14ac:dyDescent="0.2">
      <c r="D38" s="36"/>
      <c r="E38" s="36"/>
      <c r="F38" s="37"/>
      <c r="G38" s="40"/>
      <c r="H38" s="39"/>
      <c r="I38" s="36"/>
    </row>
    <row r="39" spans="2:12" ht="18.75" x14ac:dyDescent="0.2">
      <c r="D39" s="36"/>
      <c r="E39" s="36"/>
      <c r="F39" s="37"/>
      <c r="G39" s="40"/>
      <c r="H39" s="39"/>
      <c r="I39" s="36"/>
    </row>
    <row r="40" spans="2:12" ht="18.75" x14ac:dyDescent="0.2">
      <c r="D40" s="36"/>
      <c r="E40" s="36"/>
      <c r="F40" s="37"/>
      <c r="G40" s="40"/>
      <c r="H40" s="39"/>
      <c r="I40" s="36"/>
    </row>
    <row r="41" spans="2:12" ht="18.75" x14ac:dyDescent="0.2">
      <c r="D41" s="36"/>
      <c r="E41" s="36"/>
      <c r="F41" s="37"/>
      <c r="G41" s="40"/>
      <c r="H41" s="39"/>
      <c r="I41" s="36"/>
    </row>
    <row r="42" spans="2:12" ht="18.75" x14ac:dyDescent="0.2">
      <c r="D42" s="36"/>
      <c r="E42" s="36"/>
      <c r="F42" s="37"/>
      <c r="G42" s="40"/>
      <c r="H42" s="39"/>
      <c r="I42" s="36"/>
    </row>
  </sheetData>
  <mergeCells count="5">
    <mergeCell ref="J7:L7"/>
    <mergeCell ref="B29:C29"/>
    <mergeCell ref="B30:C30"/>
    <mergeCell ref="B31:C34"/>
    <mergeCell ref="B28:C28"/>
  </mergeCells>
  <phoneticPr fontId="13" type="noConversion"/>
  <conditionalFormatting sqref="B8:C8">
    <cfRule type="expression" dxfId="15" priority="1">
      <formula>AND(B$25=MIN($D$25:$I$25),B$25&lt;&gt;0)</formula>
    </cfRule>
  </conditionalFormatting>
  <conditionalFormatting sqref="D8:I8 D25:I25">
    <cfRule type="expression" dxfId="14" priority="42">
      <formula>AND(D$25=MIN($D$25:$I$25),D$25&lt;&gt;0)</formula>
    </cfRule>
  </conditionalFormatting>
  <conditionalFormatting sqref="D9:I24">
    <cfRule type="expression" dxfId="13" priority="46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791C-DC24-4F0C-8EFF-F85828153E6C}">
  <dimension ref="B1:N42"/>
  <sheetViews>
    <sheetView showGridLines="0" topLeftCell="B6" zoomScale="90" zoomScaleNormal="90" workbookViewId="0">
      <selection activeCell="B19" sqref="B19"/>
    </sheetView>
  </sheetViews>
  <sheetFormatPr baseColWidth="10" defaultColWidth="9.33203125" defaultRowHeight="12.75" x14ac:dyDescent="0.2"/>
  <cols>
    <col min="1" max="1" width="4" style="1" customWidth="1"/>
    <col min="2" max="2" width="110.83203125" style="1" bestFit="1" customWidth="1"/>
    <col min="3" max="3" width="15.6640625" style="1" bestFit="1" customWidth="1"/>
    <col min="4" max="5" width="23.5" style="1" bestFit="1" customWidth="1"/>
    <col min="6" max="6" width="21.83203125" style="1" bestFit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3" t="s">
        <v>3</v>
      </c>
      <c r="K7" s="64"/>
      <c r="L7" s="65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9.5" thickBot="1" x14ac:dyDescent="0.35">
      <c r="B9" s="56" t="str">
        <f>+'[1]SERVER Admin'!$D$8</f>
        <v>Servidor Dell Power Edge T40 Intel Xeon</v>
      </c>
      <c r="C9" s="57">
        <v>1</v>
      </c>
      <c r="D9" s="9">
        <f>+'[1]SERVER Admin'!$H$8</f>
        <v>7565800</v>
      </c>
      <c r="E9" s="9">
        <f>+'[1]SERVER Admin'!$H$9</f>
        <v>5799000</v>
      </c>
      <c r="F9" s="9">
        <f>+'[1]SERVER Admin'!$H$10</f>
        <v>4900000</v>
      </c>
      <c r="G9" s="9"/>
      <c r="H9" s="9"/>
      <c r="I9" s="9"/>
      <c r="J9" s="13">
        <f>MIN(Comparación_precios2[[#This Row],[PROVEEDOR 1]:[PROVEEDOR 6]])</f>
        <v>4900000</v>
      </c>
      <c r="K9" s="8">
        <f>IFERROR(AVERAGE(Comparación_precios2[[#This Row],[PROVEEDOR 1]:[PROVEEDOR 6]]),0)</f>
        <v>6088266.666666667</v>
      </c>
      <c r="L9" s="14">
        <f>MAX(Comparación_precios2[[#This Row],[PROVEEDOR 1]:[PROVEEDOR 6]])</f>
        <v>7565800</v>
      </c>
    </row>
    <row r="10" spans="2:14" s="7" customFormat="1" ht="19.5" thickBot="1" x14ac:dyDescent="0.35">
      <c r="B10" s="56" t="str">
        <f>+'[1]Monitor admin'!$D$10</f>
        <v xml:space="preserve">Monitor Ultrawide Lg 34 Ips Hrd10 Freesync 75Hz 34Wp500 B </v>
      </c>
      <c r="C10" s="57">
        <v>1</v>
      </c>
      <c r="D10" s="9">
        <f>+'[1]Monitor admin'!$G$8</f>
        <v>799900</v>
      </c>
      <c r="E10" s="9">
        <f>+'[1]Monitor admin'!$G$9</f>
        <v>1379900</v>
      </c>
      <c r="F10" s="9">
        <f>+'[1]Monitor admin'!$H$10</f>
        <v>1049100</v>
      </c>
      <c r="G10" s="9"/>
      <c r="H10" s="9"/>
      <c r="I10" s="9"/>
      <c r="J10" s="13">
        <f>MIN(Comparación_precios2[[#This Row],[PROVEEDOR 1]:[PROVEEDOR 6]])</f>
        <v>799900</v>
      </c>
      <c r="K10" s="8">
        <f>IFERROR(AVERAGE(Comparación_precios2[[#This Row],[PROVEEDOR 1]:[PROVEEDOR 6]]),0)</f>
        <v>1076300</v>
      </c>
      <c r="L10" s="14">
        <f>MAX(Comparación_precios2[[#This Row],[PROVEEDOR 1]:[PROVEEDOR 6]])</f>
        <v>1379900</v>
      </c>
    </row>
    <row r="11" spans="2:14" s="7" customFormat="1" ht="19.5" thickBot="1" x14ac:dyDescent="0.35">
      <c r="B11" s="56" t="str">
        <f>+'[1]Teclado admin'!$D$8</f>
        <v>Ducky One 2 Rgb Tkl Pudding Edition</v>
      </c>
      <c r="C11" s="57">
        <v>1</v>
      </c>
      <c r="D11" s="9">
        <f>+'[1]Teclado admin'!$H$8</f>
        <v>851000</v>
      </c>
      <c r="E11" s="58">
        <f>+'[1]Teclado admin'!$H$9</f>
        <v>658398</v>
      </c>
      <c r="F11" s="9">
        <f>+'[1]Teclado admin'!$H$10</f>
        <v>215974</v>
      </c>
      <c r="G11" s="9"/>
      <c r="H11" s="9"/>
      <c r="I11" s="9"/>
      <c r="J11" s="13">
        <f>MIN(Comparación_precios2[[#This Row],[PROVEEDOR 1]:[PROVEEDOR 6]])</f>
        <v>215974</v>
      </c>
      <c r="K11" s="8">
        <f>IFERROR(AVERAGE(Comparación_precios2[[#This Row],[PROVEEDOR 1]:[PROVEEDOR 6]]),0)</f>
        <v>575124</v>
      </c>
      <c r="L11" s="14">
        <f>MAX(Comparación_precios2[[#This Row],[PROVEEDOR 1]:[PROVEEDOR 6]])</f>
        <v>851000</v>
      </c>
    </row>
    <row r="12" spans="2:14" s="7" customFormat="1" ht="19.5" thickBot="1" x14ac:dyDescent="0.35">
      <c r="B12" s="56" t="str">
        <f>+'[1]SOFTWARE NECESARIO(office2021)'!$D$8</f>
        <v>Office 2021</v>
      </c>
      <c r="C12" s="57">
        <v>1</v>
      </c>
      <c r="D12" s="9">
        <f>+'[1]SOFTWARE NECESARIO(office2021)'!$G$8</f>
        <v>66000</v>
      </c>
      <c r="E12" s="9">
        <f>+'[1]SOFTWARE NECESARIO(office2021)'!$H$9</f>
        <v>99960</v>
      </c>
      <c r="F12" s="9">
        <f>+'[1]SOFTWARE NECESARIO(office2021)'!$G$10</f>
        <v>119800</v>
      </c>
      <c r="G12" s="9"/>
      <c r="H12" s="9"/>
      <c r="I12" s="9"/>
      <c r="J12" s="13">
        <f>MIN(Comparación_precios2[[#This Row],[PROVEEDOR 1]:[PROVEEDOR 6]])</f>
        <v>66000</v>
      </c>
      <c r="K12" s="8">
        <f>IFERROR(AVERAGE(Comparación_precios2[[#This Row],[PROVEEDOR 1]:[PROVEEDOR 6]]),0)</f>
        <v>95253.333333333328</v>
      </c>
      <c r="L12" s="14">
        <f>MAX(Comparación_precios2[[#This Row],[PROVEEDOR 1]:[PROVEEDOR 6]])</f>
        <v>119800</v>
      </c>
    </row>
    <row r="13" spans="2:14" s="7" customFormat="1" ht="19.5" thickBot="1" x14ac:dyDescent="0.35">
      <c r="B13" s="56" t="str">
        <f>+'[1]SOFTWARE NECESARIO(windows)'!$D$8</f>
        <v>Windows 10 Professional</v>
      </c>
      <c r="C13" s="57">
        <v>1</v>
      </c>
      <c r="D13" s="9">
        <f>+'[1]SOFTWARE NECESARIO(windows)'!$G$8</f>
        <v>44900</v>
      </c>
      <c r="E13" s="9">
        <f>+'[1]SOFTWARE NECESARIO(windows)'!$G$9</f>
        <v>22500</v>
      </c>
      <c r="F13" s="9">
        <f>+'[1]SOFTWARE NECESARIO(windows)'!$G$10</f>
        <v>43000</v>
      </c>
      <c r="G13" s="9"/>
      <c r="H13" s="9"/>
      <c r="I13" s="9"/>
      <c r="J13" s="13">
        <f>MIN(Comparación_precios2[[#This Row],[PROVEEDOR 1]:[PROVEEDOR 6]])</f>
        <v>22500</v>
      </c>
      <c r="K13" s="8">
        <f>IFERROR(AVERAGE(Comparación_precios2[[#This Row],[PROVEEDOR 1]:[PROVEEDOR 6]]),0)</f>
        <v>36800</v>
      </c>
      <c r="L13" s="14">
        <f>MAX(Comparación_precios2[[#This Row],[PROVEEDOR 1]:[PROVEEDOR 6]])</f>
        <v>44900</v>
      </c>
    </row>
    <row r="14" spans="2:14" s="7" customFormat="1" ht="19.5" thickBot="1" x14ac:dyDescent="0.35">
      <c r="B14" s="56" t="s">
        <v>23</v>
      </c>
      <c r="C14" s="57">
        <v>1</v>
      </c>
      <c r="D14" s="9">
        <f>+'[1]SOFTWARE NECESARIO(Antivirus)'!$G$8</f>
        <v>128000</v>
      </c>
      <c r="E14" s="9">
        <f>+'[1]SOFTWARE NECESARIO(Antivirus)'!$G$9</f>
        <v>179950</v>
      </c>
      <c r="F14" s="9">
        <f>+'[1]SOFTWARE NECESARIO(Antivirus)'!$H$10</f>
        <v>135816.06</v>
      </c>
      <c r="G14" s="9"/>
      <c r="H14" s="9"/>
      <c r="I14" s="9"/>
      <c r="J14" s="27">
        <f>MIN(Comparación_precios2[[#This Row],[PROVEEDOR 1]:[PROVEEDOR 6]])</f>
        <v>128000</v>
      </c>
      <c r="K14" s="28">
        <f>IFERROR(AVERAGE(Comparación_precios2[[#This Row],[PROVEEDOR 1]:[PROVEEDOR 6]]),0)</f>
        <v>147922.01999999999</v>
      </c>
      <c r="L14" s="29">
        <f>MAX(Comparación_precios2[[#This Row],[PROVEEDOR 1]:[PROVEEDOR 6]])</f>
        <v>179950</v>
      </c>
    </row>
    <row r="15" spans="2:14" s="2" customFormat="1" ht="19.5" thickBot="1" x14ac:dyDescent="0.35">
      <c r="B15" s="59" t="str">
        <f>+[1]HOSTING!$D$8</f>
        <v>Hosting anual</v>
      </c>
      <c r="C15" s="57">
        <v>1</v>
      </c>
      <c r="D15" s="9">
        <f>+[1]HOSTING!$G$8</f>
        <v>302013</v>
      </c>
      <c r="E15" s="44">
        <f>+[1]HOSTING!$G$9</f>
        <v>699900</v>
      </c>
      <c r="F15" s="44">
        <f>+[1]HOSTING!$G$10</f>
        <v>682800</v>
      </c>
      <c r="G15" s="44"/>
      <c r="H15" s="44"/>
      <c r="I15" s="44"/>
      <c r="J15" s="27">
        <f>MIN(Comparación_precios2[[#This Row],[PROVEEDOR 1]:[PROVEEDOR 6]])</f>
        <v>302013</v>
      </c>
      <c r="K15" s="8">
        <f>IFERROR(AVERAGE(Comparación_precios2[[#This Row],[PROVEEDOR 1]:[PROVEEDOR 6]]),0)</f>
        <v>561571</v>
      </c>
      <c r="L15" s="14">
        <f>MAX(Comparación_precios2[[#This Row],[PROVEEDOR 1]:[PROVEEDOR 6]])</f>
        <v>699900</v>
      </c>
    </row>
    <row r="16" spans="2:14" s="2" customFormat="1" ht="19.5" thickBot="1" x14ac:dyDescent="0.35">
      <c r="B16" s="59" t="s">
        <v>24</v>
      </c>
      <c r="C16" s="57">
        <v>1</v>
      </c>
      <c r="D16" s="9">
        <f>+[1]DOMINIO!$H$8</f>
        <v>17000</v>
      </c>
      <c r="E16" s="44">
        <f>+[1]DOMINIO!$H$9</f>
        <v>331500</v>
      </c>
      <c r="F16" s="44">
        <f>+[1]DOMINIO!$H$10</f>
        <v>277729</v>
      </c>
      <c r="G16" s="44"/>
      <c r="H16" s="44"/>
      <c r="I16" s="44"/>
      <c r="J16" s="27">
        <f>MIN(Comparación_precios2[[#This Row],[PROVEEDOR 1]:[PROVEEDOR 6]])</f>
        <v>17000</v>
      </c>
      <c r="K16" s="8">
        <f>IFERROR(AVERAGE(Comparación_precios2[[#This Row],[PROVEEDOR 1]:[PROVEEDOR 6]]),0)</f>
        <v>208743</v>
      </c>
      <c r="L16" s="14">
        <f>MAX(Comparación_precios2[[#This Row],[PROVEEDOR 1]:[PROVEEDOR 6]])</f>
        <v>331500</v>
      </c>
    </row>
    <row r="17" spans="2:12" s="2" customFormat="1" ht="19.5" thickBot="1" x14ac:dyDescent="0.35">
      <c r="B17" s="59" t="str">
        <f>+'[1]Mouse admin'!$D$8</f>
        <v>Wireless Logitech Mx Master 3s</v>
      </c>
      <c r="C17" s="57">
        <v>1</v>
      </c>
      <c r="D17" s="9">
        <f>+'[1]Mouse admin'!$G$8</f>
        <v>579900</v>
      </c>
      <c r="E17" s="44">
        <f>+'[1]Mouse admin'!$G$9</f>
        <v>699900</v>
      </c>
      <c r="F17" s="44">
        <f>+'[1]Mouse admin'!$H$10</f>
        <v>334230</v>
      </c>
      <c r="G17" s="44"/>
      <c r="H17" s="44"/>
      <c r="I17" s="44"/>
      <c r="J17" s="27">
        <f>MIN(Comparación_precios2[[#This Row],[PROVEEDOR 1]:[PROVEEDOR 6]])</f>
        <v>334230</v>
      </c>
      <c r="K17" s="28">
        <f>IFERROR(AVERAGE(Comparación_precios2[[#This Row],[PROVEEDOR 1]:[PROVEEDOR 6]]),0)</f>
        <v>538010</v>
      </c>
      <c r="L17" s="29">
        <f>MAX(Comparación_precios2[[#This Row],[PROVEEDOR 1]:[PROVEEDOR 6]])</f>
        <v>699900</v>
      </c>
    </row>
    <row r="18" spans="2:12" s="2" customFormat="1" ht="19.5" thickBot="1" x14ac:dyDescent="0.35">
      <c r="B18" s="60" t="e">
        <f>+#REF!</f>
        <v>#REF!</v>
      </c>
      <c r="C18" s="57">
        <v>1</v>
      </c>
      <c r="D18" s="9" t="e">
        <f>+#REF!</f>
        <v>#REF!</v>
      </c>
      <c r="E18" s="43" t="e">
        <f>+#REF!</f>
        <v>#REF!</v>
      </c>
      <c r="F18" s="43" t="e">
        <f>+#REF!</f>
        <v>#REF!</v>
      </c>
      <c r="G18" s="43"/>
      <c r="H18" s="41"/>
      <c r="I18" s="55"/>
      <c r="J18" s="27" t="e">
        <f>MIN(Comparación_precios2[[#This Row],[PROVEEDOR 1]:[PROVEEDOR 6]])</f>
        <v>#REF!</v>
      </c>
      <c r="K18" s="8">
        <f>IFERROR(AVERAGE(Comparación_precios2[[#This Row],[PROVEEDOR 1]:[PROVEEDOR 6]]),0)</f>
        <v>0</v>
      </c>
      <c r="L18" s="14" t="e">
        <f>MAX(Comparación_precios2[[#This Row],[PROVEEDOR 1]:[PROVEEDOR 6]])</f>
        <v>#REF!</v>
      </c>
    </row>
    <row r="19" spans="2:12" s="2" customFormat="1" ht="19.5" thickBot="1" x14ac:dyDescent="0.35">
      <c r="B19" s="56" t="str">
        <f>+'[1]SOFTWARE (VSCode)'!$D$10</f>
        <v xml:space="preserve">Licencia visual studio </v>
      </c>
      <c r="C19" s="57"/>
      <c r="D19" s="9"/>
      <c r="E19" s="43"/>
      <c r="F19" s="43"/>
      <c r="G19" s="43"/>
      <c r="H19" s="41"/>
      <c r="I19" s="55"/>
      <c r="J19" s="27">
        <f>MIN(Comparación_precios2[[#This Row],[PROVEEDOR 1]:[PROVEEDOR 6]])</f>
        <v>0</v>
      </c>
      <c r="K19" s="8">
        <f>IFERROR(AVERAGE(Comparación_precios2[[#This Row],[PROVEEDOR 1]:[PROVEEDOR 6]]),0)</f>
        <v>0</v>
      </c>
      <c r="L19" s="14">
        <f>MAX(Comparación_precios2[[#This Row],[PROVEEDOR 1]:[PROVEEDOR 6]])</f>
        <v>0</v>
      </c>
    </row>
    <row r="20" spans="2:12" s="2" customFormat="1" ht="19.5" thickBot="1" x14ac:dyDescent="0.35">
      <c r="B20" s="41"/>
      <c r="C20" s="42"/>
      <c r="D20" s="9"/>
      <c r="E20" s="43"/>
      <c r="F20" s="43"/>
      <c r="G20" s="43"/>
      <c r="H20" s="41"/>
      <c r="I20" s="55"/>
      <c r="J20" s="27">
        <f>MIN(Comparación_precios2[[#This Row],[PROVEEDOR 1]:[PROVEEDOR 6]])</f>
        <v>0</v>
      </c>
      <c r="K20" s="8">
        <f>IFERROR(AVERAGE(Comparación_precios2[[#This Row],[PROVEEDOR 1]:[PROVEEDOR 6]]),0)</f>
        <v>0</v>
      </c>
      <c r="L20" s="14">
        <f>MAX(Comparación_precios2[[#This Row],[PROVEEDOR 1]:[PROVEEDOR 6]])</f>
        <v>0</v>
      </c>
    </row>
    <row r="21" spans="2:12" s="2" customFormat="1" ht="19.5" thickBot="1" x14ac:dyDescent="0.35">
      <c r="B21" s="41"/>
      <c r="C21" s="42"/>
      <c r="D21" s="9"/>
      <c r="E21" s="43"/>
      <c r="F21" s="43"/>
      <c r="G21" s="43"/>
      <c r="H21" s="41"/>
      <c r="I21" s="55"/>
      <c r="J21" s="27">
        <f>MIN(Comparación_precios2[[#This Row],[PROVEEDOR 1]:[PROVEEDOR 6]])</f>
        <v>0</v>
      </c>
      <c r="K21" s="8">
        <f>IFERROR(AVERAGE(Comparación_precios2[[#This Row],[PROVEEDOR 1]:[PROVEEDOR 6]]),0)</f>
        <v>0</v>
      </c>
      <c r="L21" s="14">
        <f>MAX(Comparación_precios2[[#This Row],[PROVEEDOR 1]:[PROVEEDOR 6]])</f>
        <v>0</v>
      </c>
    </row>
    <row r="22" spans="2:12" s="2" customFormat="1" ht="19.5" thickBot="1" x14ac:dyDescent="0.35">
      <c r="B22" s="41"/>
      <c r="C22" s="42"/>
      <c r="D22" s="9"/>
      <c r="E22" s="43"/>
      <c r="F22" s="43"/>
      <c r="G22" s="43"/>
      <c r="H22" s="41"/>
      <c r="I22" s="55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19.5" thickBot="1" x14ac:dyDescent="0.35">
      <c r="B23" s="41"/>
      <c r="C23" s="42"/>
      <c r="D23" s="9"/>
      <c r="E23" s="43"/>
      <c r="F23" s="43"/>
      <c r="G23" s="43"/>
      <c r="H23" s="41"/>
      <c r="I23" s="55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19.5" thickBot="1" x14ac:dyDescent="0.35">
      <c r="B24" s="41"/>
      <c r="C24" s="42"/>
      <c r="D24" s="9"/>
      <c r="E24" s="43"/>
      <c r="F24" s="43"/>
      <c r="G24" s="43"/>
      <c r="H24" s="41"/>
      <c r="I24" s="55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19.5" thickBot="1" x14ac:dyDescent="0.35">
      <c r="B25" s="32" t="s">
        <v>15</v>
      </c>
      <c r="C25" s="32"/>
      <c r="D25" s="33" t="e">
        <f>ROUND(SUMPRODUCT(Comparación_precios2[[CANTIDAD]:[CANTIDAD]],Comparación_precios2[PROVEEDOR 1]),2)</f>
        <v>#REF!</v>
      </c>
      <c r="E25" s="33" t="e">
        <f>ROUND(SUMPRODUCT(Comparación_precios2[[CANTIDAD]:[CANTIDAD]],Comparación_precios2[PROVEEDOR 2]),2)</f>
        <v>#REF!</v>
      </c>
      <c r="F25" s="33" t="e">
        <f>ROUND(SUMPRODUCT(Comparación_precios2[[CANTIDAD]:[CANTIDAD]],Comparación_precios2[PROVEEDOR 3]),2)</f>
        <v>#REF!</v>
      </c>
      <c r="G25" s="33">
        <f>ROUND(SUMPRODUCT(Comparación_precios2[[CANTIDAD]:[CANTIDAD]],Comparación_precios2[PROVEEDOR 4]),2)</f>
        <v>0</v>
      </c>
      <c r="H25" s="33">
        <f>ROUND(SUMPRODUCT(Comparación_precios2[[CANTIDAD]:[CANTIDAD]],Comparación_precios2[PROVEEDOR 5]),2)</f>
        <v>0</v>
      </c>
      <c r="I25" s="33">
        <f>ROUND(SUMPRODUCT(Comparación_precios2[[CANTIDAD]:[CANTIDAD]],Comparación_precios2[PROVEEDOR 6]),2)</f>
        <v>0</v>
      </c>
      <c r="J25" s="34"/>
      <c r="K25" s="34"/>
      <c r="L25" s="35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8" t="s">
        <v>16</v>
      </c>
      <c r="C28" s="69"/>
      <c r="D28" s="21"/>
      <c r="E28" s="21"/>
      <c r="F28" s="21"/>
      <c r="G28" s="21"/>
      <c r="H28" s="21"/>
    </row>
    <row r="29" spans="2:12" s="2" customFormat="1" ht="33.6" customHeight="1" x14ac:dyDescent="0.2">
      <c r="B29" s="66" t="s">
        <v>17</v>
      </c>
      <c r="C29" s="67"/>
      <c r="D29" s="61" t="s">
        <v>25</v>
      </c>
      <c r="E29" s="15" t="s">
        <v>26</v>
      </c>
      <c r="F29" s="46" t="s">
        <v>18</v>
      </c>
      <c r="G29" s="15"/>
      <c r="H29" s="15"/>
      <c r="I29" s="15"/>
    </row>
    <row r="30" spans="2:12" s="2" customFormat="1" ht="25.9" customHeight="1" x14ac:dyDescent="0.2">
      <c r="B30" s="66" t="s">
        <v>21</v>
      </c>
      <c r="C30" s="67"/>
      <c r="D30" s="47">
        <v>0</v>
      </c>
      <c r="E30" s="22">
        <v>0</v>
      </c>
      <c r="F30" s="22">
        <v>0</v>
      </c>
      <c r="G30" s="15"/>
      <c r="H30" s="22"/>
      <c r="I30" s="22"/>
    </row>
    <row r="31" spans="2:12" s="2" customFormat="1" ht="18" customHeight="1" x14ac:dyDescent="0.2">
      <c r="B31" s="66" t="s">
        <v>22</v>
      </c>
      <c r="C31" s="67"/>
      <c r="D31" s="48"/>
      <c r="E31" s="23"/>
      <c r="F31" s="23"/>
      <c r="G31" s="23"/>
      <c r="H31" s="23"/>
      <c r="I31" s="23"/>
    </row>
    <row r="32" spans="2:12" s="2" customFormat="1" ht="18.75" x14ac:dyDescent="0.2">
      <c r="B32" s="66"/>
      <c r="C32" s="67"/>
      <c r="D32" s="49"/>
      <c r="E32" s="24"/>
      <c r="F32" s="24"/>
      <c r="G32" s="24"/>
      <c r="H32" s="24"/>
      <c r="I32" s="24"/>
    </row>
    <row r="33" spans="2:12" s="2" customFormat="1" ht="18.75" x14ac:dyDescent="0.2">
      <c r="B33" s="66"/>
      <c r="C33" s="67"/>
      <c r="D33" s="50"/>
      <c r="E33" s="25"/>
      <c r="F33" s="25"/>
      <c r="G33" s="25"/>
      <c r="H33" s="25"/>
      <c r="I33" s="25"/>
    </row>
    <row r="34" spans="2:12" ht="18.75" x14ac:dyDescent="0.2">
      <c r="B34" s="66"/>
      <c r="C34" s="67"/>
      <c r="D34" s="51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6"/>
      <c r="E37" s="36"/>
      <c r="F37" s="37"/>
      <c r="G37" s="38"/>
      <c r="H37" s="39"/>
      <c r="I37" s="36"/>
      <c r="J37" s="3"/>
      <c r="K37" s="1"/>
      <c r="L37" s="1"/>
    </row>
    <row r="38" spans="2:12" ht="18.75" x14ac:dyDescent="0.2">
      <c r="D38" s="36"/>
      <c r="E38" s="36"/>
      <c r="F38" s="37"/>
      <c r="G38" s="40"/>
      <c r="H38" s="39"/>
      <c r="I38" s="36"/>
    </row>
    <row r="39" spans="2:12" ht="18.75" x14ac:dyDescent="0.2">
      <c r="D39" s="36"/>
      <c r="E39" s="36"/>
      <c r="F39" s="37"/>
      <c r="G39" s="40"/>
      <c r="H39" s="39"/>
      <c r="I39" s="36"/>
    </row>
    <row r="40" spans="2:12" ht="18.75" x14ac:dyDescent="0.2">
      <c r="D40" s="36"/>
      <c r="E40" s="36"/>
      <c r="F40" s="37"/>
      <c r="G40" s="40"/>
      <c r="H40" s="39"/>
      <c r="I40" s="36"/>
    </row>
    <row r="41" spans="2:12" ht="18.75" x14ac:dyDescent="0.2">
      <c r="D41" s="36"/>
      <c r="E41" s="36"/>
      <c r="F41" s="37"/>
      <c r="G41" s="40"/>
      <c r="H41" s="39"/>
      <c r="I41" s="36"/>
    </row>
    <row r="42" spans="2:12" ht="18.75" x14ac:dyDescent="0.2">
      <c r="D42" s="36"/>
      <c r="E42" s="36"/>
      <c r="F42" s="37"/>
      <c r="G42" s="40"/>
      <c r="H42" s="39"/>
      <c r="I42" s="3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2" priority="2">
      <formula>AND(B$25=MIN($D$25:$I$25),B$25&lt;&gt;0)</formula>
    </cfRule>
  </conditionalFormatting>
  <conditionalFormatting sqref="D12:F13">
    <cfRule type="expression" dxfId="11" priority="1">
      <formula>AND(D$25=MIN($D$25:$I$25),D$25&lt;&gt;0)</formula>
    </cfRule>
  </conditionalFormatting>
  <conditionalFormatting sqref="D8:I8 D25:I25">
    <cfRule type="expression" dxfId="10" priority="3">
      <formula>AND(D$25=MIN($D$25:$I$25),D$25&lt;&gt;0)</formula>
    </cfRule>
  </conditionalFormatting>
  <conditionalFormatting sqref="D9:I11 G12:I13 D14:I24">
    <cfRule type="expression" dxfId="9" priority="4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AE56-CD5F-4FE8-81F0-13B03EB78A36}">
  <dimension ref="B1:N42"/>
  <sheetViews>
    <sheetView showGridLines="0" topLeftCell="A6" zoomScale="90" zoomScaleNormal="90" workbookViewId="0">
      <selection activeCell="B13" sqref="B13"/>
    </sheetView>
  </sheetViews>
  <sheetFormatPr baseColWidth="10" defaultColWidth="9.33203125" defaultRowHeight="12.75" x14ac:dyDescent="0.2"/>
  <cols>
    <col min="1" max="1" width="4" style="1" customWidth="1"/>
    <col min="2" max="2" width="110.83203125" style="1" bestFit="1" customWidth="1"/>
    <col min="3" max="3" width="15.6640625" style="1" bestFit="1" customWidth="1"/>
    <col min="4" max="5" width="23.5" style="1" bestFit="1" customWidth="1"/>
    <col min="6" max="6" width="23.33203125" style="1" bestFit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3" t="s">
        <v>3</v>
      </c>
      <c r="K7" s="64"/>
      <c r="L7" s="65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9.5" thickBot="1" x14ac:dyDescent="0.35">
      <c r="B9" s="56" t="str">
        <f>+'[1]Pc Doctor'!$D$8</f>
        <v>HP Envy 34 (34 pulgadas)</v>
      </c>
      <c r="C9" s="57">
        <v>1</v>
      </c>
      <c r="D9" s="9">
        <f>+'[1]Pc Doctor'!$H$8</f>
        <v>16900000</v>
      </c>
      <c r="E9" s="9">
        <f>+'[1]Pc Doctor'!$H$9</f>
        <v>12916200</v>
      </c>
      <c r="F9" s="9">
        <f>+'[1]Pc Doctor'!$H$10</f>
        <v>14753990</v>
      </c>
      <c r="G9" s="9"/>
      <c r="H9" s="9"/>
      <c r="I9" s="9"/>
      <c r="J9" s="13">
        <f>MIN(Comparación_precios24[[#This Row],[PROVEEDOR 1]:[PROVEEDOR 6]])</f>
        <v>12916200</v>
      </c>
      <c r="K9" s="8">
        <f>IFERROR(AVERAGE(Comparación_precios24[[#This Row],[PROVEEDOR 1]:[PROVEEDOR 6]]),0)</f>
        <v>14856730</v>
      </c>
      <c r="L9" s="14">
        <f>MAX(Comparación_precios24[[#This Row],[PROVEEDOR 1]:[PROVEEDOR 6]])</f>
        <v>16900000</v>
      </c>
    </row>
    <row r="10" spans="2:14" s="7" customFormat="1" ht="19.5" thickBot="1" x14ac:dyDescent="0.35">
      <c r="B10" s="56" t="str">
        <f>+'[1]SOFTWARE NECESARIO(windows)'!$D$8</f>
        <v>Windows 10 Professional</v>
      </c>
      <c r="C10" s="57">
        <v>1</v>
      </c>
      <c r="D10" s="9">
        <f>+'[1]SOFTWARE NECESARIO(windows)'!$H$8</f>
        <v>44900</v>
      </c>
      <c r="E10" s="9">
        <f>+'[1]SOFTWARE NECESARIO(windows)'!$H$9</f>
        <v>22500</v>
      </c>
      <c r="F10" s="9">
        <f>+'[1]SOFTWARE NECESARIO(windows)'!$H$10</f>
        <v>43000</v>
      </c>
      <c r="G10" s="9"/>
      <c r="H10" s="9"/>
      <c r="I10" s="9"/>
      <c r="J10" s="13">
        <f>MIN(Comparación_precios24[[#This Row],[PROVEEDOR 1]:[PROVEEDOR 6]])</f>
        <v>22500</v>
      </c>
      <c r="K10" s="8">
        <f>IFERROR(AVERAGE(Comparación_precios24[[#This Row],[PROVEEDOR 1]:[PROVEEDOR 6]]),0)</f>
        <v>36800</v>
      </c>
      <c r="L10" s="14">
        <f>MAX(Comparación_precios24[[#This Row],[PROVEEDOR 1]:[PROVEEDOR 6]])</f>
        <v>44900</v>
      </c>
    </row>
    <row r="11" spans="2:14" s="7" customFormat="1" ht="19.5" thickBot="1" x14ac:dyDescent="0.35">
      <c r="B11" s="56" t="str">
        <f>+'[1]SOFTWARE NECESARIO(office2021)'!$D$8</f>
        <v>Office 2021</v>
      </c>
      <c r="C11" s="57">
        <v>1</v>
      </c>
      <c r="D11" s="9">
        <f>+'[1]SOFTWARE NECESARIO(office2021)'!$H$8</f>
        <v>66000</v>
      </c>
      <c r="E11" s="58">
        <f>+'[1]SOFTWARE NECESARIO(office2021)'!$H$9</f>
        <v>99960</v>
      </c>
      <c r="F11" s="9">
        <f>+'[1]SOFTWARE NECESARIO(office2021)'!$H$10</f>
        <v>119800</v>
      </c>
      <c r="G11" s="9"/>
      <c r="H11" s="9"/>
      <c r="I11" s="9"/>
      <c r="J11" s="13">
        <f>MIN(Comparación_precios24[[#This Row],[PROVEEDOR 1]:[PROVEEDOR 6]])</f>
        <v>66000</v>
      </c>
      <c r="K11" s="8">
        <f>IFERROR(AVERAGE(Comparación_precios24[[#This Row],[PROVEEDOR 1]:[PROVEEDOR 6]]),0)</f>
        <v>95253.333333333328</v>
      </c>
      <c r="L11" s="14">
        <f>MAX(Comparación_precios24[[#This Row],[PROVEEDOR 1]:[PROVEEDOR 6]])</f>
        <v>119800</v>
      </c>
    </row>
    <row r="12" spans="2:14" s="7" customFormat="1" ht="19.5" thickBot="1" x14ac:dyDescent="0.35">
      <c r="B12" s="56" t="str">
        <f>+'[1]Mouse admin'!$D$8</f>
        <v>Wireless Logitech Mx Master 3s</v>
      </c>
      <c r="C12" s="57">
        <v>1</v>
      </c>
      <c r="D12" s="9">
        <f>+'[1]Mouse admin'!$H$8</f>
        <v>579900</v>
      </c>
      <c r="E12" s="9">
        <f>+'[1]Mouse admin'!$H$9</f>
        <v>699900</v>
      </c>
      <c r="F12" s="9">
        <f>+'[1]Mouse admin'!$H$10</f>
        <v>334230</v>
      </c>
      <c r="G12" s="9"/>
      <c r="H12" s="9"/>
      <c r="I12" s="9"/>
      <c r="J12" s="13">
        <f>MIN(Comparación_precios24[[#This Row],[PROVEEDOR 1]:[PROVEEDOR 6]])</f>
        <v>334230</v>
      </c>
      <c r="K12" s="8">
        <f>IFERROR(AVERAGE(Comparación_precios24[[#This Row],[PROVEEDOR 1]:[PROVEEDOR 6]]),0)</f>
        <v>538010</v>
      </c>
      <c r="L12" s="14">
        <f>MAX(Comparación_precios24[[#This Row],[PROVEEDOR 1]:[PROVEEDOR 6]])</f>
        <v>699900</v>
      </c>
    </row>
    <row r="13" spans="2:14" s="7" customFormat="1" ht="19.5" thickBot="1" x14ac:dyDescent="0.35">
      <c r="B13" s="56"/>
      <c r="C13" s="57"/>
      <c r="D13" s="9"/>
      <c r="E13" s="9"/>
      <c r="F13" s="9"/>
      <c r="G13" s="9"/>
      <c r="H13" s="9"/>
      <c r="I13" s="9"/>
      <c r="J13" s="13">
        <f>MIN(Comparación_precios24[[#This Row],[PROVEEDOR 1]:[PROVEEDOR 6]])</f>
        <v>0</v>
      </c>
      <c r="K13" s="8">
        <f>IFERROR(AVERAGE(Comparación_precios24[[#This Row],[PROVEEDOR 1]:[PROVEEDOR 6]]),0)</f>
        <v>0</v>
      </c>
      <c r="L13" s="14">
        <f>MAX(Comparación_precios24[[#This Row],[PROVEEDOR 1]:[PROVEEDOR 6]])</f>
        <v>0</v>
      </c>
    </row>
    <row r="14" spans="2:14" s="7" customFormat="1" ht="19.5" thickBot="1" x14ac:dyDescent="0.35">
      <c r="B14" s="56"/>
      <c r="C14" s="57"/>
      <c r="D14" s="9"/>
      <c r="E14" s="9"/>
      <c r="F14" s="9"/>
      <c r="G14" s="9"/>
      <c r="H14" s="9"/>
      <c r="I14" s="9"/>
      <c r="J14" s="27">
        <f>MIN(Comparación_precios24[[#This Row],[PROVEEDOR 1]:[PROVEEDOR 6]])</f>
        <v>0</v>
      </c>
      <c r="K14" s="28">
        <f>IFERROR(AVERAGE(Comparación_precios24[[#This Row],[PROVEEDOR 1]:[PROVEEDOR 6]]),0)</f>
        <v>0</v>
      </c>
      <c r="L14" s="29">
        <f>MAX(Comparación_precios24[[#This Row],[PROVEEDOR 1]:[PROVEEDOR 6]])</f>
        <v>0</v>
      </c>
    </row>
    <row r="15" spans="2:14" s="2" customFormat="1" ht="19.5" thickBot="1" x14ac:dyDescent="0.35">
      <c r="B15" s="59"/>
      <c r="C15" s="57"/>
      <c r="D15" s="9"/>
      <c r="E15" s="44"/>
      <c r="F15" s="44"/>
      <c r="G15" s="44"/>
      <c r="H15" s="44"/>
      <c r="I15" s="44"/>
      <c r="J15" s="27">
        <f>MIN(Comparación_precios24[[#This Row],[PROVEEDOR 1]:[PROVEEDOR 6]])</f>
        <v>0</v>
      </c>
      <c r="K15" s="8">
        <f>IFERROR(AVERAGE(Comparación_precios24[[#This Row],[PROVEEDOR 1]:[PROVEEDOR 6]]),0)</f>
        <v>0</v>
      </c>
      <c r="L15" s="14">
        <f>MAX(Comparación_precios24[[#This Row],[PROVEEDOR 1]:[PROVEEDOR 6]])</f>
        <v>0</v>
      </c>
    </row>
    <row r="16" spans="2:14" s="2" customFormat="1" ht="19.5" thickBot="1" x14ac:dyDescent="0.35">
      <c r="B16" s="59"/>
      <c r="C16" s="57"/>
      <c r="D16" s="9"/>
      <c r="E16" s="44"/>
      <c r="F16" s="44"/>
      <c r="G16" s="44"/>
      <c r="H16" s="44"/>
      <c r="I16" s="44"/>
      <c r="J16" s="27">
        <f>MIN(Comparación_precios24[[#This Row],[PROVEEDOR 1]:[PROVEEDOR 6]])</f>
        <v>0</v>
      </c>
      <c r="K16" s="8">
        <f>IFERROR(AVERAGE(Comparación_precios24[[#This Row],[PROVEEDOR 1]:[PROVEEDOR 6]]),0)</f>
        <v>0</v>
      </c>
      <c r="L16" s="14">
        <f>MAX(Comparación_precios24[[#This Row],[PROVEEDOR 1]:[PROVEEDOR 6]])</f>
        <v>0</v>
      </c>
    </row>
    <row r="17" spans="2:12" s="2" customFormat="1" ht="19.5" thickBot="1" x14ac:dyDescent="0.35">
      <c r="B17" s="59"/>
      <c r="C17" s="57"/>
      <c r="D17" s="9"/>
      <c r="E17" s="44"/>
      <c r="F17" s="44"/>
      <c r="G17" s="44"/>
      <c r="H17" s="44"/>
      <c r="I17" s="44"/>
      <c r="J17" s="27">
        <f>MIN(Comparación_precios24[[#This Row],[PROVEEDOR 1]:[PROVEEDOR 6]])</f>
        <v>0</v>
      </c>
      <c r="K17" s="28">
        <f>IFERROR(AVERAGE(Comparación_precios24[[#This Row],[PROVEEDOR 1]:[PROVEEDOR 6]]),0)</f>
        <v>0</v>
      </c>
      <c r="L17" s="29">
        <f>MAX(Comparación_precios24[[#This Row],[PROVEEDOR 1]:[PROVEEDOR 6]])</f>
        <v>0</v>
      </c>
    </row>
    <row r="18" spans="2:12" s="2" customFormat="1" ht="19.5" thickBot="1" x14ac:dyDescent="0.35">
      <c r="B18" s="60"/>
      <c r="C18" s="57"/>
      <c r="D18" s="9"/>
      <c r="E18" s="43"/>
      <c r="F18" s="43"/>
      <c r="G18" s="43"/>
      <c r="H18" s="41"/>
      <c r="I18" s="55"/>
      <c r="J18" s="27">
        <f>MIN(Comparación_precios24[[#This Row],[PROVEEDOR 1]:[PROVEEDOR 6]])</f>
        <v>0</v>
      </c>
      <c r="K18" s="8">
        <f>IFERROR(AVERAGE(Comparación_precios24[[#This Row],[PROVEEDOR 1]:[PROVEEDOR 6]]),0)</f>
        <v>0</v>
      </c>
      <c r="L18" s="14">
        <f>MAX(Comparación_precios24[[#This Row],[PROVEEDOR 1]:[PROVEEDOR 6]])</f>
        <v>0</v>
      </c>
    </row>
    <row r="19" spans="2:12" s="2" customFormat="1" ht="19.5" thickBot="1" x14ac:dyDescent="0.35">
      <c r="B19" s="41"/>
      <c r="C19" s="57"/>
      <c r="D19" s="9"/>
      <c r="E19" s="43"/>
      <c r="F19" s="43"/>
      <c r="G19" s="43"/>
      <c r="H19" s="41"/>
      <c r="I19" s="55"/>
      <c r="J19" s="27">
        <f>MIN(Comparación_precios24[[#This Row],[PROVEEDOR 1]:[PROVEEDOR 6]])</f>
        <v>0</v>
      </c>
      <c r="K19" s="8">
        <f>IFERROR(AVERAGE(Comparación_precios24[[#This Row],[PROVEEDOR 1]:[PROVEEDOR 6]]),0)</f>
        <v>0</v>
      </c>
      <c r="L19" s="14">
        <f>MAX(Comparación_precios24[[#This Row],[PROVEEDOR 1]:[PROVEEDOR 6]])</f>
        <v>0</v>
      </c>
    </row>
    <row r="20" spans="2:12" s="2" customFormat="1" ht="19.5" thickBot="1" x14ac:dyDescent="0.35">
      <c r="B20" s="41"/>
      <c r="C20" s="42"/>
      <c r="D20" s="9"/>
      <c r="E20" s="43"/>
      <c r="F20" s="43"/>
      <c r="G20" s="43"/>
      <c r="H20" s="41"/>
      <c r="I20" s="55"/>
      <c r="J20" s="27">
        <f>MIN(Comparación_precios24[[#This Row],[PROVEEDOR 1]:[PROVEEDOR 6]])</f>
        <v>0</v>
      </c>
      <c r="K20" s="8">
        <f>IFERROR(AVERAGE(Comparación_precios24[[#This Row],[PROVEEDOR 1]:[PROVEEDOR 6]]),0)</f>
        <v>0</v>
      </c>
      <c r="L20" s="14">
        <f>MAX(Comparación_precios24[[#This Row],[PROVEEDOR 1]:[PROVEEDOR 6]])</f>
        <v>0</v>
      </c>
    </row>
    <row r="21" spans="2:12" s="2" customFormat="1" ht="19.5" thickBot="1" x14ac:dyDescent="0.35">
      <c r="B21" s="41"/>
      <c r="C21" s="42"/>
      <c r="D21" s="9"/>
      <c r="E21" s="43"/>
      <c r="F21" s="43"/>
      <c r="G21" s="43"/>
      <c r="H21" s="41"/>
      <c r="I21" s="55"/>
      <c r="J21" s="27">
        <f>MIN(Comparación_precios24[[#This Row],[PROVEEDOR 1]:[PROVEEDOR 6]])</f>
        <v>0</v>
      </c>
      <c r="K21" s="8">
        <f>IFERROR(AVERAGE(Comparación_precios24[[#This Row],[PROVEEDOR 1]:[PROVEEDOR 6]]),0)</f>
        <v>0</v>
      </c>
      <c r="L21" s="14">
        <f>MAX(Comparación_precios24[[#This Row],[PROVEEDOR 1]:[PROVEEDOR 6]])</f>
        <v>0</v>
      </c>
    </row>
    <row r="22" spans="2:12" s="2" customFormat="1" ht="19.5" thickBot="1" x14ac:dyDescent="0.35">
      <c r="B22" s="41"/>
      <c r="C22" s="42"/>
      <c r="D22" s="9"/>
      <c r="E22" s="43"/>
      <c r="F22" s="43"/>
      <c r="G22" s="43"/>
      <c r="H22" s="41"/>
      <c r="I22" s="55"/>
      <c r="J22" s="27">
        <f>MIN(Comparación_precios24[[#This Row],[PROVEEDOR 1]:[PROVEEDOR 6]])</f>
        <v>0</v>
      </c>
      <c r="K22" s="8">
        <f>IFERROR(AVERAGE(Comparación_precios24[[#This Row],[PROVEEDOR 1]:[PROVEEDOR 6]]),0)</f>
        <v>0</v>
      </c>
      <c r="L22" s="14">
        <f>MAX(Comparación_precios24[[#This Row],[PROVEEDOR 1]:[PROVEEDOR 6]])</f>
        <v>0</v>
      </c>
    </row>
    <row r="23" spans="2:12" s="2" customFormat="1" ht="19.5" thickBot="1" x14ac:dyDescent="0.35">
      <c r="B23" s="41"/>
      <c r="C23" s="42"/>
      <c r="D23" s="9"/>
      <c r="E23" s="43"/>
      <c r="F23" s="43"/>
      <c r="G23" s="43"/>
      <c r="H23" s="41"/>
      <c r="I23" s="55"/>
      <c r="J23" s="27">
        <f>MIN(Comparación_precios24[[#This Row],[PROVEEDOR 1]:[PROVEEDOR 6]])</f>
        <v>0</v>
      </c>
      <c r="K23" s="8">
        <f>IFERROR(AVERAGE(Comparación_precios24[[#This Row],[PROVEEDOR 1]:[PROVEEDOR 6]]),0)</f>
        <v>0</v>
      </c>
      <c r="L23" s="14">
        <f>MAX(Comparación_precios24[[#This Row],[PROVEEDOR 1]:[PROVEEDOR 6]])</f>
        <v>0</v>
      </c>
    </row>
    <row r="24" spans="2:12" s="2" customFormat="1" ht="19.5" thickBot="1" x14ac:dyDescent="0.35">
      <c r="B24" s="41"/>
      <c r="C24" s="42"/>
      <c r="D24" s="9"/>
      <c r="E24" s="43"/>
      <c r="F24" s="43"/>
      <c r="G24" s="43"/>
      <c r="H24" s="41"/>
      <c r="I24" s="55"/>
      <c r="J24" s="27">
        <f>MIN(Comparación_precios24[[#This Row],[PROVEEDOR 1]:[PROVEEDOR 6]])</f>
        <v>0</v>
      </c>
      <c r="K24" s="8">
        <f>IFERROR(AVERAGE(Comparación_precios24[[#This Row],[PROVEEDOR 1]:[PROVEEDOR 6]]),0)</f>
        <v>0</v>
      </c>
      <c r="L24" s="14">
        <f>MAX(Comparación_precios24[[#This Row],[PROVEEDOR 1]:[PROVEEDOR 6]])</f>
        <v>0</v>
      </c>
    </row>
    <row r="25" spans="2:12" s="2" customFormat="1" ht="19.5" thickBot="1" x14ac:dyDescent="0.35">
      <c r="B25" s="32" t="s">
        <v>15</v>
      </c>
      <c r="C25" s="32"/>
      <c r="D25" s="33">
        <f>ROUND(SUMPRODUCT(Comparación_precios24[[CANTIDAD]:[CANTIDAD]],Comparación_precios24[PROVEEDOR 1]),2)</f>
        <v>17590800</v>
      </c>
      <c r="E25" s="33">
        <f>ROUND(SUMPRODUCT(Comparación_precios24[[CANTIDAD]:[CANTIDAD]],Comparación_precios24[PROVEEDOR 2]),2)</f>
        <v>13738560</v>
      </c>
      <c r="F25" s="33">
        <f>ROUND(SUMPRODUCT(Comparación_precios24[[CANTIDAD]:[CANTIDAD]],Comparación_precios24[PROVEEDOR 3]),2)</f>
        <v>15251020</v>
      </c>
      <c r="G25" s="33">
        <f>ROUND(SUMPRODUCT(Comparación_precios24[[CANTIDAD]:[CANTIDAD]],Comparación_precios24[PROVEEDOR 4]),2)</f>
        <v>0</v>
      </c>
      <c r="H25" s="33">
        <f>ROUND(SUMPRODUCT(Comparación_precios24[[CANTIDAD]:[CANTIDAD]],Comparación_precios24[PROVEEDOR 5]),2)</f>
        <v>0</v>
      </c>
      <c r="I25" s="33">
        <f>ROUND(SUMPRODUCT(Comparación_precios24[[CANTIDAD]:[CANTIDAD]],Comparación_precios24[PROVEEDOR 6]),2)</f>
        <v>0</v>
      </c>
      <c r="J25" s="34"/>
      <c r="K25" s="34"/>
      <c r="L25" s="35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8" t="s">
        <v>16</v>
      </c>
      <c r="C28" s="69"/>
      <c r="D28" s="21"/>
      <c r="E28" s="21"/>
      <c r="F28" s="21"/>
      <c r="G28" s="21"/>
      <c r="H28" s="21"/>
    </row>
    <row r="29" spans="2:12" s="2" customFormat="1" ht="33.6" customHeight="1" x14ac:dyDescent="0.2">
      <c r="B29" s="66" t="s">
        <v>17</v>
      </c>
      <c r="C29" s="67"/>
      <c r="D29" s="61" t="s">
        <v>25</v>
      </c>
      <c r="E29" s="15" t="s">
        <v>26</v>
      </c>
      <c r="F29" s="46" t="s">
        <v>18</v>
      </c>
      <c r="G29" s="15"/>
      <c r="H29" s="15"/>
      <c r="I29" s="15"/>
    </row>
    <row r="30" spans="2:12" s="2" customFormat="1" ht="25.9" customHeight="1" x14ac:dyDescent="0.2">
      <c r="B30" s="66" t="s">
        <v>21</v>
      </c>
      <c r="C30" s="67"/>
      <c r="D30" s="47">
        <v>0</v>
      </c>
      <c r="E30" s="22">
        <v>0</v>
      </c>
      <c r="F30" s="22">
        <v>0</v>
      </c>
      <c r="G30" s="15"/>
      <c r="H30" s="22"/>
      <c r="I30" s="22"/>
    </row>
    <row r="31" spans="2:12" s="2" customFormat="1" ht="18" customHeight="1" x14ac:dyDescent="0.2">
      <c r="B31" s="66" t="s">
        <v>22</v>
      </c>
      <c r="C31" s="67"/>
      <c r="D31" s="48"/>
      <c r="E31" s="23"/>
      <c r="F31" s="23"/>
      <c r="G31" s="23"/>
      <c r="H31" s="23"/>
      <c r="I31" s="23"/>
    </row>
    <row r="32" spans="2:12" s="2" customFormat="1" ht="18.75" x14ac:dyDescent="0.2">
      <c r="B32" s="66"/>
      <c r="C32" s="67"/>
      <c r="D32" s="49"/>
      <c r="E32" s="24"/>
      <c r="F32" s="24"/>
      <c r="G32" s="24"/>
      <c r="H32" s="24"/>
      <c r="I32" s="24"/>
    </row>
    <row r="33" spans="2:12" s="2" customFormat="1" ht="18.75" x14ac:dyDescent="0.2">
      <c r="B33" s="66"/>
      <c r="C33" s="67"/>
      <c r="D33" s="50"/>
      <c r="E33" s="25"/>
      <c r="F33" s="25"/>
      <c r="G33" s="25"/>
      <c r="H33" s="25"/>
      <c r="I33" s="25"/>
    </row>
    <row r="34" spans="2:12" ht="18.75" x14ac:dyDescent="0.2">
      <c r="B34" s="66"/>
      <c r="C34" s="67"/>
      <c r="D34" s="51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6"/>
      <c r="E37" s="36"/>
      <c r="F37" s="37"/>
      <c r="G37" s="38"/>
      <c r="H37" s="39"/>
      <c r="I37" s="36"/>
      <c r="J37" s="3"/>
      <c r="K37" s="1"/>
      <c r="L37" s="1"/>
    </row>
    <row r="38" spans="2:12" ht="18.75" x14ac:dyDescent="0.2">
      <c r="D38" s="36"/>
      <c r="E38" s="36"/>
      <c r="F38" s="37"/>
      <c r="G38" s="40"/>
      <c r="H38" s="39"/>
      <c r="I38" s="36"/>
    </row>
    <row r="39" spans="2:12" ht="18.75" x14ac:dyDescent="0.2">
      <c r="D39" s="36"/>
      <c r="E39" s="36"/>
      <c r="F39" s="37"/>
      <c r="G39" s="40"/>
      <c r="H39" s="39"/>
      <c r="I39" s="36"/>
    </row>
    <row r="40" spans="2:12" ht="18.75" x14ac:dyDescent="0.2">
      <c r="D40" s="36"/>
      <c r="E40" s="36"/>
      <c r="F40" s="37"/>
      <c r="G40" s="40"/>
      <c r="H40" s="39"/>
      <c r="I40" s="36"/>
    </row>
    <row r="41" spans="2:12" ht="18.75" x14ac:dyDescent="0.2">
      <c r="D41" s="36"/>
      <c r="E41" s="36"/>
      <c r="F41" s="37"/>
      <c r="G41" s="40"/>
      <c r="H41" s="39"/>
      <c r="I41" s="36"/>
    </row>
    <row r="42" spans="2:12" ht="18.75" x14ac:dyDescent="0.2">
      <c r="D42" s="36"/>
      <c r="E42" s="36"/>
      <c r="F42" s="37"/>
      <c r="G42" s="40"/>
      <c r="H42" s="39"/>
      <c r="I42" s="3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8" priority="2">
      <formula>AND(B$25=MIN($D$25:$I$25),B$25&lt;&gt;0)</formula>
    </cfRule>
  </conditionalFormatting>
  <conditionalFormatting sqref="D12:F13">
    <cfRule type="expression" dxfId="7" priority="1">
      <formula>AND(D$25=MIN($D$25:$I$25),D$25&lt;&gt;0)</formula>
    </cfRule>
  </conditionalFormatting>
  <conditionalFormatting sqref="D8:I8 D25:I25">
    <cfRule type="expression" dxfId="6" priority="3">
      <formula>AND(D$25=MIN($D$25:$I$25),D$25&lt;&gt;0)</formula>
    </cfRule>
  </conditionalFormatting>
  <conditionalFormatting sqref="D9:I11 G12:I13 D14:I24">
    <cfRule type="expression" dxfId="5" priority="4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7D7-A542-4EC7-ADFF-404F8D65722A}">
  <dimension ref="B1:N42"/>
  <sheetViews>
    <sheetView showGridLines="0" zoomScale="90" zoomScaleNormal="90" workbookViewId="0">
      <selection activeCell="E29" sqref="E29"/>
    </sheetView>
  </sheetViews>
  <sheetFormatPr baseColWidth="10" defaultColWidth="9.33203125" defaultRowHeight="12.75" x14ac:dyDescent="0.2"/>
  <cols>
    <col min="1" max="1" width="4" style="1" customWidth="1"/>
    <col min="2" max="2" width="50.33203125" style="1" customWidth="1"/>
    <col min="3" max="3" width="15.6640625" style="1" bestFit="1" customWidth="1"/>
    <col min="4" max="5" width="23.5" style="1" bestFit="1" customWidth="1"/>
    <col min="6" max="6" width="21.83203125" style="1" bestFit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3" t="s">
        <v>3</v>
      </c>
      <c r="K7" s="64"/>
      <c r="L7" s="65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9.5" thickBot="1" x14ac:dyDescent="0.35">
      <c r="B9" s="56" t="str">
        <f>+'[1]Pc  enfermeros'!$D$8</f>
        <v>Lenovo IdeaCentre AIO 3.</v>
      </c>
      <c r="C9" s="57">
        <v>1</v>
      </c>
      <c r="D9" s="9">
        <f>+'[1]Pc  enfermeros'!$H$8</f>
        <v>1699000</v>
      </c>
      <c r="E9" s="9">
        <f>+'[1]Pc  enfermeros'!$H$9</f>
        <v>1990000</v>
      </c>
      <c r="F9" s="9">
        <f>+'[1]Pc  enfermeros'!$H$10</f>
        <v>1799000</v>
      </c>
      <c r="G9" s="9"/>
      <c r="H9" s="9"/>
      <c r="I9" s="9"/>
      <c r="J9" s="13">
        <f>MIN(Comparación_precios245[[#This Row],[PROVEEDOR 1]:[PROVEEDOR 6]])</f>
        <v>1699000</v>
      </c>
      <c r="K9" s="8">
        <f>IFERROR(AVERAGE(Comparación_precios245[[#This Row],[PROVEEDOR 1]:[PROVEEDOR 6]]),0)</f>
        <v>1829333.3333333333</v>
      </c>
      <c r="L9" s="14">
        <f>MAX(Comparación_precios245[[#This Row],[PROVEEDOR 1]:[PROVEEDOR 6]])</f>
        <v>1990000</v>
      </c>
    </row>
    <row r="10" spans="2:14" s="7" customFormat="1" ht="19.5" thickBot="1" x14ac:dyDescent="0.35">
      <c r="B10" s="56" t="str">
        <f>+'[1]SOFTWARE NECESARIO(windows)'!$D$8</f>
        <v>Windows 10 Professional</v>
      </c>
      <c r="C10" s="57">
        <v>1</v>
      </c>
      <c r="D10" s="9">
        <f>+'[1]SOFTWARE NECESARIO(windows)'!$H$8</f>
        <v>44900</v>
      </c>
      <c r="E10" s="9">
        <f>+'[1]SOFTWARE NECESARIO(windows)'!$H$9</f>
        <v>22500</v>
      </c>
      <c r="F10" s="9">
        <f>+'[1]SOFTWARE NECESARIO(windows)'!$H$10</f>
        <v>43000</v>
      </c>
      <c r="G10" s="9"/>
      <c r="H10" s="9"/>
      <c r="I10" s="9"/>
      <c r="J10" s="13">
        <f>MIN(Comparación_precios245[[#This Row],[PROVEEDOR 1]:[PROVEEDOR 6]])</f>
        <v>22500</v>
      </c>
      <c r="K10" s="8">
        <f>IFERROR(AVERAGE(Comparación_precios245[[#This Row],[PROVEEDOR 1]:[PROVEEDOR 6]]),0)</f>
        <v>36800</v>
      </c>
      <c r="L10" s="14">
        <f>MAX(Comparación_precios245[[#This Row],[PROVEEDOR 1]:[PROVEEDOR 6]])</f>
        <v>44900</v>
      </c>
    </row>
    <row r="11" spans="2:14" s="7" customFormat="1" ht="19.5" thickBot="1" x14ac:dyDescent="0.35">
      <c r="B11" s="56" t="str">
        <f>+'[1]SOFTWARE NECESARIO(office2021)'!$D$8</f>
        <v>Office 2021</v>
      </c>
      <c r="C11" s="57">
        <v>1</v>
      </c>
      <c r="D11" s="9">
        <f>+'[1]SOFTWARE NECESARIO(office2021)'!$H$8</f>
        <v>66000</v>
      </c>
      <c r="E11" s="9">
        <f>+'[1]SOFTWARE NECESARIO(office2021)'!$H$9</f>
        <v>99960</v>
      </c>
      <c r="F11" s="9">
        <f>+'[1]SOFTWARE NECESARIO(office2021)'!$H$10</f>
        <v>119800</v>
      </c>
      <c r="G11" s="9"/>
      <c r="H11" s="9"/>
      <c r="I11" s="9"/>
      <c r="J11" s="13">
        <f>MIN(Comparación_precios245[[#This Row],[PROVEEDOR 1]:[PROVEEDOR 6]])</f>
        <v>66000</v>
      </c>
      <c r="K11" s="8">
        <f>IFERROR(AVERAGE(Comparación_precios245[[#This Row],[PROVEEDOR 1]:[PROVEEDOR 6]]),0)</f>
        <v>95253.333333333328</v>
      </c>
      <c r="L11" s="14">
        <f>MAX(Comparación_precios245[[#This Row],[PROVEEDOR 1]:[PROVEEDOR 6]])</f>
        <v>119800</v>
      </c>
    </row>
    <row r="12" spans="2:14" s="7" customFormat="1" ht="19.5" thickBot="1" x14ac:dyDescent="0.35">
      <c r="B12" s="56" t="str">
        <f>+'[1]Mouse admin'!$D$8</f>
        <v>Wireless Logitech Mx Master 3s</v>
      </c>
      <c r="C12" s="57">
        <v>1</v>
      </c>
      <c r="D12" s="9">
        <f>+'[1]Mouse admin'!$H$8</f>
        <v>579900</v>
      </c>
      <c r="E12" s="9">
        <f>+'[1]Mouse admin'!$H$9</f>
        <v>699900</v>
      </c>
      <c r="F12" s="9">
        <f>+'[1]Mouse admin'!$H$10</f>
        <v>334230</v>
      </c>
      <c r="G12" s="9"/>
      <c r="H12" s="9"/>
      <c r="I12" s="9"/>
      <c r="J12" s="13">
        <f>MIN(Comparación_precios245[[#This Row],[PROVEEDOR 1]:[PROVEEDOR 6]])</f>
        <v>334230</v>
      </c>
      <c r="K12" s="8">
        <f>IFERROR(AVERAGE(Comparación_precios245[[#This Row],[PROVEEDOR 1]:[PROVEEDOR 6]]),0)</f>
        <v>538010</v>
      </c>
      <c r="L12" s="14">
        <f>MAX(Comparación_precios245[[#This Row],[PROVEEDOR 1]:[PROVEEDOR 6]])</f>
        <v>699900</v>
      </c>
    </row>
    <row r="13" spans="2:14" s="7" customFormat="1" ht="19.5" thickBot="1" x14ac:dyDescent="0.35">
      <c r="B13" s="56"/>
      <c r="C13" s="57"/>
      <c r="D13" s="62"/>
      <c r="E13" s="9"/>
      <c r="F13" s="9"/>
      <c r="G13" s="9"/>
      <c r="H13" s="9"/>
      <c r="I13" s="9"/>
      <c r="J13" s="13">
        <f>MIN(Comparación_precios245[[#This Row],[PROVEEDOR 1]:[PROVEEDOR 6]])</f>
        <v>0</v>
      </c>
      <c r="K13" s="8">
        <f>IFERROR(AVERAGE(Comparación_precios245[[#This Row],[PROVEEDOR 1]:[PROVEEDOR 6]]),0)</f>
        <v>0</v>
      </c>
      <c r="L13" s="14">
        <f>MAX(Comparación_precios245[[#This Row],[PROVEEDOR 1]:[PROVEEDOR 6]])</f>
        <v>0</v>
      </c>
    </row>
    <row r="14" spans="2:14" s="7" customFormat="1" ht="19.5" thickBot="1" x14ac:dyDescent="0.35">
      <c r="B14" s="56"/>
      <c r="C14" s="57"/>
      <c r="D14" s="9"/>
      <c r="E14" s="9"/>
      <c r="F14" s="9"/>
      <c r="G14" s="9"/>
      <c r="H14" s="9"/>
      <c r="I14" s="9"/>
      <c r="J14" s="27">
        <f>MIN(Comparación_precios245[[#This Row],[PROVEEDOR 1]:[PROVEEDOR 6]])</f>
        <v>0</v>
      </c>
      <c r="K14" s="28">
        <f>IFERROR(AVERAGE(Comparación_precios245[[#This Row],[PROVEEDOR 1]:[PROVEEDOR 6]]),0)</f>
        <v>0</v>
      </c>
      <c r="L14" s="29">
        <f>MAX(Comparación_precios245[[#This Row],[PROVEEDOR 1]:[PROVEEDOR 6]])</f>
        <v>0</v>
      </c>
    </row>
    <row r="15" spans="2:14" s="2" customFormat="1" ht="19.5" thickBot="1" x14ac:dyDescent="0.35">
      <c r="B15" s="59"/>
      <c r="C15" s="57"/>
      <c r="D15" s="9"/>
      <c r="E15" s="44"/>
      <c r="F15" s="44"/>
      <c r="G15" s="44"/>
      <c r="H15" s="44"/>
      <c r="I15" s="44"/>
      <c r="J15" s="27">
        <f>MIN(Comparación_precios245[[#This Row],[PROVEEDOR 1]:[PROVEEDOR 6]])</f>
        <v>0</v>
      </c>
      <c r="K15" s="8">
        <f>IFERROR(AVERAGE(Comparación_precios245[[#This Row],[PROVEEDOR 1]:[PROVEEDOR 6]]),0)</f>
        <v>0</v>
      </c>
      <c r="L15" s="14">
        <f>MAX(Comparación_precios245[[#This Row],[PROVEEDOR 1]:[PROVEEDOR 6]])</f>
        <v>0</v>
      </c>
    </row>
    <row r="16" spans="2:14" s="2" customFormat="1" ht="19.5" thickBot="1" x14ac:dyDescent="0.35">
      <c r="B16" s="59"/>
      <c r="C16" s="57"/>
      <c r="D16" s="9"/>
      <c r="E16" s="44"/>
      <c r="F16" s="44"/>
      <c r="G16" s="44"/>
      <c r="H16" s="44"/>
      <c r="I16" s="44"/>
      <c r="J16" s="27">
        <f>MIN(Comparación_precios245[[#This Row],[PROVEEDOR 1]:[PROVEEDOR 6]])</f>
        <v>0</v>
      </c>
      <c r="K16" s="8">
        <f>IFERROR(AVERAGE(Comparación_precios245[[#This Row],[PROVEEDOR 1]:[PROVEEDOR 6]]),0)</f>
        <v>0</v>
      </c>
      <c r="L16" s="14">
        <f>MAX(Comparación_precios245[[#This Row],[PROVEEDOR 1]:[PROVEEDOR 6]])</f>
        <v>0</v>
      </c>
    </row>
    <row r="17" spans="2:12" s="2" customFormat="1" ht="19.5" thickBot="1" x14ac:dyDescent="0.35">
      <c r="B17" s="59"/>
      <c r="C17" s="57"/>
      <c r="D17" s="9"/>
      <c r="E17" s="44"/>
      <c r="F17" s="44"/>
      <c r="G17" s="44"/>
      <c r="H17" s="44"/>
      <c r="I17" s="44"/>
      <c r="J17" s="27">
        <f>MIN(Comparación_precios245[[#This Row],[PROVEEDOR 1]:[PROVEEDOR 6]])</f>
        <v>0</v>
      </c>
      <c r="K17" s="28">
        <f>IFERROR(AVERAGE(Comparación_precios245[[#This Row],[PROVEEDOR 1]:[PROVEEDOR 6]]),0)</f>
        <v>0</v>
      </c>
      <c r="L17" s="29">
        <f>MAX(Comparación_precios245[[#This Row],[PROVEEDOR 1]:[PROVEEDOR 6]])</f>
        <v>0</v>
      </c>
    </row>
    <row r="18" spans="2:12" s="2" customFormat="1" ht="19.5" thickBot="1" x14ac:dyDescent="0.35">
      <c r="B18" s="60"/>
      <c r="C18" s="57"/>
      <c r="D18" s="9"/>
      <c r="E18" s="43"/>
      <c r="F18" s="43"/>
      <c r="G18" s="43"/>
      <c r="H18" s="41"/>
      <c r="I18" s="55"/>
      <c r="J18" s="27">
        <f>MIN(Comparación_precios245[[#This Row],[PROVEEDOR 1]:[PROVEEDOR 6]])</f>
        <v>0</v>
      </c>
      <c r="K18" s="8">
        <f>IFERROR(AVERAGE(Comparación_precios245[[#This Row],[PROVEEDOR 1]:[PROVEEDOR 6]]),0)</f>
        <v>0</v>
      </c>
      <c r="L18" s="14">
        <f>MAX(Comparación_precios245[[#This Row],[PROVEEDOR 1]:[PROVEEDOR 6]])</f>
        <v>0</v>
      </c>
    </row>
    <row r="19" spans="2:12" s="2" customFormat="1" ht="19.5" thickBot="1" x14ac:dyDescent="0.35">
      <c r="B19" s="41"/>
      <c r="C19" s="57"/>
      <c r="D19" s="9"/>
      <c r="E19" s="43"/>
      <c r="F19" s="43"/>
      <c r="G19" s="43"/>
      <c r="H19" s="41"/>
      <c r="I19" s="55"/>
      <c r="J19" s="27">
        <f>MIN(Comparación_precios245[[#This Row],[PROVEEDOR 1]:[PROVEEDOR 6]])</f>
        <v>0</v>
      </c>
      <c r="K19" s="8">
        <f>IFERROR(AVERAGE(Comparación_precios245[[#This Row],[PROVEEDOR 1]:[PROVEEDOR 6]]),0)</f>
        <v>0</v>
      </c>
      <c r="L19" s="14">
        <f>MAX(Comparación_precios245[[#This Row],[PROVEEDOR 1]:[PROVEEDOR 6]])</f>
        <v>0</v>
      </c>
    </row>
    <row r="20" spans="2:12" s="2" customFormat="1" ht="19.5" thickBot="1" x14ac:dyDescent="0.35">
      <c r="B20" s="41"/>
      <c r="C20" s="42"/>
      <c r="D20" s="9"/>
      <c r="E20" s="43"/>
      <c r="F20" s="43"/>
      <c r="G20" s="43"/>
      <c r="H20" s="41"/>
      <c r="I20" s="55"/>
      <c r="J20" s="27">
        <f>MIN(Comparación_precios245[[#This Row],[PROVEEDOR 1]:[PROVEEDOR 6]])</f>
        <v>0</v>
      </c>
      <c r="K20" s="8">
        <f>IFERROR(AVERAGE(Comparación_precios245[[#This Row],[PROVEEDOR 1]:[PROVEEDOR 6]]),0)</f>
        <v>0</v>
      </c>
      <c r="L20" s="14">
        <f>MAX(Comparación_precios245[[#This Row],[PROVEEDOR 1]:[PROVEEDOR 6]])</f>
        <v>0</v>
      </c>
    </row>
    <row r="21" spans="2:12" s="2" customFormat="1" ht="19.5" thickBot="1" x14ac:dyDescent="0.35">
      <c r="B21" s="41"/>
      <c r="C21" s="42"/>
      <c r="D21" s="9"/>
      <c r="E21" s="43"/>
      <c r="F21" s="43"/>
      <c r="G21" s="43"/>
      <c r="H21" s="41"/>
      <c r="I21" s="55"/>
      <c r="J21" s="27">
        <f>MIN(Comparación_precios245[[#This Row],[PROVEEDOR 1]:[PROVEEDOR 6]])</f>
        <v>0</v>
      </c>
      <c r="K21" s="8">
        <f>IFERROR(AVERAGE(Comparación_precios245[[#This Row],[PROVEEDOR 1]:[PROVEEDOR 6]]),0)</f>
        <v>0</v>
      </c>
      <c r="L21" s="14">
        <f>MAX(Comparación_precios245[[#This Row],[PROVEEDOR 1]:[PROVEEDOR 6]])</f>
        <v>0</v>
      </c>
    </row>
    <row r="22" spans="2:12" s="2" customFormat="1" ht="19.5" thickBot="1" x14ac:dyDescent="0.35">
      <c r="B22" s="41"/>
      <c r="C22" s="42"/>
      <c r="D22" s="9"/>
      <c r="E22" s="43"/>
      <c r="F22" s="43"/>
      <c r="G22" s="43"/>
      <c r="H22" s="41"/>
      <c r="I22" s="55"/>
      <c r="J22" s="27">
        <f>MIN(Comparación_precios245[[#This Row],[PROVEEDOR 1]:[PROVEEDOR 6]])</f>
        <v>0</v>
      </c>
      <c r="K22" s="8">
        <f>IFERROR(AVERAGE(Comparación_precios245[[#This Row],[PROVEEDOR 1]:[PROVEEDOR 6]]),0)</f>
        <v>0</v>
      </c>
      <c r="L22" s="14">
        <f>MAX(Comparación_precios245[[#This Row],[PROVEEDOR 1]:[PROVEEDOR 6]])</f>
        <v>0</v>
      </c>
    </row>
    <row r="23" spans="2:12" s="2" customFormat="1" ht="19.5" thickBot="1" x14ac:dyDescent="0.35">
      <c r="B23" s="41"/>
      <c r="C23" s="42"/>
      <c r="D23" s="9"/>
      <c r="E23" s="43"/>
      <c r="F23" s="43"/>
      <c r="G23" s="43"/>
      <c r="H23" s="41"/>
      <c r="I23" s="55"/>
      <c r="J23" s="27">
        <f>MIN(Comparación_precios245[[#This Row],[PROVEEDOR 1]:[PROVEEDOR 6]])</f>
        <v>0</v>
      </c>
      <c r="K23" s="8">
        <f>IFERROR(AVERAGE(Comparación_precios245[[#This Row],[PROVEEDOR 1]:[PROVEEDOR 6]]),0)</f>
        <v>0</v>
      </c>
      <c r="L23" s="14">
        <f>MAX(Comparación_precios245[[#This Row],[PROVEEDOR 1]:[PROVEEDOR 6]])</f>
        <v>0</v>
      </c>
    </row>
    <row r="24" spans="2:12" s="2" customFormat="1" ht="19.5" thickBot="1" x14ac:dyDescent="0.35">
      <c r="B24" s="41"/>
      <c r="C24" s="42"/>
      <c r="D24" s="9"/>
      <c r="E24" s="43"/>
      <c r="F24" s="43"/>
      <c r="G24" s="43"/>
      <c r="H24" s="41"/>
      <c r="I24" s="55"/>
      <c r="J24" s="27">
        <f>MIN(Comparación_precios245[[#This Row],[PROVEEDOR 1]:[PROVEEDOR 6]])</f>
        <v>0</v>
      </c>
      <c r="K24" s="8">
        <f>IFERROR(AVERAGE(Comparación_precios245[[#This Row],[PROVEEDOR 1]:[PROVEEDOR 6]]),0)</f>
        <v>0</v>
      </c>
      <c r="L24" s="14">
        <f>MAX(Comparación_precios245[[#This Row],[PROVEEDOR 1]:[PROVEEDOR 6]])</f>
        <v>0</v>
      </c>
    </row>
    <row r="25" spans="2:12" s="2" customFormat="1" ht="19.5" thickBot="1" x14ac:dyDescent="0.35">
      <c r="B25" s="32" t="s">
        <v>15</v>
      </c>
      <c r="C25" s="32"/>
      <c r="D25" s="33">
        <f>ROUND(SUMPRODUCT(Comparación_precios245[[CANTIDAD]:[CANTIDAD]],Comparación_precios245[PROVEEDOR 1]),2)</f>
        <v>2389800</v>
      </c>
      <c r="E25" s="33">
        <f>ROUND(SUMPRODUCT(Comparación_precios245[[CANTIDAD]:[CANTIDAD]],Comparación_precios245[PROVEEDOR 2]),2)</f>
        <v>2812360</v>
      </c>
      <c r="F25" s="33">
        <f>ROUND(SUMPRODUCT(Comparación_precios245[[CANTIDAD]:[CANTIDAD]],Comparación_precios245[PROVEEDOR 3]),2)</f>
        <v>2296030</v>
      </c>
      <c r="G25" s="33">
        <f>ROUND(SUMPRODUCT(Comparación_precios245[[CANTIDAD]:[CANTIDAD]],Comparación_precios245[PROVEEDOR 4]),2)</f>
        <v>0</v>
      </c>
      <c r="H25" s="33">
        <f>ROUND(SUMPRODUCT(Comparación_precios245[[CANTIDAD]:[CANTIDAD]],Comparación_precios245[PROVEEDOR 5]),2)</f>
        <v>0</v>
      </c>
      <c r="I25" s="33">
        <f>ROUND(SUMPRODUCT(Comparación_precios245[[CANTIDAD]:[CANTIDAD]],Comparación_precios245[PROVEEDOR 6]),2)</f>
        <v>0</v>
      </c>
      <c r="J25" s="34"/>
      <c r="K25" s="34"/>
      <c r="L25" s="35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8" t="s">
        <v>16</v>
      </c>
      <c r="C28" s="69"/>
      <c r="D28" s="21"/>
      <c r="E28" s="21"/>
      <c r="F28" s="21"/>
      <c r="G28" s="21"/>
      <c r="H28" s="21"/>
    </row>
    <row r="29" spans="2:12" s="2" customFormat="1" ht="33.6" customHeight="1" x14ac:dyDescent="0.2">
      <c r="B29" s="66" t="s">
        <v>17</v>
      </c>
      <c r="C29" s="67"/>
      <c r="D29" s="61" t="s">
        <v>25</v>
      </c>
      <c r="E29" s="15" t="s">
        <v>26</v>
      </c>
      <c r="F29" s="46" t="s">
        <v>18</v>
      </c>
      <c r="G29" s="15"/>
      <c r="H29" s="15"/>
      <c r="I29" s="15"/>
    </row>
    <row r="30" spans="2:12" s="2" customFormat="1" ht="25.9" customHeight="1" x14ac:dyDescent="0.2">
      <c r="B30" s="66" t="s">
        <v>21</v>
      </c>
      <c r="C30" s="67"/>
      <c r="D30" s="47">
        <v>0</v>
      </c>
      <c r="E30" s="22">
        <v>0</v>
      </c>
      <c r="F30" s="22">
        <v>0</v>
      </c>
      <c r="G30" s="15"/>
      <c r="H30" s="22"/>
      <c r="I30" s="22"/>
    </row>
    <row r="31" spans="2:12" s="2" customFormat="1" ht="18" customHeight="1" x14ac:dyDescent="0.2">
      <c r="B31" s="66" t="s">
        <v>22</v>
      </c>
      <c r="C31" s="67"/>
      <c r="D31" s="48"/>
      <c r="E31" s="23"/>
      <c r="F31" s="23"/>
      <c r="G31" s="23"/>
      <c r="H31" s="23"/>
      <c r="I31" s="23"/>
    </row>
    <row r="32" spans="2:12" s="2" customFormat="1" ht="18.75" x14ac:dyDescent="0.2">
      <c r="B32" s="66"/>
      <c r="C32" s="67"/>
      <c r="D32" s="49"/>
      <c r="E32" s="24"/>
      <c r="F32" s="24"/>
      <c r="G32" s="24"/>
      <c r="H32" s="24"/>
      <c r="I32" s="24"/>
    </row>
    <row r="33" spans="2:12" s="2" customFormat="1" ht="18.75" x14ac:dyDescent="0.2">
      <c r="B33" s="66"/>
      <c r="C33" s="67"/>
      <c r="D33" s="50"/>
      <c r="E33" s="25"/>
      <c r="F33" s="25"/>
      <c r="G33" s="25"/>
      <c r="H33" s="25"/>
      <c r="I33" s="25"/>
    </row>
    <row r="34" spans="2:12" ht="18.75" x14ac:dyDescent="0.2">
      <c r="B34" s="66"/>
      <c r="C34" s="67"/>
      <c r="D34" s="51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6"/>
      <c r="E37" s="36"/>
      <c r="F37" s="37"/>
      <c r="G37" s="38"/>
      <c r="H37" s="39"/>
      <c r="I37" s="36"/>
      <c r="J37" s="3"/>
      <c r="K37" s="1"/>
      <c r="L37" s="1"/>
    </row>
    <row r="38" spans="2:12" ht="18.75" x14ac:dyDescent="0.2">
      <c r="D38" s="36"/>
      <c r="E38" s="36"/>
      <c r="F38" s="37"/>
      <c r="G38" s="40"/>
      <c r="H38" s="39"/>
      <c r="I38" s="36"/>
    </row>
    <row r="39" spans="2:12" ht="18.75" x14ac:dyDescent="0.2">
      <c r="D39" s="36"/>
      <c r="E39" s="36"/>
      <c r="F39" s="37"/>
      <c r="G39" s="40"/>
      <c r="H39" s="39"/>
      <c r="I39" s="36"/>
    </row>
    <row r="40" spans="2:12" ht="18.75" x14ac:dyDescent="0.2">
      <c r="D40" s="36"/>
      <c r="E40" s="36"/>
      <c r="F40" s="37"/>
      <c r="G40" s="40"/>
      <c r="H40" s="39"/>
      <c r="I40" s="36"/>
    </row>
    <row r="41" spans="2:12" ht="18.75" x14ac:dyDescent="0.2">
      <c r="D41" s="36"/>
      <c r="E41" s="36"/>
      <c r="F41" s="37"/>
      <c r="G41" s="40"/>
      <c r="H41" s="39"/>
      <c r="I41" s="36"/>
    </row>
    <row r="42" spans="2:12" ht="18.75" x14ac:dyDescent="0.2">
      <c r="D42" s="36"/>
      <c r="E42" s="36"/>
      <c r="F42" s="37"/>
      <c r="G42" s="40"/>
      <c r="H42" s="39"/>
      <c r="I42" s="3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4" priority="2">
      <formula>AND(B$25=MIN($D$25:$I$25),B$25&lt;&gt;0)</formula>
    </cfRule>
  </conditionalFormatting>
  <conditionalFormatting sqref="D12:F12 E13:F13">
    <cfRule type="expression" dxfId="3" priority="1">
      <formula>AND(D$25=MIN($D$25:$I$25),D$25&lt;&gt;0)</formula>
    </cfRule>
  </conditionalFormatting>
  <conditionalFormatting sqref="D8:I8 D25:I25">
    <cfRule type="expression" dxfId="2" priority="3">
      <formula>AND(D$25=MIN($D$25:$I$25),D$25&lt;&gt;0)</formula>
    </cfRule>
  </conditionalFormatting>
  <conditionalFormatting sqref="D9:I11 G12:I13 D14:I24">
    <cfRule type="expression" dxfId="1" priority="4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ColWidth="12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44" t="s">
        <v>27</v>
      </c>
      <c r="C7" s="45">
        <v>1</v>
      </c>
      <c r="D7" s="44">
        <v>498</v>
      </c>
      <c r="E7" s="44">
        <v>420</v>
      </c>
      <c r="F7" s="44">
        <v>450</v>
      </c>
      <c r="G7" s="44">
        <v>230</v>
      </c>
      <c r="H7" s="44">
        <v>600</v>
      </c>
      <c r="I7" s="44">
        <v>520</v>
      </c>
    </row>
    <row r="8" spans="2:9" ht="19.5" thickBot="1" x14ac:dyDescent="0.25">
      <c r="B8" s="44" t="s">
        <v>28</v>
      </c>
      <c r="C8" s="45">
        <v>2</v>
      </c>
      <c r="D8" s="44">
        <v>450</v>
      </c>
      <c r="E8" s="44">
        <v>220</v>
      </c>
      <c r="F8" s="44">
        <v>405</v>
      </c>
      <c r="G8" s="44">
        <v>495</v>
      </c>
      <c r="H8" s="44">
        <v>540</v>
      </c>
      <c r="I8" s="44">
        <v>200</v>
      </c>
    </row>
    <row r="9" spans="2:9" ht="19.5" thickBot="1" x14ac:dyDescent="0.25">
      <c r="B9" s="44" t="s">
        <v>29</v>
      </c>
      <c r="C9" s="45">
        <v>2</v>
      </c>
      <c r="D9" s="44">
        <v>650</v>
      </c>
      <c r="E9" s="44">
        <v>620</v>
      </c>
      <c r="F9" s="44">
        <v>666</v>
      </c>
      <c r="G9" s="44">
        <v>400</v>
      </c>
      <c r="H9" s="44">
        <v>648</v>
      </c>
      <c r="I9" s="44">
        <v>452.4</v>
      </c>
    </row>
    <row r="10" spans="2:9" ht="19.5" thickBot="1" x14ac:dyDescent="0.25">
      <c r="B10" s="44" t="s">
        <v>30</v>
      </c>
      <c r="C10" s="45">
        <v>1</v>
      </c>
      <c r="D10" s="44">
        <v>585</v>
      </c>
      <c r="E10" s="44">
        <v>558</v>
      </c>
      <c r="F10" s="44">
        <v>320</v>
      </c>
      <c r="G10" s="44">
        <v>360</v>
      </c>
      <c r="H10" s="44">
        <v>583.20000000000005</v>
      </c>
      <c r="I10" s="44">
        <v>407.16</v>
      </c>
    </row>
    <row r="11" spans="2:9" ht="19.5" thickBot="1" x14ac:dyDescent="0.25">
      <c r="B11" s="44" t="s">
        <v>31</v>
      </c>
      <c r="C11" s="45">
        <v>3</v>
      </c>
      <c r="D11" s="44">
        <v>526.5</v>
      </c>
      <c r="E11" s="44">
        <v>502.2</v>
      </c>
      <c r="F11" s="44">
        <v>539.46</v>
      </c>
      <c r="G11" s="44">
        <v>300</v>
      </c>
      <c r="H11" s="44">
        <v>500</v>
      </c>
      <c r="I11" s="44">
        <v>366.44</v>
      </c>
    </row>
    <row r="12" spans="2:9" ht="19.5" thickBot="1" x14ac:dyDescent="0.25">
      <c r="B12" s="44" t="s">
        <v>32</v>
      </c>
      <c r="C12" s="45">
        <v>1</v>
      </c>
      <c r="D12" s="44">
        <v>473.8</v>
      </c>
      <c r="E12" s="44">
        <v>200</v>
      </c>
      <c r="F12" s="44">
        <v>485.51</v>
      </c>
      <c r="G12" s="44">
        <v>291.60000000000002</v>
      </c>
      <c r="H12" s="44">
        <v>270</v>
      </c>
      <c r="I12" s="44">
        <v>220</v>
      </c>
    </row>
    <row r="19" spans="2:9" ht="18.75" x14ac:dyDescent="0.2">
      <c r="D19" s="46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2">
      <c r="D20" s="47">
        <v>10</v>
      </c>
      <c r="E20" s="22">
        <v>10</v>
      </c>
      <c r="F20" s="22">
        <v>10</v>
      </c>
      <c r="G20" s="15" t="s">
        <v>33</v>
      </c>
      <c r="H20" s="22">
        <v>5</v>
      </c>
      <c r="I20" s="22" t="s">
        <v>33</v>
      </c>
    </row>
    <row r="21" spans="2:9" ht="18.75" x14ac:dyDescent="0.2">
      <c r="D21" s="48" t="s">
        <v>34</v>
      </c>
      <c r="E21" s="23" t="s">
        <v>34</v>
      </c>
      <c r="F21" s="23" t="s">
        <v>35</v>
      </c>
      <c r="G21" s="23" t="s">
        <v>36</v>
      </c>
      <c r="H21" s="23" t="s">
        <v>35</v>
      </c>
      <c r="I21" s="23" t="s">
        <v>35</v>
      </c>
    </row>
    <row r="22" spans="2:9" ht="18.75" x14ac:dyDescent="0.2">
      <c r="D22" s="49" t="s">
        <v>37</v>
      </c>
      <c r="E22" s="24" t="s">
        <v>37</v>
      </c>
      <c r="F22" s="24" t="s">
        <v>38</v>
      </c>
      <c r="G22" s="24" t="s">
        <v>35</v>
      </c>
      <c r="H22" s="24" t="s">
        <v>38</v>
      </c>
      <c r="I22" s="24" t="s">
        <v>38</v>
      </c>
    </row>
    <row r="23" spans="2:9" ht="18.75" x14ac:dyDescent="0.2">
      <c r="D23" s="50"/>
      <c r="E23" s="25"/>
      <c r="F23" s="25"/>
      <c r="G23" s="25"/>
      <c r="H23" s="25"/>
      <c r="I23" s="25"/>
    </row>
    <row r="24" spans="2:9" ht="18.75" x14ac:dyDescent="0.2">
      <c r="D24" s="51"/>
      <c r="E24" s="26"/>
      <c r="F24" s="26"/>
      <c r="G24" s="26"/>
      <c r="H24" s="26"/>
      <c r="I24" s="26"/>
    </row>
    <row r="27" spans="2:9" ht="12" thickBot="1" x14ac:dyDescent="0.25"/>
    <row r="28" spans="2:9" ht="19.5" thickBot="1" x14ac:dyDescent="0.25">
      <c r="B28" s="44" t="s">
        <v>39</v>
      </c>
      <c r="C28" s="45">
        <v>1</v>
      </c>
      <c r="D28" s="44">
        <v>340</v>
      </c>
      <c r="E28" s="44">
        <v>330</v>
      </c>
      <c r="F28" s="44">
        <v>440</v>
      </c>
      <c r="G28" s="44">
        <v>400</v>
      </c>
      <c r="H28" s="44">
        <v>320</v>
      </c>
      <c r="I28" s="44">
        <v>330</v>
      </c>
    </row>
    <row r="29" spans="2:9" ht="19.5" thickBot="1" x14ac:dyDescent="0.25">
      <c r="B29" s="44" t="s">
        <v>40</v>
      </c>
      <c r="C29" s="45">
        <v>1</v>
      </c>
      <c r="D29" s="44">
        <v>220</v>
      </c>
      <c r="E29" s="44">
        <v>230</v>
      </c>
      <c r="F29" s="44">
        <v>240</v>
      </c>
      <c r="G29" s="44">
        <v>220</v>
      </c>
      <c r="H29" s="44">
        <v>219</v>
      </c>
      <c r="I29" s="44">
        <v>218</v>
      </c>
    </row>
    <row r="30" spans="2:9" ht="19.5" thickBot="1" x14ac:dyDescent="0.25">
      <c r="B30" s="44" t="s">
        <v>41</v>
      </c>
      <c r="C30" s="45">
        <v>2</v>
      </c>
      <c r="D30" s="44">
        <v>560</v>
      </c>
      <c r="E30" s="44">
        <v>580</v>
      </c>
      <c r="F30" s="44">
        <v>550</v>
      </c>
      <c r="G30" s="44">
        <v>520</v>
      </c>
      <c r="H30" s="44">
        <v>551</v>
      </c>
      <c r="I30" s="44">
        <v>550</v>
      </c>
    </row>
    <row r="35" spans="2:2" ht="14.25" x14ac:dyDescent="0.2">
      <c r="B35" s="54" t="s">
        <v>42</v>
      </c>
    </row>
    <row r="36" spans="2:2" ht="18.75" x14ac:dyDescent="0.2">
      <c r="B36" s="52">
        <v>250</v>
      </c>
    </row>
    <row r="37" spans="2:2" ht="18.75" x14ac:dyDescent="0.2">
      <c r="B37" s="53">
        <v>440</v>
      </c>
    </row>
    <row r="38" spans="2:2" ht="18.75" x14ac:dyDescent="0.2">
      <c r="B38" s="53">
        <v>440</v>
      </c>
    </row>
    <row r="39" spans="2:2" ht="18.75" x14ac:dyDescent="0.2">
      <c r="B39" s="53">
        <v>350</v>
      </c>
    </row>
    <row r="40" spans="2:2" ht="18.75" x14ac:dyDescent="0.2">
      <c r="B40" s="53">
        <v>420</v>
      </c>
    </row>
    <row r="41" spans="2:2" ht="18.75" x14ac:dyDescent="0.2">
      <c r="B41" s="53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- AYUDA -</vt:lpstr>
      <vt:lpstr>Precios(Equipo Programacion)</vt:lpstr>
      <vt:lpstr>Precios (Equipo Admin)</vt:lpstr>
      <vt:lpstr>Precios (pc Doctor)</vt:lpstr>
      <vt:lpstr>Precios (pc Enfermero)</vt:lpstr>
      <vt:lpstr>Soporte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johny molano</cp:lastModifiedBy>
  <cp:revision/>
  <dcterms:created xsi:type="dcterms:W3CDTF">2013-10-17T12:18:53Z</dcterms:created>
  <dcterms:modified xsi:type="dcterms:W3CDTF">2024-06-26T20:17:10Z</dcterms:modified>
  <cp:category/>
  <cp:contentStatus/>
</cp:coreProperties>
</file>