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olodymyrkovalchuk/KPI/4/2 семест/регресійний анал/"/>
    </mc:Choice>
  </mc:AlternateContent>
  <xr:revisionPtr revIDLastSave="0" documentId="13_ncr:1_{45A2A1A6-DFF8-4C44-BF42-0088F4B83EBE}" xr6:coauthVersionLast="47" xr6:coauthVersionMax="47" xr10:uidLastSave="{00000000-0000-0000-0000-000000000000}"/>
  <bookViews>
    <workbookView xWindow="360" yWindow="760" windowWidth="14200" windowHeight="19940" xr2:uid="{0714CD9A-DD8E-B443-9282-58DADA5680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6" i="1" l="1"/>
  <c r="D69" i="1"/>
  <c r="A71" i="1" s="1"/>
  <c r="D238" i="1" l="1"/>
  <c r="C236" i="1"/>
  <c r="C217" i="1"/>
  <c r="C191" i="1"/>
  <c r="C201" i="1" s="1"/>
  <c r="C190" i="1"/>
  <c r="C200" i="1" s="1"/>
  <c r="I182" i="1"/>
  <c r="I197" i="1" s="1"/>
  <c r="C173" i="1"/>
  <c r="C172" i="1"/>
  <c r="V155" i="1"/>
  <c r="AE155" i="1" s="1"/>
  <c r="K158" i="1"/>
  <c r="A158" i="1"/>
  <c r="D93" i="1"/>
  <c r="A95" i="1"/>
  <c r="D82" i="1"/>
  <c r="A84" i="1" s="1"/>
  <c r="E29" i="1"/>
  <c r="D28" i="1"/>
  <c r="A72" i="1" s="1"/>
  <c r="E2" i="1"/>
  <c r="B17" i="1"/>
  <c r="A17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D2" i="1"/>
  <c r="C2" i="1"/>
  <c r="D29" i="1" l="1"/>
  <c r="D139" i="1" s="1"/>
  <c r="E17" i="1"/>
  <c r="D136" i="1"/>
  <c r="C219" i="1"/>
  <c r="C220" i="1"/>
  <c r="C17" i="1"/>
  <c r="D31" i="1" s="1"/>
  <c r="C221" i="1" s="1"/>
  <c r="E96" i="1"/>
  <c r="D96" i="1" s="1"/>
  <c r="E71" i="1"/>
  <c r="D71" i="1" s="1"/>
  <c r="D30" i="1"/>
  <c r="H28" i="1" s="1"/>
  <c r="D138" i="1"/>
  <c r="D135" i="1"/>
  <c r="D17" i="1"/>
  <c r="D134" i="1"/>
  <c r="D133" i="1"/>
  <c r="D129" i="1"/>
  <c r="D143" i="1"/>
  <c r="D132" i="1"/>
  <c r="D131" i="1"/>
  <c r="C153" i="1"/>
  <c r="C158" i="1" s="1"/>
  <c r="D140" i="1"/>
  <c r="D130" i="1"/>
  <c r="G131" i="1"/>
  <c r="G135" i="1" s="1"/>
  <c r="G139" i="1" s="1"/>
  <c r="E31" i="1"/>
  <c r="A85" i="1"/>
  <c r="A96" i="1"/>
  <c r="E84" i="1"/>
  <c r="D84" i="1" s="1"/>
  <c r="E95" i="1"/>
  <c r="D95" i="1" s="1"/>
  <c r="D141" i="1" l="1"/>
  <c r="C193" i="1"/>
  <c r="C175" i="1"/>
  <c r="E180" i="1" s="1"/>
  <c r="D142" i="1"/>
  <c r="D137" i="1"/>
  <c r="C176" i="1"/>
  <c r="E179" i="1" s="1"/>
  <c r="E33" i="1"/>
  <c r="C237" i="1"/>
  <c r="C240" i="1" s="1"/>
  <c r="E243" i="1" s="1"/>
  <c r="C227" i="1"/>
  <c r="D70" i="1"/>
  <c r="C223" i="1"/>
  <c r="D33" i="1"/>
  <c r="C154" i="1"/>
  <c r="D32" i="1"/>
  <c r="I253" i="1" s="1"/>
  <c r="C203" i="1"/>
  <c r="E205" i="1" s="1"/>
  <c r="V157" i="1"/>
  <c r="X160" i="1" s="1"/>
  <c r="M153" i="1"/>
  <c r="A157" i="1"/>
  <c r="E195" i="1"/>
  <c r="M155" i="1"/>
  <c r="H132" i="1"/>
  <c r="H136" i="1" s="1"/>
  <c r="H140" i="1" s="1"/>
  <c r="C238" i="1" l="1"/>
  <c r="C239" i="1" s="1"/>
  <c r="F245" i="1" s="1"/>
  <c r="D34" i="1"/>
  <c r="H29" i="1"/>
  <c r="C224" i="1" s="1"/>
  <c r="C226" i="1" s="1"/>
  <c r="E160" i="1"/>
  <c r="M158" i="1"/>
  <c r="O160" i="1" s="1"/>
  <c r="AE157" i="1"/>
  <c r="AG160" i="1" s="1"/>
  <c r="K157" i="1"/>
  <c r="I254" i="1" l="1"/>
  <c r="I255" i="1" s="1"/>
  <c r="D72" i="1"/>
  <c r="C155" i="1"/>
  <c r="C156" i="1" s="1"/>
  <c r="C157" i="1" s="1"/>
  <c r="C160" i="1" s="1"/>
  <c r="C222" i="1"/>
  <c r="C225" i="1" s="1"/>
  <c r="D230" i="1" s="1"/>
  <c r="C243" i="1"/>
  <c r="H30" i="1"/>
  <c r="E72" i="1" s="1"/>
  <c r="D94" i="1"/>
  <c r="M154" i="1"/>
  <c r="D85" i="1"/>
  <c r="D86" i="1" s="1"/>
  <c r="D83" i="1"/>
  <c r="C174" i="1" l="1"/>
  <c r="C177" i="1" s="1"/>
  <c r="C192" i="1" s="1"/>
  <c r="C99" i="1"/>
  <c r="E99" i="1"/>
  <c r="E74" i="1"/>
  <c r="C74" i="1"/>
  <c r="C89" i="1"/>
  <c r="E89" i="1"/>
  <c r="M156" i="1"/>
  <c r="M157" i="1" s="1"/>
  <c r="F230" i="1"/>
  <c r="C179" i="1"/>
  <c r="C195" i="1"/>
  <c r="C202" i="1"/>
  <c r="C205" i="1" s="1"/>
  <c r="C180" i="1" l="1"/>
  <c r="V156" i="1"/>
  <c r="V160" i="1" s="1"/>
  <c r="M160" i="1"/>
  <c r="AE156" i="1"/>
  <c r="AH162" i="1" s="1"/>
  <c r="AE160" i="1" l="1"/>
</calcChain>
</file>

<file path=xl/sharedStrings.xml><?xml version="1.0" encoding="utf-8"?>
<sst xmlns="http://schemas.openxmlformats.org/spreadsheetml/2006/main" count="191" uniqueCount="105">
  <si>
    <t>Деякі коментарі:</t>
  </si>
  <si>
    <t>V (Y)</t>
  </si>
  <si>
    <t>S (X)</t>
  </si>
  <si>
    <t>1. Знайти ОНК параметрів \tetta_1, \tetta_2 та \delta^2</t>
  </si>
  <si>
    <t>X^2</t>
  </si>
  <si>
    <t>Y^2</t>
  </si>
  <si>
    <t>XY</t>
  </si>
  <si>
    <t>Сума</t>
  </si>
  <si>
    <t>N=</t>
  </si>
  <si>
    <t>X_сер</t>
  </si>
  <si>
    <t>2 спосіб</t>
  </si>
  <si>
    <t>Y_сер</t>
  </si>
  <si>
    <t xml:space="preserve">SS_(X) = </t>
  </si>
  <si>
    <t>1 спосіб</t>
  </si>
  <si>
    <t>SS_(Y)=</t>
  </si>
  <si>
    <t xml:space="preserve">RSS = </t>
  </si>
  <si>
    <t>Допоміжні значення</t>
  </si>
  <si>
    <t>\tetta_1 з кр.</t>
  </si>
  <si>
    <t>/sigma^2 з кр.</t>
  </si>
  <si>
    <t>2. На площині (x; y) зообразити вихідні дані та побудувати лінію регресії;</t>
  </si>
  <si>
    <t>Надійний ітервал \tetta_1</t>
  </si>
  <si>
    <t>\alpha</t>
  </si>
  <si>
    <t>умова</t>
  </si>
  <si>
    <t>index=</t>
  </si>
  <si>
    <t>_-&gt;</t>
  </si>
  <si>
    <t>ТУТ ЗМІНИ ПІД СЕБЕ</t>
  </si>
  <si>
    <t xml:space="preserve">корінь = </t>
  </si>
  <si>
    <t>;</t>
  </si>
  <si>
    <t>)</t>
  </si>
  <si>
    <t>Надійний інтервал(</t>
  </si>
  <si>
    <t>Надійний інтервал \tetta_2</t>
  </si>
  <si>
    <t>\tetta_2 з кр.</t>
  </si>
  <si>
    <t>Корінь=</t>
  </si>
  <si>
    <t>Вираз під коренем=</t>
  </si>
  <si>
    <t>надійний інтервал \sigma^2</t>
  </si>
  <si>
    <t>УМОВА</t>
  </si>
  <si>
    <t>RSS=</t>
  </si>
  <si>
    <t>x</t>
  </si>
  <si>
    <t>X^TX</t>
  </si>
  <si>
    <t>(X^TX)^-1</t>
  </si>
  <si>
    <t>K=\sigma^2*</t>
  </si>
  <si>
    <t>Перевірка гіпотези щодо значущості \tetta_1*</t>
  </si>
  <si>
    <t>\alpha=</t>
  </si>
  <si>
    <t>Y_сер=</t>
  </si>
  <si>
    <t>корінь=</t>
  </si>
  <si>
    <t>n-2</t>
  </si>
  <si>
    <r>
      <t>t*_</t>
    </r>
    <r>
      <rPr>
        <sz val="12"/>
        <color rgb="FFA12B97"/>
        <rFont val="Aptos Narrow (Body)"/>
      </rPr>
      <t>8</t>
    </r>
    <r>
      <rPr>
        <sz val="12"/>
        <color theme="1"/>
        <rFont val="Aptos Narrow"/>
        <family val="2"/>
        <scheme val="minor"/>
      </rPr>
      <t>=</t>
    </r>
  </si>
  <si>
    <t>&gt;0</t>
  </si>
  <si>
    <t>&gt;</t>
  </si>
  <si>
    <t>&lt;-червоне бо відхилили</t>
  </si>
  <si>
    <t>Відхиляємо H0 (приймаємо H1)</t>
  </si>
  <si>
    <t>з цього випливає</t>
  </si>
  <si>
    <t>\tetta_1 значущий</t>
  </si>
  <si>
    <t>Перевірка гіпотези щодо значущості \tetta_2*</t>
  </si>
  <si>
    <t>\tetta_2 з кр=</t>
  </si>
  <si>
    <t>SS_X=</t>
  </si>
  <si>
    <t>\tetta_2 значущий</t>
  </si>
  <si>
    <t>нерівність збереглась</t>
  </si>
  <si>
    <t>Немає достатніх підстав у відхиленніH0 (Відхиляємо H1)</t>
  </si>
  <si>
    <t>нерівність не збереглась</t>
  </si>
  <si>
    <t>H0</t>
  </si>
  <si>
    <t>Подивитися на збереження знаку нерівності</t>
  </si>
  <si>
    <t xml:space="preserve">6. Перевірити гіпотези </t>
  </si>
  <si>
    <t>на рівні значущості</t>
  </si>
  <si>
    <t>\sigma^2</t>
  </si>
  <si>
    <t>\xi^2_8</t>
  </si>
  <si>
    <t>\sigma_0^2</t>
  </si>
  <si>
    <t>&lt;</t>
  </si>
  <si>
    <t>перевіряю з формулою (знаки)</t>
  </si>
  <si>
    <t>на рівні значущості а</t>
  </si>
  <si>
    <t xml:space="preserve">X = </t>
  </si>
  <si>
    <t>X_сер=</t>
  </si>
  <si>
    <t>Корінь</t>
  </si>
  <si>
    <t>Y з кришкою</t>
  </si>
  <si>
    <t xml:space="preserve">8. Перевірити гіпотезу про корельованість змінних на рівні значущості </t>
  </si>
  <si>
    <t>r=</t>
  </si>
  <si>
    <t>SCP_(XY)</t>
  </si>
  <si>
    <t>9. обчислити коефіцієнт детермінації вашої моделі та прокоментувати результат</t>
  </si>
  <si>
    <t>SS(Y)=</t>
  </si>
  <si>
    <t>RRS=</t>
  </si>
  <si>
    <t>r^2=</t>
  </si>
  <si>
    <r>
      <t xml:space="preserve">5. Перевірити гіпотези значущості параметрі \tetta_1*, \tetta_2* на рівні значущості </t>
    </r>
    <r>
      <rPr>
        <sz val="12"/>
        <color rgb="FF7030A0"/>
        <rFont val="Aptos Narrow (Body)"/>
      </rPr>
      <t>\alpha = 0,1</t>
    </r>
    <r>
      <rPr>
        <sz val="12"/>
        <color theme="1"/>
        <rFont val="Aptos Narrow"/>
        <family val="2"/>
        <scheme val="minor"/>
      </rPr>
      <t>. Перевірити також гіпотези \tetta_2&gt;=0, \tetta_2&lt;=0</t>
    </r>
  </si>
  <si>
    <r>
      <t>t_</t>
    </r>
    <r>
      <rPr>
        <b/>
        <sz val="12"/>
        <color rgb="FFA12B97"/>
        <rFont val="Aptos Narrow (Body)"/>
      </rPr>
      <t>0.05;13</t>
    </r>
  </si>
  <si>
    <r>
      <t>|t*_13</t>
    </r>
    <r>
      <rPr>
        <sz val="12"/>
        <color rgb="FFA12B97"/>
        <rFont val="Aptos Narrow (Body)"/>
      </rPr>
      <t>|</t>
    </r>
    <r>
      <rPr>
        <sz val="12"/>
        <color theme="1"/>
        <rFont val="Aptos Narrow"/>
        <family val="2"/>
        <scheme val="minor"/>
      </rPr>
      <t>=</t>
    </r>
  </si>
  <si>
    <r>
      <t>t_</t>
    </r>
    <r>
      <rPr>
        <b/>
        <sz val="12"/>
        <color rgb="FFA12B97"/>
        <rFont val="Aptos Narrow (Body)"/>
      </rPr>
      <t>0.05;13</t>
    </r>
    <r>
      <rPr>
        <b/>
        <sz val="12"/>
        <color theme="1"/>
        <rFont val="Aptos Narrow"/>
        <scheme val="minor"/>
      </rPr>
      <t xml:space="preserve"> =</t>
    </r>
  </si>
  <si>
    <t>t*_13=</t>
  </si>
  <si>
    <r>
      <t>t_</t>
    </r>
    <r>
      <rPr>
        <b/>
        <sz val="12"/>
        <color rgb="FFA12B97"/>
        <rFont val="Aptos Narrow (Body)"/>
      </rPr>
      <t>0.1;13</t>
    </r>
    <r>
      <rPr>
        <b/>
        <sz val="12"/>
        <color theme="1"/>
        <rFont val="Aptos Narrow"/>
        <scheme val="minor"/>
      </rPr>
      <t xml:space="preserve"> =</t>
    </r>
  </si>
  <si>
    <r>
      <t>\xi^2_</t>
    </r>
    <r>
      <rPr>
        <sz val="12"/>
        <color rgb="FFA12B97"/>
        <rFont val="Aptos Narrow"/>
        <family val="2"/>
        <scheme val="minor"/>
      </rPr>
      <t>0,</t>
    </r>
    <r>
      <rPr>
        <sz val="12"/>
        <color rgb="FFA12B97"/>
        <rFont val="Aptos Narrow (Body)"/>
      </rPr>
      <t>95;13</t>
    </r>
  </si>
  <si>
    <r>
      <t>\xi^2_</t>
    </r>
    <r>
      <rPr>
        <sz val="12"/>
        <color rgb="FFA12B97"/>
        <rFont val="Aptos Narrow"/>
        <family val="2"/>
        <scheme val="minor"/>
      </rPr>
      <t>0,</t>
    </r>
    <r>
      <rPr>
        <sz val="12"/>
        <color rgb="FFA12B97"/>
        <rFont val="Aptos Narrow (Body)"/>
      </rPr>
      <t>05</t>
    </r>
    <r>
      <rPr>
        <sz val="12"/>
        <color rgb="FFA12B97"/>
        <rFont val="Aptos Narrow"/>
        <family val="2"/>
        <scheme val="minor"/>
      </rPr>
      <t>;13</t>
    </r>
  </si>
  <si>
    <r>
      <t>=\xi^2_</t>
    </r>
    <r>
      <rPr>
        <sz val="12"/>
        <color rgb="FFA12B97"/>
        <rFont val="Aptos Narrow (Body)"/>
      </rPr>
      <t>0,95;13</t>
    </r>
  </si>
  <si>
    <r>
      <t>=\xi^2_</t>
    </r>
    <r>
      <rPr>
        <sz val="12"/>
        <color rgb="FFA12B97"/>
        <rFont val="Aptos Narrow"/>
        <family val="2"/>
        <scheme val="minor"/>
      </rPr>
      <t>0,05;13</t>
    </r>
  </si>
  <si>
    <r>
      <t>=\xi^2_</t>
    </r>
    <r>
      <rPr>
        <sz val="12"/>
        <color rgb="FFA12B97"/>
        <rFont val="Aptos Narrow (Body)"/>
      </rPr>
      <t>0,1;13</t>
    </r>
  </si>
  <si>
    <t>7. Знайти надійний інтервал для V, при заданому S=25 з рівнем довіри 1 - \alpha = 0,95</t>
  </si>
  <si>
    <r>
      <t>t_0,025</t>
    </r>
    <r>
      <rPr>
        <b/>
        <sz val="12"/>
        <color rgb="FFA12B97"/>
        <rFont val="Aptos Narrow (Body)"/>
      </rPr>
      <t>;13</t>
    </r>
    <r>
      <rPr>
        <b/>
        <sz val="12"/>
        <color theme="1"/>
        <rFont val="Aptos Narrow"/>
        <scheme val="minor"/>
      </rPr>
      <t xml:space="preserve"> =</t>
    </r>
  </si>
  <si>
    <r>
      <t>=t_</t>
    </r>
    <r>
      <rPr>
        <b/>
        <sz val="12"/>
        <color rgb="FFA12B97"/>
        <rFont val="Aptos Narrow (Body)"/>
      </rPr>
      <t>0.025;13</t>
    </r>
  </si>
  <si>
    <t>4 побудувати 95% довічні інтервали для параметрів \tetta_1, \tetta_2, \sigma^2</t>
  </si>
  <si>
    <t>t_0.025;13 =</t>
  </si>
  <si>
    <t>3) знайти коваріаційну матрицю вектора (\tetta_1, \tetta_2)^T</t>
  </si>
  <si>
    <r>
      <t>-t_</t>
    </r>
    <r>
      <rPr>
        <b/>
        <sz val="12"/>
        <color rgb="FFA12B97"/>
        <rFont val="Aptos Narrow (Body)"/>
      </rPr>
      <t>0.1;13</t>
    </r>
  </si>
  <si>
    <t>\xi^2_13</t>
  </si>
  <si>
    <t>перевірка за формулою (знаки)</t>
  </si>
  <si>
    <r>
      <t>\xi^2_</t>
    </r>
    <r>
      <rPr>
        <sz val="12"/>
        <color rgb="FFA12B97"/>
        <rFont val="Aptos Narrow"/>
        <family val="2"/>
        <scheme val="minor"/>
      </rPr>
      <t>0,1;13</t>
    </r>
  </si>
  <si>
    <r>
      <t>\xi^2_</t>
    </r>
    <r>
      <rPr>
        <sz val="12"/>
        <color rgb="FFA12B97"/>
        <rFont val="Aptos Narrow"/>
        <family val="2"/>
        <scheme val="minor"/>
      </rPr>
      <t>0,9;13</t>
    </r>
  </si>
  <si>
    <r>
      <t>=\xi^2_</t>
    </r>
    <r>
      <rPr>
        <sz val="12"/>
        <color rgb="FFA12B97"/>
        <rFont val="Aptos Narrow (Body)"/>
      </rPr>
      <t>0,9;13</t>
    </r>
  </si>
  <si>
    <t>Модель пояснює 82.82% повної варіації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</si>
</sst>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sz val="9"/>
      <color theme="1"/>
      <name val="Aptos Narrow"/>
      <family val="2"/>
      <scheme val="minor"/>
    </font>
    <font>
      <sz val="12"/>
      <color rgb="FFA12B97"/>
      <name val="Aptos Narrow (Body)"/>
    </font>
    <font>
      <sz val="12"/>
      <color rgb="FFA12B97"/>
      <name val="Aptos Narrow"/>
      <family val="2"/>
      <scheme val="minor"/>
    </font>
    <font>
      <sz val="12"/>
      <name val="Aptos Narrow"/>
      <family val="2"/>
      <scheme val="minor"/>
    </font>
    <font>
      <sz val="12"/>
      <color rgb="FF7030A0"/>
      <name val="Aptos Narrow (Body)"/>
    </font>
    <font>
      <sz val="12"/>
      <color rgb="FF7030A0"/>
      <name val="Aptos Narrow"/>
      <family val="2"/>
      <scheme val="minor"/>
    </font>
    <font>
      <b/>
      <sz val="12"/>
      <color rgb="FFA12B97"/>
      <name val="Aptos Narrow (Body)"/>
    </font>
    <font>
      <sz val="11"/>
      <color rgb="FF000000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A12B9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3" borderId="1" xfId="0" applyNumberFormat="1" applyFill="1" applyBorder="1"/>
    <xf numFmtId="2" fontId="3" fillId="0" borderId="0" xfId="0" applyNumberFormat="1" applyFont="1" applyAlignment="1">
      <alignment horizontal="center"/>
    </xf>
    <xf numFmtId="165" fontId="0" fillId="5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5" fontId="0" fillId="0" borderId="0" xfId="0" applyNumberFormat="1"/>
    <xf numFmtId="0" fontId="2" fillId="6" borderId="1" xfId="0" applyFont="1" applyFill="1" applyBorder="1"/>
    <xf numFmtId="165" fontId="2" fillId="6" borderId="1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0" xfId="0" applyNumberFormat="1"/>
    <xf numFmtId="0" fontId="1" fillId="3" borderId="1" xfId="0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1" fillId="8" borderId="1" xfId="0" applyFont="1" applyFill="1" applyBorder="1" applyAlignment="1">
      <alignment horizontal="center"/>
    </xf>
    <xf numFmtId="2" fontId="1" fillId="8" borderId="1" xfId="0" applyNumberFormat="1" applyFont="1" applyFill="1" applyBorder="1" applyAlignment="1">
      <alignment horizontal="center"/>
    </xf>
    <xf numFmtId="165" fontId="1" fillId="8" borderId="1" xfId="0" applyNumberFormat="1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2" fontId="1" fillId="9" borderId="1" xfId="0" applyNumberFormat="1" applyFont="1" applyFill="1" applyBorder="1" applyAlignment="1">
      <alignment horizontal="center" vertical="center"/>
    </xf>
    <xf numFmtId="165" fontId="0" fillId="9" borderId="1" xfId="0" applyNumberFormat="1" applyFill="1" applyBorder="1" applyAlignment="1">
      <alignment horizontal="center" vertical="center"/>
    </xf>
    <xf numFmtId="0" fontId="0" fillId="7" borderId="0" xfId="0" applyFill="1"/>
    <xf numFmtId="9" fontId="0" fillId="7" borderId="0" xfId="0" applyNumberFormat="1" applyFill="1"/>
    <xf numFmtId="0" fontId="1" fillId="0" borderId="0" xfId="0" applyFont="1" applyAlignment="1">
      <alignment wrapText="1"/>
    </xf>
    <xf numFmtId="0" fontId="0" fillId="7" borderId="5" xfId="0" applyFill="1" applyBorder="1"/>
    <xf numFmtId="0" fontId="4" fillId="7" borderId="0" xfId="0" applyFont="1" applyFill="1" applyAlignment="1">
      <alignment wrapText="1"/>
    </xf>
    <xf numFmtId="0" fontId="0" fillId="6" borderId="0" xfId="0" applyFill="1"/>
    <xf numFmtId="0" fontId="1" fillId="0" borderId="0" xfId="0" applyFont="1"/>
    <xf numFmtId="9" fontId="0" fillId="0" borderId="0" xfId="0" applyNumberFormat="1"/>
    <xf numFmtId="0" fontId="7" fillId="0" borderId="0" xfId="0" applyFont="1"/>
    <xf numFmtId="0" fontId="0" fillId="10" borderId="0" xfId="0" applyFill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10" borderId="0" xfId="0" applyNumberFormat="1" applyFill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6" xfId="0" applyFill="1" applyBorder="1"/>
    <xf numFmtId="0" fontId="0" fillId="11" borderId="9" xfId="0" applyFill="1" applyBorder="1"/>
    <xf numFmtId="0" fontId="9" fillId="11" borderId="7" xfId="0" applyFont="1" applyFill="1" applyBorder="1"/>
    <xf numFmtId="0" fontId="9" fillId="11" borderId="8" xfId="0" applyFont="1" applyFill="1" applyBorder="1"/>
    <xf numFmtId="0" fontId="6" fillId="0" borderId="0" xfId="0" applyFont="1"/>
    <xf numFmtId="0" fontId="0" fillId="2" borderId="0" xfId="0" applyFill="1"/>
    <xf numFmtId="0" fontId="1" fillId="14" borderId="1" xfId="0" applyFont="1" applyFill="1" applyBorder="1" applyAlignment="1">
      <alignment horizontal="center"/>
    </xf>
    <xf numFmtId="0" fontId="0" fillId="14" borderId="0" xfId="0" applyFill="1"/>
    <xf numFmtId="0" fontId="1" fillId="14" borderId="1" xfId="0" quotePrefix="1" applyFont="1" applyFill="1" applyBorder="1" applyAlignment="1">
      <alignment horizontal="center"/>
    </xf>
    <xf numFmtId="0" fontId="0" fillId="15" borderId="0" xfId="0" applyFill="1"/>
    <xf numFmtId="0" fontId="1" fillId="15" borderId="1" xfId="0" quotePrefix="1" applyFont="1" applyFill="1" applyBorder="1" applyAlignment="1">
      <alignment horizontal="center"/>
    </xf>
    <xf numFmtId="0" fontId="7" fillId="7" borderId="0" xfId="0" applyFont="1" applyFill="1"/>
    <xf numFmtId="0" fontId="0" fillId="10" borderId="5" xfId="0" applyFill="1" applyBorder="1"/>
    <xf numFmtId="0" fontId="0" fillId="13" borderId="0" xfId="0" applyFill="1"/>
    <xf numFmtId="0" fontId="0" fillId="16" borderId="2" xfId="0" applyFill="1" applyBorder="1"/>
    <xf numFmtId="0" fontId="0" fillId="16" borderId="3" xfId="0" applyFill="1" applyBorder="1"/>
    <xf numFmtId="0" fontId="0" fillId="16" borderId="4" xfId="0" applyFill="1" applyBorder="1"/>
    <xf numFmtId="0" fontId="0" fillId="16" borderId="6" xfId="0" applyFill="1" applyBorder="1"/>
    <xf numFmtId="0" fontId="0" fillId="16" borderId="9" xfId="0" applyFill="1" applyBorder="1"/>
    <xf numFmtId="0" fontId="0" fillId="16" borderId="7" xfId="0" applyFill="1" applyBorder="1"/>
    <xf numFmtId="0" fontId="0" fillId="16" borderId="8" xfId="0" applyFill="1" applyBorder="1"/>
    <xf numFmtId="0" fontId="1" fillId="7" borderId="0" xfId="0" applyFont="1" applyFill="1"/>
    <xf numFmtId="0" fontId="0" fillId="9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0" xfId="0" quotePrefix="1" applyFill="1"/>
    <xf numFmtId="0" fontId="0" fillId="15" borderId="1" xfId="0" quotePrefix="1" applyFill="1" applyBorder="1" applyAlignment="1">
      <alignment horizontal="center" vertical="center"/>
    </xf>
    <xf numFmtId="0" fontId="0" fillId="16" borderId="0" xfId="0" applyFill="1"/>
    <xf numFmtId="2" fontId="0" fillId="0" borderId="1" xfId="0" applyNumberFormat="1" applyBorder="1"/>
    <xf numFmtId="0" fontId="0" fillId="0" borderId="1" xfId="0" applyBorder="1"/>
    <xf numFmtId="0" fontId="0" fillId="10" borderId="1" xfId="0" applyFill="1" applyBorder="1"/>
    <xf numFmtId="165" fontId="0" fillId="0" borderId="1" xfId="0" applyNumberFormat="1" applyBorder="1"/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0" fillId="0" borderId="13" xfId="0" applyBorder="1"/>
    <xf numFmtId="0" fontId="0" fillId="16" borderId="14" xfId="0" applyFill="1" applyBorder="1"/>
    <xf numFmtId="0" fontId="0" fillId="16" borderId="15" xfId="0" applyFill="1" applyBorder="1"/>
    <xf numFmtId="0" fontId="0" fillId="16" borderId="16" xfId="0" applyFill="1" applyBorder="1"/>
    <xf numFmtId="0" fontId="0" fillId="16" borderId="17" xfId="0" applyFill="1" applyBorder="1"/>
    <xf numFmtId="0" fontId="11" fillId="0" borderId="18" xfId="0" applyFont="1" applyBorder="1"/>
    <xf numFmtId="0" fontId="11" fillId="0" borderId="19" xfId="0" applyFont="1" applyBorder="1"/>
    <xf numFmtId="0" fontId="0" fillId="0" borderId="20" xfId="0" applyBorder="1"/>
    <xf numFmtId="0" fontId="0" fillId="15" borderId="0" xfId="0" applyFill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16" borderId="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2" fillId="6" borderId="1" xfId="0" applyNumberFormat="1" applyFont="1" applyFill="1" applyBorder="1"/>
    <xf numFmtId="165" fontId="0" fillId="0" borderId="5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5" fontId="0" fillId="6" borderId="0" xfId="0" applyNumberFormat="1" applyFill="1"/>
    <xf numFmtId="164" fontId="1" fillId="3" borderId="1" xfId="0" applyNumberFormat="1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165" fontId="0" fillId="8" borderId="1" xfId="0" applyNumberFormat="1" applyFill="1" applyBorder="1" applyAlignment="1">
      <alignment wrapText="1"/>
    </xf>
    <xf numFmtId="165" fontId="0" fillId="7" borderId="1" xfId="0" applyNumberFormat="1" applyFill="1" applyBorder="1" applyAlignment="1">
      <alignment horizontal="center" vertical="center"/>
    </xf>
    <xf numFmtId="164" fontId="0" fillId="0" borderId="0" xfId="0" applyNumberFormat="1"/>
    <xf numFmtId="166" fontId="0" fillId="0" borderId="0" xfId="0" applyNumberFormat="1"/>
    <xf numFmtId="165" fontId="0" fillId="2" borderId="0" xfId="0" applyNumberFormat="1" applyFill="1"/>
    <xf numFmtId="165" fontId="0" fillId="14" borderId="0" xfId="0" applyNumberFormat="1" applyFill="1"/>
    <xf numFmtId="165" fontId="0" fillId="15" borderId="0" xfId="0" applyNumberFormat="1" applyFill="1"/>
    <xf numFmtId="2" fontId="0" fillId="15" borderId="0" xfId="0" applyNumberFormat="1" applyFill="1"/>
    <xf numFmtId="2" fontId="0" fillId="14" borderId="0" xfId="0" applyNumberFormat="1" applyFill="1"/>
    <xf numFmtId="0" fontId="0" fillId="17" borderId="8" xfId="0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12B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Ряд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00"/>
            <c:backward val="50"/>
            <c:dispRSqr val="0"/>
            <c:dispEq val="0"/>
          </c:trendline>
          <c:xVal>
            <c:numRef>
              <c:f>Sheet1!$B$2:$B$16</c:f>
              <c:numCache>
                <c:formatCode>General</c:formatCode>
                <c:ptCount val="15"/>
                <c:pt idx="0">
                  <c:v>44.5</c:v>
                </c:pt>
                <c:pt idx="1">
                  <c:v>29.8</c:v>
                </c:pt>
                <c:pt idx="2">
                  <c:v>18.8</c:v>
                </c:pt>
                <c:pt idx="3">
                  <c:v>50.5</c:v>
                </c:pt>
                <c:pt idx="4">
                  <c:v>19.100000000000001</c:v>
                </c:pt>
                <c:pt idx="5">
                  <c:v>31.4</c:v>
                </c:pt>
                <c:pt idx="6">
                  <c:v>21.8</c:v>
                </c:pt>
                <c:pt idx="7">
                  <c:v>18.100000000000001</c:v>
                </c:pt>
                <c:pt idx="8">
                  <c:v>16.8</c:v>
                </c:pt>
                <c:pt idx="9">
                  <c:v>37.1</c:v>
                </c:pt>
                <c:pt idx="10">
                  <c:v>22.5</c:v>
                </c:pt>
                <c:pt idx="11">
                  <c:v>40.6</c:v>
                </c:pt>
                <c:pt idx="12">
                  <c:v>26.4</c:v>
                </c:pt>
                <c:pt idx="13">
                  <c:v>21.7</c:v>
                </c:pt>
                <c:pt idx="14">
                  <c:v>38.700000000000003</c:v>
                </c:pt>
              </c:numCache>
            </c:numRef>
          </c:xVal>
          <c:yVal>
            <c:numRef>
              <c:f>Sheet1!$A$2:$A$16</c:f>
              <c:numCache>
                <c:formatCode>General</c:formatCode>
                <c:ptCount val="15"/>
                <c:pt idx="0">
                  <c:v>690</c:v>
                </c:pt>
                <c:pt idx="1">
                  <c:v>640</c:v>
                </c:pt>
                <c:pt idx="2">
                  <c:v>210</c:v>
                </c:pt>
                <c:pt idx="3">
                  <c:v>1200</c:v>
                </c:pt>
                <c:pt idx="4">
                  <c:v>140</c:v>
                </c:pt>
                <c:pt idx="5">
                  <c:v>396</c:v>
                </c:pt>
                <c:pt idx="6">
                  <c:v>470</c:v>
                </c:pt>
                <c:pt idx="7">
                  <c:v>120</c:v>
                </c:pt>
                <c:pt idx="8">
                  <c:v>320</c:v>
                </c:pt>
                <c:pt idx="9">
                  <c:v>740</c:v>
                </c:pt>
                <c:pt idx="10">
                  <c:v>423</c:v>
                </c:pt>
                <c:pt idx="11">
                  <c:v>925</c:v>
                </c:pt>
                <c:pt idx="12">
                  <c:v>550</c:v>
                </c:pt>
                <c:pt idx="13">
                  <c:v>425</c:v>
                </c:pt>
                <c:pt idx="14">
                  <c:v>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4-DE49-A6E0-D17066C9A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160016"/>
        <c:axId val="1891162288"/>
      </c:scatterChart>
      <c:valAx>
        <c:axId val="1891160016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891162288"/>
        <c:crosses val="autoZero"/>
        <c:crossBetween val="midCat"/>
        <c:majorUnit val="6"/>
        <c:minorUnit val="6"/>
      </c:valAx>
      <c:valAx>
        <c:axId val="1891162288"/>
        <c:scaling>
          <c:orientation val="minMax"/>
          <c:max val="150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89116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26" Type="http://schemas.openxmlformats.org/officeDocument/2006/relationships/image" Target="../media/image25.png"/><Relationship Id="rId3" Type="http://schemas.openxmlformats.org/officeDocument/2006/relationships/image" Target="../media/image3.png"/><Relationship Id="rId21" Type="http://schemas.openxmlformats.org/officeDocument/2006/relationships/image" Target="../media/image20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16.png"/><Relationship Id="rId25" Type="http://schemas.openxmlformats.org/officeDocument/2006/relationships/image" Target="../media/image24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24" Type="http://schemas.openxmlformats.org/officeDocument/2006/relationships/image" Target="../media/image23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23" Type="http://schemas.openxmlformats.org/officeDocument/2006/relationships/image" Target="../media/image22.png"/><Relationship Id="rId10" Type="http://schemas.openxmlformats.org/officeDocument/2006/relationships/image" Target="../media/image9.png"/><Relationship Id="rId19" Type="http://schemas.openxmlformats.org/officeDocument/2006/relationships/image" Target="../media/image18.png"/><Relationship Id="rId4" Type="http://schemas.openxmlformats.org/officeDocument/2006/relationships/chart" Target="../charts/chart1.xml"/><Relationship Id="rId9" Type="http://schemas.openxmlformats.org/officeDocument/2006/relationships/image" Target="../media/image8.png"/><Relationship Id="rId14" Type="http://schemas.openxmlformats.org/officeDocument/2006/relationships/image" Target="../media/image13.png"/><Relationship Id="rId22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25400</xdr:colOff>
      <xdr:row>4</xdr:row>
      <xdr:rowOff>42333</xdr:rowOff>
    </xdr:from>
    <xdr:to>
      <xdr:col>10</xdr:col>
      <xdr:colOff>301559</xdr:colOff>
      <xdr:row>7</xdr:row>
      <xdr:rowOff>1236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2530DF-3641-4127-28FF-25AC94574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9333" y="855133"/>
          <a:ext cx="4117515" cy="565829"/>
        </a:xfrm>
        <a:prstGeom prst="rect">
          <a:avLst/>
        </a:prstGeom>
      </xdr:spPr>
    </xdr:pic>
    <xdr:clientData/>
  </xdr:twoCellAnchor>
  <xdr:twoCellAnchor editAs="oneCell">
    <xdr:from>
      <xdr:col>5</xdr:col>
      <xdr:colOff>812800</xdr:colOff>
      <xdr:row>7</xdr:row>
      <xdr:rowOff>67733</xdr:rowOff>
    </xdr:from>
    <xdr:to>
      <xdr:col>10</xdr:col>
      <xdr:colOff>188297</xdr:colOff>
      <xdr:row>10</xdr:row>
      <xdr:rowOff>151625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8B1862-48F4-2269-E99B-0965E191C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07000" y="1490133"/>
          <a:ext cx="4156653" cy="693492"/>
        </a:xfrm>
        <a:prstGeom prst="rect">
          <a:avLst/>
        </a:prstGeom>
      </xdr:spPr>
    </xdr:pic>
    <xdr:clientData/>
  </xdr:twoCellAnchor>
  <xdr:twoCellAnchor editAs="oneCell">
    <xdr:from>
      <xdr:col>6</xdr:col>
      <xdr:colOff>8467</xdr:colOff>
      <xdr:row>10</xdr:row>
      <xdr:rowOff>101600</xdr:rowOff>
    </xdr:from>
    <xdr:to>
      <xdr:col>10</xdr:col>
      <xdr:colOff>680045</xdr:colOff>
      <xdr:row>14</xdr:row>
      <xdr:rowOff>48643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2BECD6-5F51-B071-7929-AB54E380B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32400" y="2133600"/>
          <a:ext cx="4492844" cy="759843"/>
        </a:xfrm>
        <a:prstGeom prst="rect">
          <a:avLst/>
        </a:prstGeom>
      </xdr:spPr>
    </xdr:pic>
    <xdr:clientData/>
  </xdr:twoCellAnchor>
  <xdr:twoCellAnchor>
    <xdr:from>
      <xdr:col>2</xdr:col>
      <xdr:colOff>313267</xdr:colOff>
      <xdr:row>35</xdr:row>
      <xdr:rowOff>169334</xdr:rowOff>
    </xdr:from>
    <xdr:to>
      <xdr:col>5</xdr:col>
      <xdr:colOff>660400</xdr:colOff>
      <xdr:row>38</xdr:row>
      <xdr:rowOff>118534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399E638-472A-16DB-2458-B2738A159051}"/>
                </a:ext>
              </a:extLst>
            </xdr:cNvPr>
            <xdr:cNvSpPr txBox="1"/>
          </xdr:nvSpPr>
          <xdr:spPr>
            <a:xfrm>
              <a:off x="1989667" y="7552267"/>
              <a:ext cx="3344333" cy="5588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𝑌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uk-UA" sz="1100" b="0" i="0">
                      <a:latin typeface="Cambria Math" panose="02040503050406030204" pitchFamily="18" charset="0"/>
                    </a:rPr>
                    <m:t>546,6</m:t>
                  </m:r>
                </m:oMath>
              </a14:m>
              <a:r>
                <a:rPr lang="en-GB" sz="1100"/>
                <a:t>+</a:t>
              </a:r>
              <a:r>
                <a:rPr lang="uk-UA" sz="1100"/>
                <a:t>2</a:t>
              </a:r>
              <a:r>
                <a:rPr lang="en-US" sz="1100"/>
                <a:t>6</a:t>
              </a:r>
              <a:r>
                <a:rPr lang="en-GB" sz="1100"/>
                <a:t>.</a:t>
              </a:r>
              <a:r>
                <a:rPr lang="uk-UA" sz="1100"/>
                <a:t>413</a:t>
              </a:r>
              <a:r>
                <a:rPr lang="en-GB" sz="1100"/>
                <a:t>(X-</a:t>
              </a:r>
              <a:r>
                <a:rPr lang="uk-UA" sz="1100"/>
                <a:t>29.187</a:t>
              </a:r>
              <a:r>
                <a:rPr lang="en-GB" sz="1100"/>
                <a:t>)</a:t>
              </a:r>
            </a:p>
            <a:p>
              <a:pPr algn="ctr"/>
              <a:r>
                <a:rPr lang="uk-UA" sz="1100"/>
                <a:t>пояснення де взялись числа</a:t>
              </a:r>
              <a:r>
                <a:rPr lang="uk-UA" sz="1100" baseline="0"/>
                <a:t> -</a:t>
              </a:r>
              <a:r>
                <a:rPr lang="en-US" sz="1100" baseline="0"/>
                <a:t>&gt; </a:t>
              </a:r>
              <a:r>
                <a:rPr lang="uk-UA" sz="1100"/>
                <a:t>(</a:t>
              </a:r>
              <a:r>
                <a:rPr lang="en-GB" sz="1100"/>
                <a:t>Y = D30</a:t>
              </a:r>
              <a:r>
                <a:rPr lang="en-GB" sz="1100" baseline="0"/>
                <a:t> + H29(X-D29)</a:t>
              </a:r>
              <a:r>
                <a:rPr lang="uk-UA" sz="1100" baseline="0"/>
                <a:t>)</a:t>
              </a:r>
              <a:endParaRPr lang="en-GB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399E638-472A-16DB-2458-B2738A159051}"/>
                </a:ext>
              </a:extLst>
            </xdr:cNvPr>
            <xdr:cNvSpPr txBox="1"/>
          </xdr:nvSpPr>
          <xdr:spPr>
            <a:xfrm>
              <a:off x="1989667" y="7552267"/>
              <a:ext cx="3344333" cy="5588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𝑌=</a:t>
              </a:r>
              <a:r>
                <a:rPr lang="uk-UA" sz="1100" b="0" i="0">
                  <a:latin typeface="Cambria Math" panose="02040503050406030204" pitchFamily="18" charset="0"/>
                </a:rPr>
                <a:t>546,6</a:t>
              </a:r>
              <a:r>
                <a:rPr lang="en-GB" sz="1100"/>
                <a:t>+</a:t>
              </a:r>
              <a:r>
                <a:rPr lang="uk-UA" sz="1100"/>
                <a:t>2</a:t>
              </a:r>
              <a:r>
                <a:rPr lang="en-US" sz="1100"/>
                <a:t>6</a:t>
              </a:r>
              <a:r>
                <a:rPr lang="en-GB" sz="1100"/>
                <a:t>.</a:t>
              </a:r>
              <a:r>
                <a:rPr lang="uk-UA" sz="1100"/>
                <a:t>413</a:t>
              </a:r>
              <a:r>
                <a:rPr lang="en-GB" sz="1100"/>
                <a:t>(X-</a:t>
              </a:r>
              <a:r>
                <a:rPr lang="uk-UA" sz="1100"/>
                <a:t>29.187</a:t>
              </a:r>
              <a:r>
                <a:rPr lang="en-GB" sz="1100"/>
                <a:t>)</a:t>
              </a:r>
            </a:p>
            <a:p>
              <a:pPr algn="ctr"/>
              <a:r>
                <a:rPr lang="uk-UA" sz="1100"/>
                <a:t>пояснення де взялись числа</a:t>
              </a:r>
              <a:r>
                <a:rPr lang="uk-UA" sz="1100" baseline="0"/>
                <a:t> -</a:t>
              </a:r>
              <a:r>
                <a:rPr lang="en-US" sz="1100" baseline="0"/>
                <a:t>&gt; </a:t>
              </a:r>
              <a:r>
                <a:rPr lang="uk-UA" sz="1100"/>
                <a:t>(</a:t>
              </a:r>
              <a:r>
                <a:rPr lang="en-GB" sz="1100"/>
                <a:t>Y = D30</a:t>
              </a:r>
              <a:r>
                <a:rPr lang="en-GB" sz="1100" baseline="0"/>
                <a:t> + H29(X-D29)</a:t>
              </a:r>
              <a:r>
                <a:rPr lang="uk-UA" sz="1100" baseline="0"/>
                <a:t>)</a:t>
              </a:r>
              <a:endParaRPr lang="en-GB" sz="1100"/>
            </a:p>
          </xdr:txBody>
        </xdr:sp>
      </mc:Fallback>
    </mc:AlternateContent>
    <xdr:clientData/>
  </xdr:twoCellAnchor>
  <xdr:twoCellAnchor>
    <xdr:from>
      <xdr:col>1</xdr:col>
      <xdr:colOff>801493</xdr:colOff>
      <xdr:row>44</xdr:row>
      <xdr:rowOff>39603</xdr:rowOff>
    </xdr:from>
    <xdr:to>
      <xdr:col>6</xdr:col>
      <xdr:colOff>726987</xdr:colOff>
      <xdr:row>58</xdr:row>
      <xdr:rowOff>104863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F4CA5D-ADDB-0210-9F90-30AAD4ECB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0</xdr:colOff>
      <xdr:row>64</xdr:row>
      <xdr:rowOff>205946</xdr:rowOff>
    </xdr:from>
    <xdr:to>
      <xdr:col>7</xdr:col>
      <xdr:colOff>709308</xdr:colOff>
      <xdr:row>66</xdr:row>
      <xdr:rowOff>78602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A97CA57-04B4-A6F0-351A-3C5894F65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75027" y="13647351"/>
          <a:ext cx="5930900" cy="723900"/>
        </a:xfrm>
        <a:prstGeom prst="rect">
          <a:avLst/>
        </a:prstGeom>
      </xdr:spPr>
    </xdr:pic>
    <xdr:clientData/>
  </xdr:twoCellAnchor>
  <xdr:twoCellAnchor editAs="oneCell">
    <xdr:from>
      <xdr:col>10</xdr:col>
      <xdr:colOff>219676</xdr:colOff>
      <xdr:row>69</xdr:row>
      <xdr:rowOff>61784</xdr:rowOff>
    </xdr:from>
    <xdr:to>
      <xdr:col>14</xdr:col>
      <xdr:colOff>770843</xdr:colOff>
      <xdr:row>78</xdr:row>
      <xdr:rowOff>52173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930D8DA-16A7-B2F4-58D2-F2D325138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05784" y="14972270"/>
          <a:ext cx="4072439" cy="1839784"/>
        </a:xfrm>
        <a:prstGeom prst="rect">
          <a:avLst/>
        </a:prstGeom>
      </xdr:spPr>
    </xdr:pic>
    <xdr:clientData/>
  </xdr:twoCellAnchor>
  <xdr:twoCellAnchor editAs="oneCell">
    <xdr:from>
      <xdr:col>10</xdr:col>
      <xdr:colOff>151027</xdr:colOff>
      <xdr:row>61</xdr:row>
      <xdr:rowOff>178487</xdr:rowOff>
    </xdr:from>
    <xdr:to>
      <xdr:col>14</xdr:col>
      <xdr:colOff>692551</xdr:colOff>
      <xdr:row>69</xdr:row>
      <xdr:rowOff>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6630CE6-757D-180F-DC95-A823C4E85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37135" y="13002055"/>
          <a:ext cx="4062796" cy="190843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7</xdr:col>
      <xdr:colOff>648975</xdr:colOff>
      <xdr:row>79</xdr:row>
      <xdr:rowOff>77916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8DAAC9B-D4BB-E2E9-2F97-66773A7BA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75027" y="16297189"/>
          <a:ext cx="5867400" cy="9017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90</xdr:row>
      <xdr:rowOff>184727</xdr:rowOff>
    </xdr:from>
    <xdr:to>
      <xdr:col>10</xdr:col>
      <xdr:colOff>44843</xdr:colOff>
      <xdr:row>97</xdr:row>
      <xdr:rowOff>162406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BEA1214-545C-D5E2-EAB8-0C5E80C05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772727" y="19219333"/>
          <a:ext cx="3866957" cy="1532467"/>
        </a:xfrm>
        <a:prstGeom prst="rect">
          <a:avLst/>
        </a:prstGeom>
      </xdr:spPr>
    </xdr:pic>
    <xdr:clientData/>
  </xdr:twoCellAnchor>
  <xdr:twoCellAnchor editAs="oneCell">
    <xdr:from>
      <xdr:col>10</xdr:col>
      <xdr:colOff>143387</xdr:colOff>
      <xdr:row>97</xdr:row>
      <xdr:rowOff>102420</xdr:rowOff>
    </xdr:from>
    <xdr:to>
      <xdr:col>15</xdr:col>
      <xdr:colOff>409885</xdr:colOff>
      <xdr:row>109</xdr:row>
      <xdr:rowOff>102420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2D79C61-043B-EEC6-D6A0-FE36FF603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340645" y="21118872"/>
          <a:ext cx="4587391" cy="2458064"/>
        </a:xfrm>
        <a:prstGeom prst="rect">
          <a:avLst/>
        </a:prstGeom>
      </xdr:spPr>
    </xdr:pic>
    <xdr:clientData/>
  </xdr:twoCellAnchor>
  <xdr:twoCellAnchor editAs="oneCell">
    <xdr:from>
      <xdr:col>10</xdr:col>
      <xdr:colOff>184355</xdr:colOff>
      <xdr:row>88</xdr:row>
      <xdr:rowOff>40967</xdr:rowOff>
    </xdr:from>
    <xdr:to>
      <xdr:col>15</xdr:col>
      <xdr:colOff>247012</xdr:colOff>
      <xdr:row>98</xdr:row>
      <xdr:rowOff>40968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C9838EC-A6B4-F524-DC0D-0107EF910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381613" y="19070483"/>
          <a:ext cx="4383550" cy="2191775"/>
        </a:xfrm>
        <a:prstGeom prst="rect">
          <a:avLst/>
        </a:prstGeom>
      </xdr:spPr>
    </xdr:pic>
    <xdr:clientData/>
  </xdr:twoCellAnchor>
  <xdr:twoCellAnchor editAs="oneCell">
    <xdr:from>
      <xdr:col>16</xdr:col>
      <xdr:colOff>214605</xdr:colOff>
      <xdr:row>87</xdr:row>
      <xdr:rowOff>38101</xdr:rowOff>
    </xdr:from>
    <xdr:to>
      <xdr:col>21</xdr:col>
      <xdr:colOff>448525</xdr:colOff>
      <xdr:row>98</xdr:row>
      <xdr:rowOff>76201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EF786CB-1C73-0CF5-D09E-768E4B747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362405" y="18732501"/>
          <a:ext cx="4361422" cy="2425700"/>
        </a:xfrm>
        <a:prstGeom prst="rect">
          <a:avLst/>
        </a:prstGeom>
      </xdr:spPr>
    </xdr:pic>
    <xdr:clientData/>
  </xdr:twoCellAnchor>
  <xdr:twoCellAnchor editAs="oneCell">
    <xdr:from>
      <xdr:col>16</xdr:col>
      <xdr:colOff>201905</xdr:colOff>
      <xdr:row>97</xdr:row>
      <xdr:rowOff>177801</xdr:rowOff>
    </xdr:from>
    <xdr:to>
      <xdr:col>22</xdr:col>
      <xdr:colOff>50800</xdr:colOff>
      <xdr:row>113</xdr:row>
      <xdr:rowOff>109492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4CC2D27-825F-9909-4C67-6854C1C1E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349705" y="21056601"/>
          <a:ext cx="4801895" cy="31828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6</xdr:col>
      <xdr:colOff>151549</xdr:colOff>
      <xdr:row>126</xdr:row>
      <xdr:rowOff>158749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A81AE2C-3F68-40C2-2C34-27066431F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39107" y="22168304"/>
          <a:ext cx="5281147" cy="1179285"/>
        </a:xfrm>
        <a:prstGeom prst="rect">
          <a:avLst/>
        </a:prstGeom>
      </xdr:spPr>
    </xdr:pic>
    <xdr:clientData/>
  </xdr:twoCellAnchor>
  <xdr:twoCellAnchor editAs="oneCell">
    <xdr:from>
      <xdr:col>4</xdr:col>
      <xdr:colOff>321733</xdr:colOff>
      <xdr:row>150</xdr:row>
      <xdr:rowOff>33867</xdr:rowOff>
    </xdr:from>
    <xdr:to>
      <xdr:col>8</xdr:col>
      <xdr:colOff>62737</xdr:colOff>
      <xdr:row>156</xdr:row>
      <xdr:rowOff>134181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C80BB98-46B5-AB78-6A9B-50E46ED95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157133" y="31690734"/>
          <a:ext cx="3860800" cy="1319514"/>
        </a:xfrm>
        <a:prstGeom prst="rect">
          <a:avLst/>
        </a:prstGeom>
      </xdr:spPr>
    </xdr:pic>
    <xdr:clientData/>
  </xdr:twoCellAnchor>
  <xdr:twoCellAnchor editAs="oneCell">
    <xdr:from>
      <xdr:col>14</xdr:col>
      <xdr:colOff>370719</xdr:colOff>
      <xdr:row>149</xdr:row>
      <xdr:rowOff>12645</xdr:rowOff>
    </xdr:from>
    <xdr:to>
      <xdr:col>17</xdr:col>
      <xdr:colOff>778828</xdr:colOff>
      <xdr:row>153</xdr:row>
      <xdr:rowOff>146106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74678958-501A-684D-B73B-C222195A0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317976" y="31335565"/>
          <a:ext cx="2869437" cy="942665"/>
        </a:xfrm>
        <a:prstGeom prst="rect">
          <a:avLst/>
        </a:prstGeom>
      </xdr:spPr>
    </xdr:pic>
    <xdr:clientData/>
  </xdr:twoCellAnchor>
  <xdr:twoCellAnchor editAs="oneCell">
    <xdr:from>
      <xdr:col>19</xdr:col>
      <xdr:colOff>820442</xdr:colOff>
      <xdr:row>150</xdr:row>
      <xdr:rowOff>56045</xdr:rowOff>
    </xdr:from>
    <xdr:to>
      <xdr:col>25</xdr:col>
      <xdr:colOff>50686</xdr:colOff>
      <xdr:row>153</xdr:row>
      <xdr:rowOff>109542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1425738-AF40-678E-132E-C75B4B554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007775" y="31704445"/>
          <a:ext cx="4208645" cy="663097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150</xdr:row>
      <xdr:rowOff>0</xdr:rowOff>
    </xdr:from>
    <xdr:to>
      <xdr:col>33</xdr:col>
      <xdr:colOff>619760</xdr:colOff>
      <xdr:row>152</xdr:row>
      <xdr:rowOff>177800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D0775A9-133F-B7F0-B88A-A57DC1DC5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5318720" y="31658560"/>
          <a:ext cx="3911600" cy="584200"/>
        </a:xfrm>
        <a:prstGeom prst="rect">
          <a:avLst/>
        </a:prstGeom>
      </xdr:spPr>
    </xdr:pic>
    <xdr:clientData/>
  </xdr:twoCellAnchor>
  <xdr:twoCellAnchor editAs="oneCell">
    <xdr:from>
      <xdr:col>2</xdr:col>
      <xdr:colOff>750455</xdr:colOff>
      <xdr:row>168</xdr:row>
      <xdr:rowOff>19243</xdr:rowOff>
    </xdr:from>
    <xdr:to>
      <xdr:col>4</xdr:col>
      <xdr:colOff>631537</xdr:colOff>
      <xdr:row>169</xdr:row>
      <xdr:rowOff>7697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42F7338-D557-7B25-6AE1-73B39A716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424546" y="35136667"/>
          <a:ext cx="2070100" cy="190500"/>
        </a:xfrm>
        <a:prstGeom prst="rect">
          <a:avLst/>
        </a:prstGeom>
      </xdr:spPr>
    </xdr:pic>
    <xdr:clientData/>
  </xdr:twoCellAnchor>
  <xdr:twoCellAnchor editAs="oneCell">
    <xdr:from>
      <xdr:col>6</xdr:col>
      <xdr:colOff>933257</xdr:colOff>
      <xdr:row>167</xdr:row>
      <xdr:rowOff>96212</xdr:rowOff>
    </xdr:from>
    <xdr:to>
      <xdr:col>12</xdr:col>
      <xdr:colOff>362585</xdr:colOff>
      <xdr:row>174</xdr:row>
      <xdr:rowOff>104294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81DF642-ABE9-794E-B948-003E9E9C9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705984" y="35011591"/>
          <a:ext cx="4914900" cy="142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183</xdr:row>
      <xdr:rowOff>25400</xdr:rowOff>
    </xdr:from>
    <xdr:to>
      <xdr:col>4</xdr:col>
      <xdr:colOff>842433</xdr:colOff>
      <xdr:row>187</xdr:row>
      <xdr:rowOff>38100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8283DF7-1407-1DE2-3568-F7D012C1E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50900" y="38379400"/>
          <a:ext cx="3860800" cy="825500"/>
        </a:xfrm>
        <a:prstGeom prst="rect">
          <a:avLst/>
        </a:prstGeom>
      </xdr:spPr>
    </xdr:pic>
    <xdr:clientData/>
  </xdr:twoCellAnchor>
  <xdr:twoCellAnchor editAs="oneCell">
    <xdr:from>
      <xdr:col>4</xdr:col>
      <xdr:colOff>31358</xdr:colOff>
      <xdr:row>198</xdr:row>
      <xdr:rowOff>141111</xdr:rowOff>
    </xdr:from>
    <xdr:to>
      <xdr:col>8</xdr:col>
      <xdr:colOff>106639</xdr:colOff>
      <xdr:row>203</xdr:row>
      <xdr:rowOff>10976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B5DA600F-E7E3-53CC-D646-8F4D02BE2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872716" y="41659136"/>
          <a:ext cx="4191000" cy="889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218</xdr:row>
      <xdr:rowOff>0</xdr:rowOff>
    </xdr:from>
    <xdr:to>
      <xdr:col>10</xdr:col>
      <xdr:colOff>552393</xdr:colOff>
      <xdr:row>223</xdr:row>
      <xdr:rowOff>88900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B690852-5186-18F3-AECB-5923FC2B5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968240" y="45476160"/>
          <a:ext cx="5308600" cy="11049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236</xdr:row>
      <xdr:rowOff>0</xdr:rowOff>
    </xdr:from>
    <xdr:to>
      <xdr:col>9</xdr:col>
      <xdr:colOff>361046</xdr:colOff>
      <xdr:row>242</xdr:row>
      <xdr:rowOff>5840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E1D138AE-7D96-8615-9CA3-8C7BE5ACF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978400" y="49123600"/>
          <a:ext cx="4318000" cy="1219200"/>
        </a:xfrm>
        <a:prstGeom prst="rect">
          <a:avLst/>
        </a:prstGeom>
      </xdr:spPr>
    </xdr:pic>
    <xdr:clientData/>
  </xdr:twoCellAnchor>
  <xdr:twoCellAnchor editAs="oneCell">
    <xdr:from>
      <xdr:col>1</xdr:col>
      <xdr:colOff>58728</xdr:colOff>
      <xdr:row>251</xdr:row>
      <xdr:rowOff>110116</xdr:rowOff>
    </xdr:from>
    <xdr:to>
      <xdr:col>3</xdr:col>
      <xdr:colOff>743379</xdr:colOff>
      <xdr:row>256</xdr:row>
      <xdr:rowOff>60271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473DBA0-FAC2-2F18-2EAB-29963B742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895607" y="52862833"/>
          <a:ext cx="2654300" cy="977900"/>
        </a:xfrm>
        <a:prstGeom prst="rect">
          <a:avLst/>
        </a:prstGeom>
      </xdr:spPr>
    </xdr:pic>
    <xdr:clientData/>
  </xdr:twoCellAnchor>
  <xdr:twoCellAnchor editAs="oneCell">
    <xdr:from>
      <xdr:col>3</xdr:col>
      <xdr:colOff>660695</xdr:colOff>
      <xdr:row>251</xdr:row>
      <xdr:rowOff>51387</xdr:rowOff>
    </xdr:from>
    <xdr:to>
      <xdr:col>6</xdr:col>
      <xdr:colOff>321639</xdr:colOff>
      <xdr:row>256</xdr:row>
      <xdr:rowOff>36706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3ED3CDE-465A-E931-74BC-58B7E2D2A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450290" y="52804104"/>
          <a:ext cx="2798804" cy="1013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784C7-C0FA-B148-B93B-A17B4C88D056}">
  <dimension ref="A1:AK259"/>
  <sheetViews>
    <sheetView tabSelected="1" topLeftCell="A6" zoomScale="114" zoomScaleNormal="234" workbookViewId="0">
      <selection activeCell="E23" sqref="E23"/>
    </sheetView>
  </sheetViews>
  <sheetFormatPr baseColWidth="10" defaultRowHeight="16" x14ac:dyDescent="0.2"/>
  <cols>
    <col min="1" max="2" width="11" bestFit="1" customWidth="1"/>
    <col min="3" max="3" width="14.83203125" bestFit="1" customWidth="1"/>
    <col min="4" max="4" width="13.83203125" bestFit="1" customWidth="1"/>
    <col min="5" max="5" width="15" bestFit="1" customWidth="1"/>
    <col min="6" max="6" width="12.33203125" bestFit="1" customWidth="1"/>
    <col min="7" max="7" width="12.33203125" customWidth="1"/>
    <col min="8" max="8" width="14.33203125" bestFit="1" customWidth="1"/>
    <col min="9" max="9" width="12.83203125" bestFit="1" customWidth="1"/>
    <col min="13" max="13" width="13.6640625" bestFit="1" customWidth="1"/>
  </cols>
  <sheetData>
    <row r="1" spans="1:11" x14ac:dyDescent="0.2">
      <c r="A1" s="1" t="s">
        <v>1</v>
      </c>
      <c r="B1" s="1" t="s">
        <v>2</v>
      </c>
      <c r="C1" s="1" t="s">
        <v>4</v>
      </c>
      <c r="D1" s="1" t="s">
        <v>5</v>
      </c>
      <c r="E1" s="1" t="s">
        <v>6</v>
      </c>
      <c r="G1" t="s">
        <v>0</v>
      </c>
    </row>
    <row r="2" spans="1:11" x14ac:dyDescent="0.2">
      <c r="A2" s="94">
        <v>690</v>
      </c>
      <c r="B2" s="92">
        <v>44.5</v>
      </c>
      <c r="C2" s="3">
        <f>B2^2</f>
        <v>1980.25</v>
      </c>
      <c r="D2" s="3">
        <f>A2^2</f>
        <v>476100</v>
      </c>
      <c r="E2" s="7">
        <f>A2*B2</f>
        <v>30705</v>
      </c>
    </row>
    <row r="3" spans="1:11" x14ac:dyDescent="0.2">
      <c r="A3" s="94">
        <v>640</v>
      </c>
      <c r="B3" s="93">
        <v>29.8</v>
      </c>
      <c r="C3" s="3">
        <f t="shared" ref="C3:C16" si="0">B3^2</f>
        <v>888.04000000000008</v>
      </c>
      <c r="D3" s="3">
        <f t="shared" ref="D3:D16" si="1">A3^2</f>
        <v>409600</v>
      </c>
      <c r="E3" s="7">
        <f t="shared" ref="E3:E16" si="2">A3*B3</f>
        <v>19072</v>
      </c>
      <c r="G3" s="102"/>
      <c r="H3" s="102"/>
      <c r="I3" s="102"/>
      <c r="J3" s="102"/>
      <c r="K3" s="102"/>
    </row>
    <row r="4" spans="1:11" x14ac:dyDescent="0.2">
      <c r="A4" s="94">
        <v>210</v>
      </c>
      <c r="B4" s="93">
        <v>18.8</v>
      </c>
      <c r="C4" s="3">
        <f t="shared" si="0"/>
        <v>353.44000000000005</v>
      </c>
      <c r="D4" s="3">
        <f t="shared" si="1"/>
        <v>44100</v>
      </c>
      <c r="E4" s="7">
        <f t="shared" si="2"/>
        <v>3948</v>
      </c>
    </row>
    <row r="5" spans="1:11" x14ac:dyDescent="0.2">
      <c r="A5" s="94">
        <v>1200</v>
      </c>
      <c r="B5" s="93">
        <v>50.5</v>
      </c>
      <c r="C5" s="3">
        <f t="shared" si="0"/>
        <v>2550.25</v>
      </c>
      <c r="D5" s="3">
        <f t="shared" si="1"/>
        <v>1440000</v>
      </c>
      <c r="E5" s="7">
        <f t="shared" si="2"/>
        <v>60600</v>
      </c>
    </row>
    <row r="6" spans="1:11" x14ac:dyDescent="0.2">
      <c r="A6" s="94">
        <v>140</v>
      </c>
      <c r="B6" s="93">
        <v>19.100000000000001</v>
      </c>
      <c r="C6" s="3">
        <f t="shared" si="0"/>
        <v>364.81000000000006</v>
      </c>
      <c r="D6" s="3">
        <f t="shared" si="1"/>
        <v>19600</v>
      </c>
      <c r="E6" s="7">
        <f t="shared" si="2"/>
        <v>2674</v>
      </c>
    </row>
    <row r="7" spans="1:11" x14ac:dyDescent="0.2">
      <c r="A7" s="94">
        <v>396</v>
      </c>
      <c r="B7" s="93">
        <v>31.4</v>
      </c>
      <c r="C7" s="3">
        <f t="shared" si="0"/>
        <v>985.95999999999992</v>
      </c>
      <c r="D7" s="3">
        <f t="shared" si="1"/>
        <v>156816</v>
      </c>
      <c r="E7" s="7">
        <f t="shared" si="2"/>
        <v>12434.4</v>
      </c>
    </row>
    <row r="8" spans="1:11" x14ac:dyDescent="0.2">
      <c r="A8" s="94">
        <v>470</v>
      </c>
      <c r="B8" s="93">
        <v>21.8</v>
      </c>
      <c r="C8" s="3">
        <f t="shared" si="0"/>
        <v>475.24</v>
      </c>
      <c r="D8" s="3">
        <f t="shared" si="1"/>
        <v>220900</v>
      </c>
      <c r="E8" s="7">
        <f t="shared" si="2"/>
        <v>10246</v>
      </c>
    </row>
    <row r="9" spans="1:11" x14ac:dyDescent="0.2">
      <c r="A9" s="94">
        <v>120</v>
      </c>
      <c r="B9" s="93">
        <v>18.100000000000001</v>
      </c>
      <c r="C9" s="3">
        <f t="shared" si="0"/>
        <v>327.61000000000007</v>
      </c>
      <c r="D9" s="3">
        <f t="shared" si="1"/>
        <v>14400</v>
      </c>
      <c r="E9" s="7">
        <f t="shared" si="2"/>
        <v>2172</v>
      </c>
    </row>
    <row r="10" spans="1:11" x14ac:dyDescent="0.2">
      <c r="A10" s="94">
        <v>320</v>
      </c>
      <c r="B10" s="93">
        <v>16.8</v>
      </c>
      <c r="C10" s="3">
        <f t="shared" si="0"/>
        <v>282.24</v>
      </c>
      <c r="D10" s="3">
        <f t="shared" si="1"/>
        <v>102400</v>
      </c>
      <c r="E10" s="7">
        <f t="shared" si="2"/>
        <v>5376</v>
      </c>
    </row>
    <row r="11" spans="1:11" x14ac:dyDescent="0.2">
      <c r="A11" s="94">
        <v>740</v>
      </c>
      <c r="B11" s="93">
        <v>37.1</v>
      </c>
      <c r="C11" s="3">
        <f t="shared" si="0"/>
        <v>1376.41</v>
      </c>
      <c r="D11" s="3">
        <f t="shared" si="1"/>
        <v>547600</v>
      </c>
      <c r="E11" s="7">
        <f t="shared" si="2"/>
        <v>27454</v>
      </c>
    </row>
    <row r="12" spans="1:11" x14ac:dyDescent="0.2">
      <c r="A12" s="94">
        <v>423</v>
      </c>
      <c r="B12" s="93">
        <v>22.5</v>
      </c>
      <c r="C12" s="4">
        <f t="shared" si="0"/>
        <v>506.25</v>
      </c>
      <c r="D12" s="4">
        <f t="shared" si="1"/>
        <v>178929</v>
      </c>
      <c r="E12" s="4">
        <f t="shared" si="2"/>
        <v>9517.5</v>
      </c>
    </row>
    <row r="13" spans="1:11" x14ac:dyDescent="0.2">
      <c r="A13" s="94">
        <v>925</v>
      </c>
      <c r="B13" s="93">
        <v>40.6</v>
      </c>
      <c r="C13" s="4">
        <f t="shared" si="0"/>
        <v>1648.3600000000001</v>
      </c>
      <c r="D13" s="4">
        <f t="shared" si="1"/>
        <v>855625</v>
      </c>
      <c r="E13" s="4">
        <f t="shared" si="2"/>
        <v>37555</v>
      </c>
    </row>
    <row r="14" spans="1:11" x14ac:dyDescent="0.2">
      <c r="A14" s="94">
        <v>550</v>
      </c>
      <c r="B14" s="93">
        <v>26.4</v>
      </c>
      <c r="C14" s="4">
        <f t="shared" si="0"/>
        <v>696.95999999999992</v>
      </c>
      <c r="D14" s="4">
        <f t="shared" si="1"/>
        <v>302500</v>
      </c>
      <c r="E14" s="4">
        <f t="shared" si="2"/>
        <v>14520</v>
      </c>
    </row>
    <row r="15" spans="1:11" x14ac:dyDescent="0.2">
      <c r="A15" s="94">
        <v>425</v>
      </c>
      <c r="B15" s="93">
        <v>21.7</v>
      </c>
      <c r="C15" s="4">
        <f t="shared" si="0"/>
        <v>470.89</v>
      </c>
      <c r="D15" s="4">
        <f t="shared" si="1"/>
        <v>180625</v>
      </c>
      <c r="E15" s="4">
        <f t="shared" si="2"/>
        <v>9222.5</v>
      </c>
    </row>
    <row r="16" spans="1:11" x14ac:dyDescent="0.2">
      <c r="A16" s="94">
        <v>950</v>
      </c>
      <c r="B16" s="93">
        <v>38.700000000000003</v>
      </c>
      <c r="C16" s="4">
        <f t="shared" si="0"/>
        <v>1497.6900000000003</v>
      </c>
      <c r="D16" s="4">
        <f t="shared" si="1"/>
        <v>902500</v>
      </c>
      <c r="E16" s="4">
        <f t="shared" si="2"/>
        <v>36765</v>
      </c>
    </row>
    <row r="17" spans="1:9" ht="19" x14ac:dyDescent="0.25">
      <c r="A17" s="5">
        <f>SUM(A2:A16)</f>
        <v>8199</v>
      </c>
      <c r="B17" s="8">
        <f t="shared" ref="B17:D17" si="3">SUM(B2:B16)</f>
        <v>437.8</v>
      </c>
      <c r="C17" s="5">
        <f t="shared" si="3"/>
        <v>14404.4</v>
      </c>
      <c r="D17" s="5">
        <f t="shared" si="3"/>
        <v>5851695</v>
      </c>
      <c r="E17" s="6">
        <f>SUM(E2:E16)</f>
        <v>282261.40000000002</v>
      </c>
      <c r="F17" t="s">
        <v>7</v>
      </c>
    </row>
    <row r="26" spans="1:9" x14ac:dyDescent="0.2">
      <c r="A26" s="104" t="s">
        <v>3</v>
      </c>
      <c r="B26" s="105"/>
      <c r="C26" s="105"/>
      <c r="D26" s="105"/>
      <c r="E26" s="105"/>
      <c r="F26" s="105"/>
      <c r="G26" s="105"/>
      <c r="H26" s="16"/>
      <c r="I26" s="17"/>
    </row>
    <row r="27" spans="1:9" ht="34" x14ac:dyDescent="0.2">
      <c r="A27" s="18"/>
      <c r="C27" s="10" t="s">
        <v>16</v>
      </c>
      <c r="D27" s="11" t="s">
        <v>13</v>
      </c>
      <c r="E27" s="11" t="s">
        <v>10</v>
      </c>
      <c r="I27" s="19"/>
    </row>
    <row r="28" spans="1:9" x14ac:dyDescent="0.2">
      <c r="A28" s="18"/>
      <c r="C28" s="11" t="s">
        <v>8</v>
      </c>
      <c r="D28" s="12">
        <f>COUNT(A2:A16)</f>
        <v>15</v>
      </c>
      <c r="E28" s="12"/>
      <c r="G28" s="14" t="s">
        <v>17</v>
      </c>
      <c r="H28" s="110">
        <f>D30</f>
        <v>546.6</v>
      </c>
      <c r="I28" s="19"/>
    </row>
    <row r="29" spans="1:9" x14ac:dyDescent="0.2">
      <c r="A29" s="18"/>
      <c r="C29" s="11" t="s">
        <v>9</v>
      </c>
      <c r="D29" s="9">
        <f>B17/D28</f>
        <v>29.186666666666667</v>
      </c>
      <c r="E29" s="9">
        <f>AVERAGE(B2:B16)</f>
        <v>29.186666666666667</v>
      </c>
      <c r="G29" s="14" t="s">
        <v>31</v>
      </c>
      <c r="H29" s="15">
        <f>D33/D31</f>
        <v>26.412861169086916</v>
      </c>
      <c r="I29" s="19"/>
    </row>
    <row r="30" spans="1:9" x14ac:dyDescent="0.2">
      <c r="A30" s="18"/>
      <c r="C30" s="11" t="s">
        <v>11</v>
      </c>
      <c r="D30" s="109">
        <f>A17/D28</f>
        <v>546.6</v>
      </c>
      <c r="E30" s="9"/>
      <c r="G30" s="14" t="s">
        <v>18</v>
      </c>
      <c r="H30" s="15">
        <f>D34/(D28-2)</f>
        <v>18109.784400378372</v>
      </c>
      <c r="I30" s="19"/>
    </row>
    <row r="31" spans="1:9" x14ac:dyDescent="0.2">
      <c r="A31" s="18"/>
      <c r="C31" s="11" t="s">
        <v>12</v>
      </c>
      <c r="D31" s="9">
        <f>C17-D28*D29^2</f>
        <v>1626.4773333333324</v>
      </c>
      <c r="E31" s="9">
        <f>SUMSQ(B2:B16)-D28*D29^2</f>
        <v>1626.4773333333324</v>
      </c>
      <c r="I31" s="19"/>
    </row>
    <row r="32" spans="1:9" x14ac:dyDescent="0.2">
      <c r="A32" s="18"/>
      <c r="C32" s="11" t="s">
        <v>14</v>
      </c>
      <c r="D32" s="109">
        <f>D17-D28*D30^2</f>
        <v>1370121.5999999996</v>
      </c>
      <c r="E32" s="9"/>
      <c r="I32" s="19"/>
    </row>
    <row r="33" spans="1:14" x14ac:dyDescent="0.2">
      <c r="A33" s="18"/>
      <c r="C33" s="11" t="s">
        <v>76</v>
      </c>
      <c r="D33" s="108">
        <f>E17-D28*D29*D30</f>
        <v>42959.920000000013</v>
      </c>
      <c r="E33" s="108">
        <f>SUMPRODUCT(B2:B16,A2:A16)-D28*D29*D30</f>
        <v>42959.920000000013</v>
      </c>
      <c r="I33" s="19"/>
    </row>
    <row r="34" spans="1:14" x14ac:dyDescent="0.2">
      <c r="A34" s="18"/>
      <c r="C34" s="11" t="s">
        <v>15</v>
      </c>
      <c r="D34" s="9">
        <f>D32-D33^2/D31</f>
        <v>235427.19720491883</v>
      </c>
      <c r="E34" s="9"/>
      <c r="I34" s="19"/>
    </row>
    <row r="35" spans="1:14" x14ac:dyDescent="0.2">
      <c r="A35" s="18"/>
      <c r="I35" s="19"/>
    </row>
    <row r="36" spans="1:14" x14ac:dyDescent="0.2">
      <c r="A36" s="18"/>
      <c r="C36" s="45"/>
      <c r="D36" s="45"/>
      <c r="E36" s="45"/>
      <c r="F36" s="45"/>
      <c r="I36" s="19"/>
    </row>
    <row r="37" spans="1:14" x14ac:dyDescent="0.2">
      <c r="A37" s="18"/>
      <c r="C37" s="45"/>
      <c r="D37" s="45"/>
      <c r="E37" s="45"/>
      <c r="F37" s="45"/>
      <c r="I37" s="19"/>
    </row>
    <row r="38" spans="1:14" x14ac:dyDescent="0.2">
      <c r="A38" s="18"/>
      <c r="C38" s="45"/>
      <c r="D38" s="45"/>
      <c r="E38" s="45"/>
      <c r="F38" s="45"/>
      <c r="I38" s="19"/>
    </row>
    <row r="39" spans="1:14" x14ac:dyDescent="0.2">
      <c r="A39" s="18"/>
      <c r="C39" s="45"/>
      <c r="D39" s="45"/>
      <c r="E39" s="45"/>
      <c r="F39" s="45"/>
      <c r="I39" s="19"/>
    </row>
    <row r="40" spans="1:14" x14ac:dyDescent="0.2">
      <c r="A40" s="20"/>
      <c r="B40" s="21"/>
      <c r="C40" s="21"/>
      <c r="D40" s="21"/>
      <c r="E40" s="21"/>
      <c r="F40" s="21"/>
      <c r="G40" s="21"/>
      <c r="H40" s="21"/>
      <c r="I40" s="22"/>
    </row>
    <row r="43" spans="1:14" x14ac:dyDescent="0.2">
      <c r="A43" s="104" t="s">
        <v>19</v>
      </c>
      <c r="B43" s="105"/>
      <c r="C43" s="105"/>
      <c r="D43" s="105"/>
      <c r="E43" s="105"/>
      <c r="F43" s="105"/>
      <c r="G43" s="105"/>
      <c r="H43" s="105"/>
      <c r="I43" s="105"/>
      <c r="J43" s="16"/>
      <c r="K43" s="16"/>
      <c r="L43" s="16"/>
      <c r="M43" s="16"/>
      <c r="N43" s="17"/>
    </row>
    <row r="44" spans="1:14" x14ac:dyDescent="0.2">
      <c r="A44" s="18"/>
      <c r="N44" s="19"/>
    </row>
    <row r="45" spans="1:14" x14ac:dyDescent="0.2">
      <c r="A45" s="18"/>
      <c r="N45" s="19"/>
    </row>
    <row r="46" spans="1:14" x14ac:dyDescent="0.2">
      <c r="A46" s="18"/>
      <c r="N46" s="19"/>
    </row>
    <row r="47" spans="1:14" x14ac:dyDescent="0.2">
      <c r="A47" s="18"/>
      <c r="N47" s="19"/>
    </row>
    <row r="48" spans="1:14" x14ac:dyDescent="0.2">
      <c r="A48" s="18"/>
      <c r="N48" s="19"/>
    </row>
    <row r="49" spans="1:22" x14ac:dyDescent="0.2">
      <c r="A49" s="18"/>
      <c r="N49" s="19"/>
    </row>
    <row r="50" spans="1:22" x14ac:dyDescent="0.2">
      <c r="A50" s="18"/>
      <c r="N50" s="19"/>
    </row>
    <row r="51" spans="1:22" x14ac:dyDescent="0.2">
      <c r="A51" s="18"/>
      <c r="N51" s="19"/>
    </row>
    <row r="52" spans="1:22" x14ac:dyDescent="0.2">
      <c r="A52" s="18"/>
      <c r="N52" s="19"/>
    </row>
    <row r="53" spans="1:22" x14ac:dyDescent="0.2">
      <c r="A53" s="18"/>
      <c r="N53" s="19"/>
    </row>
    <row r="54" spans="1:22" x14ac:dyDescent="0.2">
      <c r="A54" s="18"/>
      <c r="N54" s="19"/>
    </row>
    <row r="55" spans="1:22" x14ac:dyDescent="0.2">
      <c r="A55" s="18"/>
      <c r="N55" s="19"/>
    </row>
    <row r="56" spans="1:22" x14ac:dyDescent="0.2">
      <c r="A56" s="18"/>
      <c r="N56" s="19"/>
    </row>
    <row r="57" spans="1:22" x14ac:dyDescent="0.2">
      <c r="A57" s="18"/>
      <c r="N57" s="19"/>
    </row>
    <row r="58" spans="1:22" x14ac:dyDescent="0.2">
      <c r="A58" s="18"/>
      <c r="N58" s="19"/>
    </row>
    <row r="59" spans="1:22" x14ac:dyDescent="0.2">
      <c r="A59" s="18"/>
      <c r="N59" s="19"/>
    </row>
    <row r="60" spans="1:22" x14ac:dyDescent="0.2">
      <c r="A60" s="20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2"/>
    </row>
    <row r="63" spans="1:22" x14ac:dyDescent="0.2">
      <c r="A63" s="106" t="s">
        <v>95</v>
      </c>
      <c r="B63" s="107"/>
      <c r="C63" s="107"/>
      <c r="D63" s="107"/>
      <c r="E63" s="107"/>
      <c r="F63" s="107"/>
      <c r="G63" s="107"/>
      <c r="H63" s="107"/>
      <c r="I63" s="107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7"/>
    </row>
    <row r="64" spans="1:22" x14ac:dyDescent="0.2">
      <c r="A64" s="18"/>
      <c r="C64" s="36" t="s">
        <v>22</v>
      </c>
      <c r="D64" s="37">
        <v>0.95</v>
      </c>
      <c r="V64" s="19"/>
    </row>
    <row r="65" spans="1:22" x14ac:dyDescent="0.2">
      <c r="A65" s="18"/>
      <c r="V65" s="19"/>
    </row>
    <row r="66" spans="1:22" ht="51" x14ac:dyDescent="0.2">
      <c r="A66" s="18"/>
      <c r="B66" s="38" t="s">
        <v>20</v>
      </c>
      <c r="V66" s="19"/>
    </row>
    <row r="67" spans="1:22" x14ac:dyDescent="0.2">
      <c r="A67" s="18"/>
      <c r="V67" s="19"/>
    </row>
    <row r="68" spans="1:22" x14ac:dyDescent="0.2">
      <c r="A68" s="18"/>
      <c r="V68" s="19"/>
    </row>
    <row r="69" spans="1:22" x14ac:dyDescent="0.2">
      <c r="A69" s="18"/>
      <c r="C69" s="24" t="s">
        <v>21</v>
      </c>
      <c r="D69" s="26">
        <f>1-D64</f>
        <v>5.0000000000000044E-2</v>
      </c>
      <c r="E69" s="24"/>
      <c r="V69" s="19"/>
    </row>
    <row r="70" spans="1:22" x14ac:dyDescent="0.2">
      <c r="A70" s="39" t="s">
        <v>23</v>
      </c>
      <c r="B70" s="40"/>
      <c r="C70" s="24" t="s">
        <v>17</v>
      </c>
      <c r="D70" s="114">
        <f>H28</f>
        <v>546.6</v>
      </c>
      <c r="E70" s="24"/>
      <c r="V70" s="19"/>
    </row>
    <row r="71" spans="1:22" x14ac:dyDescent="0.2">
      <c r="A71" s="39">
        <f>D69/2</f>
        <v>2.5000000000000022E-2</v>
      </c>
      <c r="B71" s="36" t="s">
        <v>24</v>
      </c>
      <c r="C71" s="24" t="s">
        <v>96</v>
      </c>
      <c r="D71" s="115">
        <f>E71</f>
        <v>2.1603686564627917</v>
      </c>
      <c r="E71" s="26">
        <f>_xlfn.T.INV(1-D69/2,D28-2)</f>
        <v>2.1603686564627917</v>
      </c>
      <c r="V71" s="19"/>
    </row>
    <row r="72" spans="1:22" x14ac:dyDescent="0.2">
      <c r="A72" s="39">
        <f>D28-2</f>
        <v>13</v>
      </c>
      <c r="B72" s="36"/>
      <c r="C72" s="24" t="s">
        <v>26</v>
      </c>
      <c r="D72" s="25">
        <f>SQRT(D34/(D28*(D28-2)))</f>
        <v>34.746495651003784</v>
      </c>
      <c r="E72" s="25">
        <f>SQRT(H30/D28)</f>
        <v>34.746495651003784</v>
      </c>
      <c r="V72" s="19"/>
    </row>
    <row r="73" spans="1:22" x14ac:dyDescent="0.2">
      <c r="A73" s="18"/>
      <c r="V73" s="19"/>
    </row>
    <row r="74" spans="1:22" x14ac:dyDescent="0.2">
      <c r="A74" s="96" t="s">
        <v>29</v>
      </c>
      <c r="B74" s="97"/>
      <c r="C74" s="113">
        <f>D70-E71*D72</f>
        <v>471.53475987365073</v>
      </c>
      <c r="D74" s="41" t="s">
        <v>27</v>
      </c>
      <c r="E74" s="113">
        <f>D70+E71*D72</f>
        <v>621.66524012634932</v>
      </c>
      <c r="F74" s="41" t="s">
        <v>28</v>
      </c>
      <c r="V74" s="19"/>
    </row>
    <row r="75" spans="1:22" x14ac:dyDescent="0.2">
      <c r="A75" s="18"/>
      <c r="C75" s="42"/>
      <c r="V75" s="19"/>
    </row>
    <row r="76" spans="1:22" x14ac:dyDescent="0.2">
      <c r="A76" s="101" t="s">
        <v>30</v>
      </c>
      <c r="B76" s="102"/>
      <c r="V76" s="19"/>
    </row>
    <row r="77" spans="1:22" x14ac:dyDescent="0.2">
      <c r="A77" s="39" t="s">
        <v>22</v>
      </c>
      <c r="B77" s="37">
        <v>0.95</v>
      </c>
      <c r="V77" s="19"/>
    </row>
    <row r="78" spans="1:22" x14ac:dyDescent="0.2">
      <c r="A78" s="18"/>
      <c r="V78" s="19"/>
    </row>
    <row r="79" spans="1:22" x14ac:dyDescent="0.2">
      <c r="A79" s="18"/>
      <c r="V79" s="19"/>
    </row>
    <row r="80" spans="1:22" x14ac:dyDescent="0.2">
      <c r="A80" s="18"/>
      <c r="V80" s="19"/>
    </row>
    <row r="81" spans="1:22" x14ac:dyDescent="0.2">
      <c r="A81" s="18"/>
      <c r="D81" s="43"/>
      <c r="V81" s="19"/>
    </row>
    <row r="82" spans="1:22" x14ac:dyDescent="0.2">
      <c r="A82" s="18"/>
      <c r="C82" s="28" t="s">
        <v>21</v>
      </c>
      <c r="D82" s="29">
        <f>1-B77</f>
        <v>5.0000000000000044E-2</v>
      </c>
      <c r="E82" s="28"/>
      <c r="V82" s="19"/>
    </row>
    <row r="83" spans="1:22" ht="28" x14ac:dyDescent="0.2">
      <c r="A83" s="39" t="s">
        <v>23</v>
      </c>
      <c r="B83" s="40" t="s">
        <v>25</v>
      </c>
      <c r="C83" s="28" t="s">
        <v>31</v>
      </c>
      <c r="D83" s="30">
        <f>H29</f>
        <v>26.412861169086916</v>
      </c>
      <c r="E83" s="28"/>
      <c r="V83" s="19"/>
    </row>
    <row r="84" spans="1:22" x14ac:dyDescent="0.2">
      <c r="A84" s="39">
        <f>D82/2</f>
        <v>2.5000000000000022E-2</v>
      </c>
      <c r="B84" s="36" t="s">
        <v>24</v>
      </c>
      <c r="C84" s="28" t="s">
        <v>96</v>
      </c>
      <c r="D84" s="115">
        <f>E84</f>
        <v>2.1603686564627917</v>
      </c>
      <c r="E84" s="29">
        <f>_xlfn.T.INV(1-D82/2,D28-2)</f>
        <v>2.1603686564627917</v>
      </c>
      <c r="V84" s="19"/>
    </row>
    <row r="85" spans="1:22" x14ac:dyDescent="0.2">
      <c r="A85" s="39">
        <f>D28-2</f>
        <v>13</v>
      </c>
      <c r="B85" s="36"/>
      <c r="C85" s="28" t="s">
        <v>33</v>
      </c>
      <c r="D85" s="30">
        <f>D34/(D31*(D28-2))</f>
        <v>11.134360147069403</v>
      </c>
      <c r="E85" s="30"/>
      <c r="V85" s="19"/>
    </row>
    <row r="86" spans="1:22" x14ac:dyDescent="0.2">
      <c r="A86" s="18"/>
      <c r="C86" s="31" t="s">
        <v>32</v>
      </c>
      <c r="D86" s="116">
        <f>SQRT(D85)</f>
        <v>3.3368188663859781</v>
      </c>
      <c r="E86" s="27"/>
      <c r="V86" s="19"/>
    </row>
    <row r="87" spans="1:22" x14ac:dyDescent="0.2">
      <c r="A87" s="18"/>
      <c r="V87" s="19"/>
    </row>
    <row r="88" spans="1:22" x14ac:dyDescent="0.2">
      <c r="A88" s="18"/>
      <c r="V88" s="19"/>
    </row>
    <row r="89" spans="1:22" x14ac:dyDescent="0.2">
      <c r="A89" s="96" t="s">
        <v>29</v>
      </c>
      <c r="B89" s="97"/>
      <c r="C89" s="113">
        <f>D83-E84*D86</f>
        <v>19.204102277852947</v>
      </c>
      <c r="D89" s="41" t="s">
        <v>27</v>
      </c>
      <c r="E89" s="113">
        <f>D83+E84*D86</f>
        <v>33.621620060320886</v>
      </c>
      <c r="F89" s="41" t="s">
        <v>28</v>
      </c>
      <c r="V89" s="19"/>
    </row>
    <row r="90" spans="1:22" x14ac:dyDescent="0.2">
      <c r="A90" s="18"/>
      <c r="V90" s="19"/>
    </row>
    <row r="91" spans="1:22" x14ac:dyDescent="0.2">
      <c r="A91" s="101" t="s">
        <v>34</v>
      </c>
      <c r="B91" s="102"/>
      <c r="V91" s="19"/>
    </row>
    <row r="92" spans="1:22" x14ac:dyDescent="0.2">
      <c r="A92" s="39" t="s">
        <v>35</v>
      </c>
      <c r="B92" s="36">
        <v>0.95</v>
      </c>
      <c r="D92" t="s">
        <v>13</v>
      </c>
      <c r="E92" t="s">
        <v>10</v>
      </c>
      <c r="V92" s="19"/>
    </row>
    <row r="93" spans="1:22" x14ac:dyDescent="0.2">
      <c r="A93" s="18"/>
      <c r="C93" s="32" t="s">
        <v>21</v>
      </c>
      <c r="D93" s="34">
        <f>1-B92</f>
        <v>5.0000000000000044E-2</v>
      </c>
      <c r="E93" s="33"/>
      <c r="V93" s="19"/>
    </row>
    <row r="94" spans="1:22" ht="28" x14ac:dyDescent="0.2">
      <c r="A94" s="39" t="s">
        <v>23</v>
      </c>
      <c r="B94" s="40" t="s">
        <v>25</v>
      </c>
      <c r="C94" s="33" t="s">
        <v>36</v>
      </c>
      <c r="D94" s="35">
        <f>D34</f>
        <v>235427.19720491883</v>
      </c>
      <c r="E94" s="33"/>
      <c r="V94" s="19"/>
    </row>
    <row r="95" spans="1:22" x14ac:dyDescent="0.2">
      <c r="A95" s="39">
        <f>(1-B92)/2</f>
        <v>2.5000000000000022E-2</v>
      </c>
      <c r="B95" s="36" t="s">
        <v>24</v>
      </c>
      <c r="C95" s="33" t="s">
        <v>88</v>
      </c>
      <c r="D95" s="117">
        <f>E95</f>
        <v>24.735604884931536</v>
      </c>
      <c r="E95" s="35">
        <f>_xlfn.CHISQ.INV(1-D93/2,D28-2)</f>
        <v>24.735604884931536</v>
      </c>
      <c r="V95" s="19"/>
    </row>
    <row r="96" spans="1:22" x14ac:dyDescent="0.2">
      <c r="A96" s="39">
        <f>D28-2</f>
        <v>13</v>
      </c>
      <c r="B96" s="36"/>
      <c r="C96" s="33" t="s">
        <v>87</v>
      </c>
      <c r="D96" s="117">
        <f>E96</f>
        <v>5.0087505118103337</v>
      </c>
      <c r="E96" s="35">
        <f>_xlfn.CHISQ.INV(D93/2,D28-2)</f>
        <v>5.0087505118103337</v>
      </c>
      <c r="V96" s="19"/>
    </row>
    <row r="97" spans="1:22" x14ac:dyDescent="0.2">
      <c r="A97" s="18"/>
      <c r="V97" s="19"/>
    </row>
    <row r="98" spans="1:22" x14ac:dyDescent="0.2">
      <c r="A98" s="18"/>
      <c r="C98" s="44"/>
      <c r="V98" s="19"/>
    </row>
    <row r="99" spans="1:22" x14ac:dyDescent="0.2">
      <c r="A99" s="96" t="s">
        <v>29</v>
      </c>
      <c r="B99" s="97"/>
      <c r="C99" s="113">
        <f>D94/E95</f>
        <v>9517.7457070531</v>
      </c>
      <c r="D99" s="41" t="s">
        <v>27</v>
      </c>
      <c r="E99" s="113">
        <f>D94/E96</f>
        <v>47003.179066275232</v>
      </c>
      <c r="F99" s="41" t="s">
        <v>28</v>
      </c>
      <c r="V99" s="19"/>
    </row>
    <row r="100" spans="1:22" x14ac:dyDescent="0.2">
      <c r="A100" s="18"/>
      <c r="V100" s="19"/>
    </row>
    <row r="101" spans="1:22" x14ac:dyDescent="0.2">
      <c r="A101" s="18"/>
      <c r="V101" s="19"/>
    </row>
    <row r="102" spans="1:22" x14ac:dyDescent="0.2">
      <c r="V102" s="19"/>
    </row>
    <row r="103" spans="1:22" x14ac:dyDescent="0.2">
      <c r="V103" s="19"/>
    </row>
    <row r="104" spans="1:22" x14ac:dyDescent="0.2">
      <c r="V104" s="19"/>
    </row>
    <row r="105" spans="1:22" x14ac:dyDescent="0.2">
      <c r="V105" s="19"/>
    </row>
    <row r="106" spans="1:22" x14ac:dyDescent="0.2">
      <c r="V106" s="19"/>
    </row>
    <row r="107" spans="1:22" x14ac:dyDescent="0.2">
      <c r="V107" s="19"/>
    </row>
    <row r="108" spans="1:22" x14ac:dyDescent="0.2">
      <c r="V108" s="19"/>
    </row>
    <row r="109" spans="1:22" x14ac:dyDescent="0.2">
      <c r="V109" s="19"/>
    </row>
    <row r="110" spans="1:22" x14ac:dyDescent="0.2">
      <c r="A110" s="18"/>
      <c r="V110" s="19"/>
    </row>
    <row r="111" spans="1:22" x14ac:dyDescent="0.2">
      <c r="A111" s="18"/>
      <c r="V111" s="19"/>
    </row>
    <row r="112" spans="1:22" x14ac:dyDescent="0.2">
      <c r="A112" s="18"/>
      <c r="V112" s="19"/>
    </row>
    <row r="113" spans="1:22" x14ac:dyDescent="0.2">
      <c r="A113" s="18"/>
      <c r="V113" s="19"/>
    </row>
    <row r="114" spans="1:22" x14ac:dyDescent="0.2">
      <c r="A114" s="18"/>
      <c r="V114" s="19"/>
    </row>
    <row r="115" spans="1:22" x14ac:dyDescent="0.2">
      <c r="A115" s="18"/>
      <c r="V115" s="19"/>
    </row>
    <row r="116" spans="1:22" x14ac:dyDescent="0.2">
      <c r="A116" s="20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2"/>
    </row>
    <row r="119" spans="1:22" x14ac:dyDescent="0.2">
      <c r="A119" s="50"/>
      <c r="B119" s="51"/>
      <c r="C119" s="51"/>
      <c r="D119" s="51"/>
      <c r="E119" s="51"/>
      <c r="F119" s="51"/>
      <c r="G119" s="51"/>
      <c r="H119" s="51"/>
      <c r="I119" s="52"/>
    </row>
    <row r="120" spans="1:22" x14ac:dyDescent="0.2">
      <c r="A120" s="101" t="s">
        <v>97</v>
      </c>
      <c r="B120" s="102"/>
      <c r="C120" s="102"/>
      <c r="D120" s="102"/>
      <c r="E120" s="102"/>
      <c r="F120" s="102"/>
      <c r="G120" s="102"/>
      <c r="I120" s="53"/>
    </row>
    <row r="121" spans="1:22" x14ac:dyDescent="0.2">
      <c r="A121" s="18"/>
      <c r="I121" s="53"/>
    </row>
    <row r="122" spans="1:22" x14ac:dyDescent="0.2">
      <c r="A122" s="18"/>
      <c r="I122" s="53"/>
    </row>
    <row r="123" spans="1:22" x14ac:dyDescent="0.2">
      <c r="A123" s="18"/>
      <c r="I123" s="53"/>
    </row>
    <row r="124" spans="1:22" x14ac:dyDescent="0.2">
      <c r="A124" s="18"/>
      <c r="I124" s="53"/>
    </row>
    <row r="125" spans="1:22" x14ac:dyDescent="0.2">
      <c r="A125" s="18"/>
      <c r="I125" s="53"/>
    </row>
    <row r="126" spans="1:22" x14ac:dyDescent="0.2">
      <c r="A126" s="18"/>
      <c r="I126" s="53"/>
    </row>
    <row r="127" spans="1:22" x14ac:dyDescent="0.2">
      <c r="A127" s="18"/>
      <c r="I127" s="53"/>
    </row>
    <row r="128" spans="1:22" x14ac:dyDescent="0.2">
      <c r="A128" s="18"/>
      <c r="I128" s="53"/>
    </row>
    <row r="129" spans="1:9" x14ac:dyDescent="0.2">
      <c r="A129" s="18"/>
      <c r="B129" s="103" t="s">
        <v>37</v>
      </c>
      <c r="C129">
        <v>1</v>
      </c>
      <c r="D129" s="13">
        <f>B2-$D$29</f>
        <v>15.313333333333333</v>
      </c>
      <c r="I129" s="53"/>
    </row>
    <row r="130" spans="1:9" x14ac:dyDescent="0.2">
      <c r="A130" s="18"/>
      <c r="B130" s="103"/>
      <c r="C130">
        <v>1</v>
      </c>
      <c r="D130" s="13">
        <f t="shared" ref="D130:D143" si="4">B3-$D$29</f>
        <v>0.61333333333333329</v>
      </c>
      <c r="I130" s="53"/>
    </row>
    <row r="131" spans="1:9" x14ac:dyDescent="0.2">
      <c r="A131" s="18"/>
      <c r="B131" s="103"/>
      <c r="C131">
        <v>1</v>
      </c>
      <c r="D131" s="13">
        <f t="shared" si="4"/>
        <v>-10.386666666666667</v>
      </c>
      <c r="F131" s="102" t="s">
        <v>38</v>
      </c>
      <c r="G131" s="46">
        <f>D28</f>
        <v>15</v>
      </c>
      <c r="H131" s="47">
        <v>0</v>
      </c>
      <c r="I131" s="53"/>
    </row>
    <row r="132" spans="1:9" x14ac:dyDescent="0.2">
      <c r="A132" s="18"/>
      <c r="B132" s="103"/>
      <c r="C132">
        <v>1</v>
      </c>
      <c r="D132" s="13">
        <f t="shared" si="4"/>
        <v>21.313333333333333</v>
      </c>
      <c r="F132" s="102"/>
      <c r="G132" s="46">
        <v>0</v>
      </c>
      <c r="H132" s="48">
        <f>D31</f>
        <v>1626.4773333333324</v>
      </c>
      <c r="I132" s="53"/>
    </row>
    <row r="133" spans="1:9" x14ac:dyDescent="0.2">
      <c r="A133" s="18"/>
      <c r="B133" s="103"/>
      <c r="C133">
        <v>1</v>
      </c>
      <c r="D133" s="13">
        <f t="shared" si="4"/>
        <v>-10.086666666666666</v>
      </c>
      <c r="I133" s="53"/>
    </row>
    <row r="134" spans="1:9" x14ac:dyDescent="0.2">
      <c r="A134" s="18"/>
      <c r="B134" s="103"/>
      <c r="C134">
        <v>1</v>
      </c>
      <c r="D134" s="13">
        <f t="shared" si="4"/>
        <v>2.2133333333333312</v>
      </c>
      <c r="I134" s="53"/>
    </row>
    <row r="135" spans="1:9" x14ac:dyDescent="0.2">
      <c r="A135" s="18"/>
      <c r="B135" s="103"/>
      <c r="C135">
        <v>1</v>
      </c>
      <c r="D135" s="13">
        <f t="shared" si="4"/>
        <v>-7.3866666666666667</v>
      </c>
      <c r="F135" s="102" t="s">
        <v>39</v>
      </c>
      <c r="G135" s="111">
        <f>1/G131</f>
        <v>6.6666666666666666E-2</v>
      </c>
      <c r="H135" s="47">
        <v>0</v>
      </c>
      <c r="I135" s="53"/>
    </row>
    <row r="136" spans="1:9" x14ac:dyDescent="0.2">
      <c r="A136" s="18"/>
      <c r="B136" s="103"/>
      <c r="C136">
        <v>1</v>
      </c>
      <c r="D136" s="13">
        <f t="shared" si="4"/>
        <v>-11.086666666666666</v>
      </c>
      <c r="F136" s="102"/>
      <c r="G136" s="46">
        <v>0</v>
      </c>
      <c r="H136" s="112">
        <f>1/H132</f>
        <v>6.1482566003584059E-4</v>
      </c>
      <c r="I136" s="53"/>
    </row>
    <row r="137" spans="1:9" x14ac:dyDescent="0.2">
      <c r="A137" s="18"/>
      <c r="B137" s="103"/>
      <c r="C137">
        <v>1</v>
      </c>
      <c r="D137" s="13">
        <f t="shared" si="4"/>
        <v>-12.386666666666667</v>
      </c>
      <c r="I137" s="53"/>
    </row>
    <row r="138" spans="1:9" x14ac:dyDescent="0.2">
      <c r="A138" s="18"/>
      <c r="B138" s="103"/>
      <c r="C138">
        <v>1</v>
      </c>
      <c r="D138" s="13">
        <f t="shared" si="4"/>
        <v>7.913333333333334</v>
      </c>
      <c r="I138" s="53"/>
    </row>
    <row r="139" spans="1:9" x14ac:dyDescent="0.2">
      <c r="A139" s="18"/>
      <c r="B139" s="103"/>
      <c r="C139" s="45">
        <v>1</v>
      </c>
      <c r="D139" s="49">
        <f t="shared" si="4"/>
        <v>-6.6866666666666674</v>
      </c>
      <c r="F139" s="102" t="s">
        <v>40</v>
      </c>
      <c r="G139" s="111">
        <f>G135</f>
        <v>6.6666666666666666E-2</v>
      </c>
      <c r="H139" s="47">
        <v>0</v>
      </c>
      <c r="I139" s="53"/>
    </row>
    <row r="140" spans="1:9" x14ac:dyDescent="0.2">
      <c r="A140" s="18"/>
      <c r="B140" s="103"/>
      <c r="C140" s="45">
        <v>1</v>
      </c>
      <c r="D140" s="49">
        <f t="shared" si="4"/>
        <v>11.413333333333334</v>
      </c>
      <c r="F140" s="102"/>
      <c r="G140" s="46">
        <v>0</v>
      </c>
      <c r="H140" s="112">
        <f>H136</f>
        <v>6.1482566003584059E-4</v>
      </c>
      <c r="I140" s="53"/>
    </row>
    <row r="141" spans="1:9" x14ac:dyDescent="0.2">
      <c r="A141" s="18"/>
      <c r="B141" s="103"/>
      <c r="C141" s="45">
        <v>1</v>
      </c>
      <c r="D141" s="49">
        <f t="shared" si="4"/>
        <v>-2.7866666666666688</v>
      </c>
      <c r="I141" s="53"/>
    </row>
    <row r="142" spans="1:9" x14ac:dyDescent="0.2">
      <c r="A142" s="18"/>
      <c r="B142" s="103"/>
      <c r="C142" s="45">
        <v>1</v>
      </c>
      <c r="D142" s="49">
        <f t="shared" si="4"/>
        <v>-7.4866666666666681</v>
      </c>
      <c r="I142" s="53"/>
    </row>
    <row r="143" spans="1:9" x14ac:dyDescent="0.2">
      <c r="A143" s="18"/>
      <c r="B143" s="103"/>
      <c r="C143" s="45">
        <v>1</v>
      </c>
      <c r="D143" s="49">
        <f t="shared" si="4"/>
        <v>9.5133333333333354</v>
      </c>
      <c r="I143" s="53"/>
    </row>
    <row r="144" spans="1:9" x14ac:dyDescent="0.2">
      <c r="A144" s="55"/>
      <c r="B144" s="56"/>
      <c r="C144" s="56"/>
      <c r="D144" s="56"/>
      <c r="E144" s="56"/>
      <c r="F144" s="56"/>
      <c r="G144" s="56"/>
      <c r="H144" s="56"/>
      <c r="I144" s="54"/>
    </row>
    <row r="147" spans="1:37" x14ac:dyDescent="0.2">
      <c r="A147" s="67"/>
      <c r="B147" s="100" t="s">
        <v>81</v>
      </c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9"/>
    </row>
    <row r="148" spans="1:37" x14ac:dyDescent="0.2">
      <c r="A148" s="18"/>
      <c r="W148" s="74" t="s">
        <v>61</v>
      </c>
      <c r="X148" s="74"/>
      <c r="Y148" s="74"/>
      <c r="Z148" s="74"/>
      <c r="AA148" s="74"/>
      <c r="AB148" s="74"/>
      <c r="AC148" s="74"/>
      <c r="AD148" s="74"/>
      <c r="AE148" s="74"/>
      <c r="AF148" s="74"/>
      <c r="AK148" s="70"/>
    </row>
    <row r="149" spans="1:37" x14ac:dyDescent="0.2">
      <c r="A149" s="18"/>
      <c r="AK149" s="70"/>
    </row>
    <row r="150" spans="1:37" x14ac:dyDescent="0.2">
      <c r="A150" s="18"/>
      <c r="B150" t="s">
        <v>41</v>
      </c>
      <c r="L150" t="s">
        <v>53</v>
      </c>
      <c r="AK150" s="70"/>
    </row>
    <row r="151" spans="1:37" x14ac:dyDescent="0.2">
      <c r="A151" s="18"/>
      <c r="AK151" s="70"/>
    </row>
    <row r="152" spans="1:37" x14ac:dyDescent="0.2">
      <c r="A152" s="18"/>
      <c r="B152" t="s">
        <v>42</v>
      </c>
      <c r="C152" s="64">
        <v>0.1</v>
      </c>
      <c r="L152" t="s">
        <v>42</v>
      </c>
      <c r="M152" s="64">
        <v>0.1</v>
      </c>
      <c r="AK152" s="70"/>
    </row>
    <row r="153" spans="1:37" x14ac:dyDescent="0.2">
      <c r="A153" s="18"/>
      <c r="B153" t="s">
        <v>8</v>
      </c>
      <c r="C153">
        <f>D28</f>
        <v>15</v>
      </c>
      <c r="L153" t="s">
        <v>8</v>
      </c>
      <c r="M153">
        <f>C153</f>
        <v>15</v>
      </c>
      <c r="AK153" s="70"/>
    </row>
    <row r="154" spans="1:37" x14ac:dyDescent="0.2">
      <c r="A154" s="18"/>
      <c r="B154" t="s">
        <v>43</v>
      </c>
      <c r="C154" s="118">
        <f>D30</f>
        <v>546.6</v>
      </c>
      <c r="L154" t="s">
        <v>54</v>
      </c>
      <c r="M154" s="13">
        <f>H29</f>
        <v>26.412861169086916</v>
      </c>
      <c r="AK154" s="70"/>
    </row>
    <row r="155" spans="1:37" x14ac:dyDescent="0.2">
      <c r="A155" s="18"/>
      <c r="B155" t="s">
        <v>36</v>
      </c>
      <c r="C155" s="13">
        <f>D34</f>
        <v>235427.19720491883</v>
      </c>
      <c r="L155" t="s">
        <v>55</v>
      </c>
      <c r="M155" s="13">
        <f>D31</f>
        <v>1626.4773333333324</v>
      </c>
      <c r="U155" t="s">
        <v>42</v>
      </c>
      <c r="V155" s="64">
        <f>M152</f>
        <v>0.1</v>
      </c>
      <c r="AD155" t="s">
        <v>42</v>
      </c>
      <c r="AE155" s="64">
        <f>V155</f>
        <v>0.1</v>
      </c>
      <c r="AK155" s="70"/>
    </row>
    <row r="156" spans="1:37" x14ac:dyDescent="0.2">
      <c r="A156" s="65" t="s">
        <v>45</v>
      </c>
      <c r="B156" t="s">
        <v>44</v>
      </c>
      <c r="C156" s="13">
        <f>SQRT(C155/(C153-2))</f>
        <v>134.57259899540608</v>
      </c>
      <c r="K156" s="45" t="s">
        <v>45</v>
      </c>
      <c r="L156" t="s">
        <v>44</v>
      </c>
      <c r="M156" s="13">
        <f>C156</f>
        <v>134.57259899540608</v>
      </c>
      <c r="U156" t="s">
        <v>85</v>
      </c>
      <c r="V156" s="13">
        <f>M157</f>
        <v>7.9155813446038215</v>
      </c>
      <c r="AD156" t="s">
        <v>85</v>
      </c>
      <c r="AE156" s="13">
        <f>V156</f>
        <v>7.9155813446038215</v>
      </c>
      <c r="AK156" s="70"/>
    </row>
    <row r="157" spans="1:37" x14ac:dyDescent="0.2">
      <c r="A157" s="65">
        <f>C153-2</f>
        <v>13</v>
      </c>
      <c r="B157" t="s">
        <v>85</v>
      </c>
      <c r="C157" s="13">
        <f>SQRT(C153)*C154/C156</f>
        <v>15.731082797243454</v>
      </c>
      <c r="D157" t="s">
        <v>47</v>
      </c>
      <c r="K157" s="45">
        <f>M153-2</f>
        <v>13</v>
      </c>
      <c r="L157" t="s">
        <v>85</v>
      </c>
      <c r="M157" s="13">
        <f>SQRT(M155)*M154/M156</f>
        <v>7.9155813446038215</v>
      </c>
      <c r="N157" t="s">
        <v>47</v>
      </c>
      <c r="U157" s="24" t="s">
        <v>86</v>
      </c>
      <c r="V157" s="23">
        <f>_xlfn.T.INV(C152,C153-2)</f>
        <v>-1.3501712887800554</v>
      </c>
      <c r="AD157" s="24" t="s">
        <v>86</v>
      </c>
      <c r="AE157" s="23">
        <f>_xlfn.T.INV(1-AE155,M153-2)</f>
        <v>1.3501712887800554</v>
      </c>
      <c r="AK157" s="70"/>
    </row>
    <row r="158" spans="1:37" x14ac:dyDescent="0.2">
      <c r="A158" s="39">
        <f>C152/2</f>
        <v>0.05</v>
      </c>
      <c r="B158" s="24" t="s">
        <v>84</v>
      </c>
      <c r="C158" s="13">
        <f>_xlfn.T.INV(1-C152/2,C153-2)</f>
        <v>1.7709333959868729</v>
      </c>
      <c r="K158" s="39">
        <f>M152/2</f>
        <v>0.05</v>
      </c>
      <c r="L158" s="24" t="s">
        <v>84</v>
      </c>
      <c r="M158" s="13">
        <f>C158</f>
        <v>1.7709333959868729</v>
      </c>
      <c r="AK158" s="70"/>
    </row>
    <row r="159" spans="1:37" x14ac:dyDescent="0.2">
      <c r="A159" s="18"/>
      <c r="W159" t="s">
        <v>59</v>
      </c>
      <c r="AF159" t="s">
        <v>57</v>
      </c>
      <c r="AK159" s="70"/>
    </row>
    <row r="160" spans="1:37" x14ac:dyDescent="0.2">
      <c r="A160" s="18"/>
      <c r="B160" s="58" t="s">
        <v>83</v>
      </c>
      <c r="C160" s="120">
        <f>ABS(C157)</f>
        <v>15.731082797243454</v>
      </c>
      <c r="D160" s="58" t="s">
        <v>48</v>
      </c>
      <c r="E160" s="120">
        <f>C158</f>
        <v>1.7709333959868729</v>
      </c>
      <c r="F160" s="2" t="s">
        <v>82</v>
      </c>
      <c r="G160" s="58" t="s">
        <v>49</v>
      </c>
      <c r="L160" s="60" t="s">
        <v>83</v>
      </c>
      <c r="M160" s="121">
        <f>ABS(M157)</f>
        <v>7.9155813446038215</v>
      </c>
      <c r="N160" s="60" t="s">
        <v>48</v>
      </c>
      <c r="O160" s="121">
        <f>M158</f>
        <v>1.7709333959868729</v>
      </c>
      <c r="P160" s="59" t="s">
        <v>82</v>
      </c>
      <c r="Q160" s="60" t="s">
        <v>49</v>
      </c>
      <c r="R160" s="60"/>
      <c r="U160" s="62" t="s">
        <v>85</v>
      </c>
      <c r="V160" s="122">
        <f>V156</f>
        <v>7.9155813446038215</v>
      </c>
      <c r="W160" s="62" t="s">
        <v>48</v>
      </c>
      <c r="X160" s="123">
        <f>V157</f>
        <v>-1.3501712887800554</v>
      </c>
      <c r="Y160" s="63" t="s">
        <v>98</v>
      </c>
      <c r="Z160" s="62" t="s">
        <v>49</v>
      </c>
      <c r="AA160" s="62"/>
      <c r="AD160" s="60" t="s">
        <v>46</v>
      </c>
      <c r="AE160" s="121">
        <f>AE156</f>
        <v>7.9155813446038215</v>
      </c>
      <c r="AF160" s="60" t="s">
        <v>48</v>
      </c>
      <c r="AG160" s="124">
        <f>AE157</f>
        <v>1.3501712887800554</v>
      </c>
      <c r="AH160" s="61" t="s">
        <v>98</v>
      </c>
      <c r="AI160" s="60" t="s">
        <v>49</v>
      </c>
      <c r="AJ160" s="60"/>
      <c r="AK160" s="70"/>
    </row>
    <row r="161" spans="1:37" x14ac:dyDescent="0.2">
      <c r="A161" s="18"/>
      <c r="AK161" s="70"/>
    </row>
    <row r="162" spans="1:37" x14ac:dyDescent="0.2">
      <c r="A162" s="18"/>
      <c r="B162" s="58" t="s">
        <v>50</v>
      </c>
      <c r="D162" t="s">
        <v>51</v>
      </c>
      <c r="E162" s="66" t="s">
        <v>52</v>
      </c>
      <c r="L162" s="60" t="s">
        <v>50</v>
      </c>
      <c r="N162" t="s">
        <v>51</v>
      </c>
      <c r="O162" s="66" t="s">
        <v>56</v>
      </c>
      <c r="U162" s="95" t="s">
        <v>58</v>
      </c>
      <c r="V162" s="95"/>
      <c r="W162" s="95"/>
      <c r="X162" s="95"/>
      <c r="Y162" s="95"/>
      <c r="AD162" s="98" t="s">
        <v>50</v>
      </c>
      <c r="AE162" s="98"/>
      <c r="AF162" s="98"/>
      <c r="AH162" t="str">
        <f>IF(AE156&gt;AE157,"Відхилити", "Прийняти")</f>
        <v>Відхилити</v>
      </c>
      <c r="AI162" t="s">
        <v>60</v>
      </c>
      <c r="AK162" s="70"/>
    </row>
    <row r="163" spans="1:37" x14ac:dyDescent="0.2">
      <c r="A163" s="18"/>
      <c r="AK163" s="70"/>
    </row>
    <row r="164" spans="1:37" x14ac:dyDescent="0.2">
      <c r="A164" s="18"/>
      <c r="AK164" s="70"/>
    </row>
    <row r="165" spans="1:37" x14ac:dyDescent="0.2">
      <c r="A165" s="72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125"/>
      <c r="V165" s="125"/>
      <c r="W165" s="125"/>
      <c r="X165" s="125"/>
      <c r="Y165" s="125"/>
      <c r="Z165" s="125"/>
      <c r="AA165" s="125"/>
      <c r="AB165" s="125"/>
      <c r="AC165" s="125"/>
      <c r="AD165" s="125"/>
      <c r="AE165" s="125"/>
      <c r="AF165" s="125"/>
      <c r="AG165" s="125"/>
      <c r="AH165" s="125"/>
      <c r="AI165" s="125"/>
      <c r="AJ165" s="73"/>
      <c r="AK165" s="71"/>
    </row>
    <row r="167" spans="1:37" x14ac:dyDescent="0.2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</row>
    <row r="168" spans="1:37" x14ac:dyDescent="0.2">
      <c r="N168" s="79"/>
    </row>
    <row r="169" spans="1:37" x14ac:dyDescent="0.2">
      <c r="B169" t="s">
        <v>62</v>
      </c>
      <c r="F169" t="s">
        <v>63</v>
      </c>
      <c r="N169" s="79"/>
    </row>
    <row r="170" spans="1:37" x14ac:dyDescent="0.2">
      <c r="F170" t="s">
        <v>21</v>
      </c>
      <c r="G170">
        <v>0.1</v>
      </c>
      <c r="N170" s="79"/>
    </row>
    <row r="171" spans="1:37" x14ac:dyDescent="0.2">
      <c r="C171" s="57"/>
      <c r="F171" t="s">
        <v>64</v>
      </c>
      <c r="G171">
        <v>33000</v>
      </c>
      <c r="N171" s="79"/>
    </row>
    <row r="172" spans="1:37" x14ac:dyDescent="0.2">
      <c r="B172" t="s">
        <v>66</v>
      </c>
      <c r="C172" s="36">
        <f>G171</f>
        <v>33000</v>
      </c>
      <c r="N172" s="79"/>
    </row>
    <row r="173" spans="1:37" x14ac:dyDescent="0.2">
      <c r="B173" s="32" t="s">
        <v>21</v>
      </c>
      <c r="C173" s="34">
        <f>G170</f>
        <v>0.1</v>
      </c>
      <c r="N173" s="79"/>
    </row>
    <row r="174" spans="1:37" x14ac:dyDescent="0.2">
      <c r="B174" s="33" t="s">
        <v>36</v>
      </c>
      <c r="C174" s="35">
        <f>D94</f>
        <v>235427.19720491883</v>
      </c>
      <c r="N174" s="79"/>
    </row>
    <row r="175" spans="1:37" x14ac:dyDescent="0.2">
      <c r="B175" s="33" t="s">
        <v>88</v>
      </c>
      <c r="C175" s="117">
        <f>_xlfn.CHISQ.INV.RT(C173/2,C153-2)</f>
        <v>22.362032494826938</v>
      </c>
      <c r="N175" s="79"/>
    </row>
    <row r="176" spans="1:37" x14ac:dyDescent="0.2">
      <c r="B176" s="33" t="s">
        <v>87</v>
      </c>
      <c r="C176" s="117">
        <f>_xlfn.CHISQ.INV.RT(1-C173/2,C153-2)</f>
        <v>5.8918643377098476</v>
      </c>
      <c r="N176" s="79"/>
    </row>
    <row r="177" spans="2:14" x14ac:dyDescent="0.2">
      <c r="B177" s="75" t="s">
        <v>99</v>
      </c>
      <c r="C177" s="13">
        <f>C174/C172</f>
        <v>7.1341574910581462</v>
      </c>
      <c r="N177" s="79"/>
    </row>
    <row r="178" spans="2:14" x14ac:dyDescent="0.2">
      <c r="D178" t="s">
        <v>100</v>
      </c>
      <c r="N178" s="79"/>
    </row>
    <row r="179" spans="2:14" x14ac:dyDescent="0.2">
      <c r="B179" s="76" t="s">
        <v>99</v>
      </c>
      <c r="C179" s="122">
        <f>C177</f>
        <v>7.1341574910581462</v>
      </c>
      <c r="D179" s="62" t="s">
        <v>48</v>
      </c>
      <c r="E179" s="122">
        <f>C176</f>
        <v>5.8918643377098476</v>
      </c>
      <c r="F179" s="77" t="s">
        <v>89</v>
      </c>
      <c r="N179" s="79"/>
    </row>
    <row r="180" spans="2:14" x14ac:dyDescent="0.2">
      <c r="B180" s="76" t="s">
        <v>99</v>
      </c>
      <c r="C180" s="122">
        <f>C177</f>
        <v>7.1341574910581462</v>
      </c>
      <c r="D180" s="62" t="s">
        <v>67</v>
      </c>
      <c r="E180" s="122">
        <f>C175</f>
        <v>22.362032494826938</v>
      </c>
      <c r="F180" s="78" t="s">
        <v>90</v>
      </c>
      <c r="N180" s="79"/>
    </row>
    <row r="181" spans="2:14" x14ac:dyDescent="0.2">
      <c r="N181" s="79"/>
    </row>
    <row r="182" spans="2:14" x14ac:dyDescent="0.2">
      <c r="B182" s="95" t="s">
        <v>58</v>
      </c>
      <c r="C182" s="95"/>
      <c r="D182" s="95"/>
      <c r="E182" s="95"/>
      <c r="F182" s="95"/>
      <c r="G182" t="s">
        <v>69</v>
      </c>
      <c r="I182">
        <f>G170</f>
        <v>0.1</v>
      </c>
      <c r="N182" s="79"/>
    </row>
    <row r="183" spans="2:14" x14ac:dyDescent="0.2">
      <c r="N183" s="79"/>
    </row>
    <row r="184" spans="2:14" x14ac:dyDescent="0.2">
      <c r="N184" s="79"/>
    </row>
    <row r="185" spans="2:14" x14ac:dyDescent="0.2">
      <c r="N185" s="79"/>
    </row>
    <row r="186" spans="2:14" x14ac:dyDescent="0.2">
      <c r="N186" s="79"/>
    </row>
    <row r="187" spans="2:14" x14ac:dyDescent="0.2">
      <c r="N187" s="79"/>
    </row>
    <row r="188" spans="2:14" x14ac:dyDescent="0.2">
      <c r="N188" s="79"/>
    </row>
    <row r="189" spans="2:14" x14ac:dyDescent="0.2">
      <c r="N189" s="79"/>
    </row>
    <row r="190" spans="2:14" x14ac:dyDescent="0.2">
      <c r="B190" s="32" t="s">
        <v>21</v>
      </c>
      <c r="C190" s="34">
        <f>G170</f>
        <v>0.1</v>
      </c>
      <c r="N190" s="79"/>
    </row>
    <row r="191" spans="2:14" x14ac:dyDescent="0.2">
      <c r="B191" t="s">
        <v>66</v>
      </c>
      <c r="C191" s="36">
        <f>G171</f>
        <v>33000</v>
      </c>
      <c r="N191" s="79"/>
    </row>
    <row r="192" spans="2:14" x14ac:dyDescent="0.2">
      <c r="B192" s="75" t="s">
        <v>99</v>
      </c>
      <c r="C192" s="13">
        <f>C177</f>
        <v>7.1341574910581462</v>
      </c>
      <c r="N192" s="79"/>
    </row>
    <row r="193" spans="2:14" x14ac:dyDescent="0.2">
      <c r="B193" s="33" t="s">
        <v>102</v>
      </c>
      <c r="C193" s="117">
        <f>_xlfn.CHISQ.INV.RT(1-C173,C153-2)</f>
        <v>7.0415045800954621</v>
      </c>
      <c r="N193" s="79"/>
    </row>
    <row r="194" spans="2:14" x14ac:dyDescent="0.2">
      <c r="D194" t="s">
        <v>68</v>
      </c>
      <c r="N194" s="79"/>
    </row>
    <row r="195" spans="2:14" x14ac:dyDescent="0.2">
      <c r="B195" s="76" t="s">
        <v>99</v>
      </c>
      <c r="C195" s="122">
        <f>C192</f>
        <v>7.1341574910581462</v>
      </c>
      <c r="D195" s="62" t="s">
        <v>48</v>
      </c>
      <c r="E195" s="122">
        <f>C193</f>
        <v>7.0415045800954621</v>
      </c>
      <c r="F195" s="77" t="s">
        <v>103</v>
      </c>
      <c r="N195" s="79"/>
    </row>
    <row r="196" spans="2:14" x14ac:dyDescent="0.2">
      <c r="N196" s="79"/>
    </row>
    <row r="197" spans="2:14" x14ac:dyDescent="0.2">
      <c r="B197" s="95" t="s">
        <v>58</v>
      </c>
      <c r="C197" s="95"/>
      <c r="D197" s="95"/>
      <c r="E197" s="95"/>
      <c r="F197" s="95"/>
      <c r="G197" t="s">
        <v>69</v>
      </c>
      <c r="I197" s="45">
        <f>I182</f>
        <v>0.1</v>
      </c>
      <c r="N197" s="79"/>
    </row>
    <row r="198" spans="2:14" x14ac:dyDescent="0.2">
      <c r="N198" s="79"/>
    </row>
    <row r="199" spans="2:14" x14ac:dyDescent="0.2">
      <c r="N199" s="79"/>
    </row>
    <row r="200" spans="2:14" x14ac:dyDescent="0.2">
      <c r="B200" s="32" t="s">
        <v>21</v>
      </c>
      <c r="C200" s="23">
        <f>C190</f>
        <v>0.1</v>
      </c>
      <c r="N200" s="79"/>
    </row>
    <row r="201" spans="2:14" x14ac:dyDescent="0.2">
      <c r="B201" t="s">
        <v>66</v>
      </c>
      <c r="C201">
        <f>C191</f>
        <v>33000</v>
      </c>
      <c r="N201" s="79"/>
    </row>
    <row r="202" spans="2:14" x14ac:dyDescent="0.2">
      <c r="B202" s="75" t="s">
        <v>99</v>
      </c>
      <c r="C202" s="13">
        <f>C192</f>
        <v>7.1341574910581462</v>
      </c>
      <c r="N202" s="79"/>
    </row>
    <row r="203" spans="2:14" x14ac:dyDescent="0.2">
      <c r="B203" s="33" t="s">
        <v>101</v>
      </c>
      <c r="C203" s="13">
        <f>_xlfn.CHISQ.INV.RT(C173,C153-2)</f>
        <v>19.81192930712756</v>
      </c>
      <c r="N203" s="79"/>
    </row>
    <row r="204" spans="2:14" x14ac:dyDescent="0.2">
      <c r="N204" s="79"/>
    </row>
    <row r="205" spans="2:14" x14ac:dyDescent="0.2">
      <c r="B205" s="76" t="s">
        <v>65</v>
      </c>
      <c r="C205" s="122">
        <f>C202</f>
        <v>7.1341574910581462</v>
      </c>
      <c r="D205" s="62" t="s">
        <v>67</v>
      </c>
      <c r="E205" s="122">
        <f>C203</f>
        <v>19.81192930712756</v>
      </c>
      <c r="F205" s="77" t="s">
        <v>91</v>
      </c>
      <c r="N205" s="79"/>
    </row>
    <row r="206" spans="2:14" x14ac:dyDescent="0.2">
      <c r="N206" s="79"/>
    </row>
    <row r="207" spans="2:14" x14ac:dyDescent="0.2">
      <c r="B207" s="95" t="s">
        <v>58</v>
      </c>
      <c r="C207" s="95"/>
      <c r="D207" s="95"/>
      <c r="E207" s="95"/>
      <c r="F207" s="95"/>
      <c r="N207" s="79"/>
    </row>
    <row r="208" spans="2:14" x14ac:dyDescent="0.2">
      <c r="N208" s="79"/>
    </row>
    <row r="209" spans="1:14" x14ac:dyDescent="0.2">
      <c r="N209" s="79"/>
    </row>
    <row r="210" spans="1:14" x14ac:dyDescent="0.2">
      <c r="N210" s="79"/>
    </row>
    <row r="211" spans="1:14" x14ac:dyDescent="0.2">
      <c r="N211" s="79"/>
    </row>
    <row r="212" spans="1:14" x14ac:dyDescent="0.2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</row>
    <row r="214" spans="1:14" x14ac:dyDescent="0.2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</row>
    <row r="215" spans="1:14" x14ac:dyDescent="0.2">
      <c r="B215" t="s">
        <v>92</v>
      </c>
      <c r="M215" s="79"/>
    </row>
    <row r="216" spans="1:14" x14ac:dyDescent="0.2">
      <c r="G216" s="45">
        <f>0.95</f>
        <v>0.95</v>
      </c>
      <c r="M216" s="79"/>
    </row>
    <row r="217" spans="1:14" x14ac:dyDescent="0.2">
      <c r="B217" s="32" t="s">
        <v>21</v>
      </c>
      <c r="C217" s="80">
        <f>1-G216</f>
        <v>5.0000000000000044E-2</v>
      </c>
      <c r="M217" s="79"/>
    </row>
    <row r="218" spans="1:14" x14ac:dyDescent="0.2">
      <c r="B218" s="81" t="s">
        <v>70</v>
      </c>
      <c r="C218" s="82">
        <v>25</v>
      </c>
      <c r="M218" s="79"/>
    </row>
    <row r="219" spans="1:14" x14ac:dyDescent="0.2">
      <c r="B219" s="81" t="s">
        <v>8</v>
      </c>
      <c r="C219" s="81">
        <f>D28</f>
        <v>15</v>
      </c>
      <c r="M219" s="79"/>
    </row>
    <row r="220" spans="1:14" x14ac:dyDescent="0.2">
      <c r="B220" s="81" t="s">
        <v>71</v>
      </c>
      <c r="C220" s="83">
        <f>D29</f>
        <v>29.186666666666667</v>
      </c>
      <c r="M220" s="79"/>
    </row>
    <row r="221" spans="1:14" x14ac:dyDescent="0.2">
      <c r="B221" s="81" t="s">
        <v>55</v>
      </c>
      <c r="C221" s="83">
        <f>D31</f>
        <v>1626.4773333333324</v>
      </c>
      <c r="M221" s="79"/>
    </row>
    <row r="222" spans="1:14" x14ac:dyDescent="0.2">
      <c r="B222" s="81" t="s">
        <v>36</v>
      </c>
      <c r="C222" s="83">
        <f>D34</f>
        <v>235427.19720491883</v>
      </c>
      <c r="M222" s="79"/>
    </row>
    <row r="223" spans="1:14" x14ac:dyDescent="0.2">
      <c r="B223" s="14" t="s">
        <v>17</v>
      </c>
      <c r="C223" s="126">
        <f>H28</f>
        <v>546.6</v>
      </c>
      <c r="M223" s="79"/>
    </row>
    <row r="224" spans="1:14" x14ac:dyDescent="0.2">
      <c r="B224" s="14" t="s">
        <v>31</v>
      </c>
      <c r="C224" s="83">
        <f>H29</f>
        <v>26.412861169086916</v>
      </c>
      <c r="M224" s="79"/>
    </row>
    <row r="225" spans="1:13" x14ac:dyDescent="0.2">
      <c r="B225" s="81" t="s">
        <v>72</v>
      </c>
      <c r="C225" s="80">
        <f>SQRT(C222/(C219-2)*(1/C219+(C218-C220)^2/C221))</f>
        <v>37.449753058262765</v>
      </c>
      <c r="M225" s="79"/>
    </row>
    <row r="226" spans="1:13" x14ac:dyDescent="0.2">
      <c r="B226" s="81" t="s">
        <v>73</v>
      </c>
      <c r="C226" s="83">
        <f>C223+C224*(C218-C220)</f>
        <v>436.01815457208943</v>
      </c>
      <c r="M226" s="79"/>
    </row>
    <row r="227" spans="1:13" x14ac:dyDescent="0.2">
      <c r="B227" s="24" t="s">
        <v>93</v>
      </c>
      <c r="C227" s="80">
        <f>_xlfn.T.INV(1-C217/2,C219-2)</f>
        <v>2.1603686564627917</v>
      </c>
      <c r="M227" s="79"/>
    </row>
    <row r="228" spans="1:13" x14ac:dyDescent="0.2">
      <c r="M228" s="79"/>
    </row>
    <row r="229" spans="1:13" x14ac:dyDescent="0.2">
      <c r="M229" s="79"/>
    </row>
    <row r="230" spans="1:13" x14ac:dyDescent="0.2">
      <c r="B230" s="96" t="s">
        <v>29</v>
      </c>
      <c r="C230" s="97"/>
      <c r="D230" s="113">
        <f>C226-C227*C225</f>
        <v>355.11288187274698</v>
      </c>
      <c r="E230" s="41" t="s">
        <v>27</v>
      </c>
      <c r="F230" s="113">
        <f>C226+C227*C225</f>
        <v>516.92342727143193</v>
      </c>
      <c r="G230" s="41" t="s">
        <v>28</v>
      </c>
      <c r="M230" s="79"/>
    </row>
    <row r="231" spans="1:13" x14ac:dyDescent="0.2">
      <c r="M231" s="79"/>
    </row>
    <row r="232" spans="1:13" ht="17" thickBot="1" x14ac:dyDescent="0.25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</row>
    <row r="233" spans="1:13" x14ac:dyDescent="0.2">
      <c r="A233" s="84"/>
      <c r="B233" s="85"/>
      <c r="C233" s="85"/>
      <c r="D233" s="85"/>
      <c r="E233" s="85"/>
      <c r="F233" s="85"/>
      <c r="G233" s="85"/>
      <c r="H233" s="85"/>
      <c r="I233" s="85"/>
      <c r="J233" s="85"/>
      <c r="K233" s="86"/>
    </row>
    <row r="234" spans="1:13" x14ac:dyDescent="0.2">
      <c r="A234" s="87"/>
      <c r="B234" t="s">
        <v>74</v>
      </c>
      <c r="G234" t="s">
        <v>42</v>
      </c>
      <c r="H234" s="45">
        <v>0.05</v>
      </c>
      <c r="K234" s="88"/>
    </row>
    <row r="235" spans="1:13" x14ac:dyDescent="0.2">
      <c r="A235" s="87"/>
      <c r="K235" s="88"/>
    </row>
    <row r="236" spans="1:13" x14ac:dyDescent="0.2">
      <c r="A236" s="87"/>
      <c r="B236" s="32" t="s">
        <v>21</v>
      </c>
      <c r="C236">
        <f>H234</f>
        <v>0.05</v>
      </c>
      <c r="K236" s="88"/>
    </row>
    <row r="237" spans="1:13" x14ac:dyDescent="0.2">
      <c r="A237" s="87"/>
      <c r="B237" s="81" t="s">
        <v>8</v>
      </c>
      <c r="C237">
        <f>C219</f>
        <v>15</v>
      </c>
      <c r="K237" s="88"/>
    </row>
    <row r="238" spans="1:13" x14ac:dyDescent="0.2">
      <c r="A238" s="87"/>
      <c r="B238" t="s">
        <v>75</v>
      </c>
      <c r="C238" s="23">
        <f>D33/SQRT(D31*D32)</f>
        <v>0.91003878045718378</v>
      </c>
      <c r="D238" s="23">
        <f>CORREL(A2:A16,B2:B16)</f>
        <v>0.91003878045718278</v>
      </c>
      <c r="K238" s="88"/>
    </row>
    <row r="239" spans="1:13" x14ac:dyDescent="0.2">
      <c r="A239" s="87"/>
      <c r="B239" t="s">
        <v>85</v>
      </c>
      <c r="C239" s="13">
        <f>SQRT(C237-2)*C238/SQRT(1-C238^2)</f>
        <v>7.9155813446038223</v>
      </c>
      <c r="K239" s="88"/>
    </row>
    <row r="240" spans="1:13" x14ac:dyDescent="0.2">
      <c r="A240" s="87"/>
      <c r="B240" s="24" t="s">
        <v>93</v>
      </c>
      <c r="C240" s="23">
        <f>_xlfn.T.INV(1-C236/2,C237-2)</f>
        <v>2.1603686564627917</v>
      </c>
      <c r="K240" s="88"/>
    </row>
    <row r="241" spans="1:11" x14ac:dyDescent="0.2">
      <c r="A241" s="87"/>
      <c r="K241" s="88"/>
    </row>
    <row r="242" spans="1:11" x14ac:dyDescent="0.2">
      <c r="A242" s="87"/>
      <c r="K242" s="88"/>
    </row>
    <row r="243" spans="1:11" x14ac:dyDescent="0.2">
      <c r="A243" s="87"/>
      <c r="B243" s="60" t="s">
        <v>83</v>
      </c>
      <c r="C243" s="121">
        <f>ABS(C239)</f>
        <v>7.9155813446038223</v>
      </c>
      <c r="D243" s="60" t="s">
        <v>48</v>
      </c>
      <c r="E243" s="124">
        <f>C240</f>
        <v>2.1603686564627917</v>
      </c>
      <c r="F243" s="61" t="s">
        <v>94</v>
      </c>
      <c r="G243" s="60" t="s">
        <v>49</v>
      </c>
      <c r="H243" s="60"/>
      <c r="K243" s="88"/>
    </row>
    <row r="244" spans="1:11" x14ac:dyDescent="0.2">
      <c r="A244" s="87"/>
      <c r="K244" s="88"/>
    </row>
    <row r="245" spans="1:11" x14ac:dyDescent="0.2">
      <c r="A245" s="87"/>
      <c r="B245" s="98" t="s">
        <v>50</v>
      </c>
      <c r="C245" s="98"/>
      <c r="D245" s="98"/>
      <c r="F245" t="str">
        <f>IF(C239&gt;C240,"Відхилити", "Прийняти")</f>
        <v>Відхилити</v>
      </c>
      <c r="G245" t="s">
        <v>60</v>
      </c>
      <c r="K245" s="88"/>
    </row>
    <row r="246" spans="1:11" x14ac:dyDescent="0.2">
      <c r="A246" s="87"/>
      <c r="K246" s="88"/>
    </row>
    <row r="247" spans="1:11" x14ac:dyDescent="0.2">
      <c r="A247" s="87"/>
      <c r="K247" s="88"/>
    </row>
    <row r="248" spans="1:11" ht="17" thickBot="1" x14ac:dyDescent="0.25">
      <c r="A248" s="89"/>
      <c r="B248" s="90"/>
      <c r="C248" s="90"/>
      <c r="D248" s="90"/>
      <c r="E248" s="90"/>
      <c r="F248" s="90"/>
      <c r="G248" s="90"/>
      <c r="H248" s="90"/>
      <c r="I248" s="90"/>
      <c r="J248" s="90"/>
      <c r="K248" s="91"/>
    </row>
    <row r="251" spans="1:11" x14ac:dyDescent="0.2">
      <c r="B251" t="s">
        <v>77</v>
      </c>
    </row>
    <row r="253" spans="1:11" x14ac:dyDescent="0.2">
      <c r="H253" t="s">
        <v>78</v>
      </c>
      <c r="I253" s="118">
        <f>D32</f>
        <v>1370121.5999999996</v>
      </c>
    </row>
    <row r="254" spans="1:11" x14ac:dyDescent="0.2">
      <c r="H254" t="s">
        <v>79</v>
      </c>
      <c r="I254" s="13">
        <f>D34</f>
        <v>235427.19720491883</v>
      </c>
    </row>
    <row r="255" spans="1:11" x14ac:dyDescent="0.2">
      <c r="H255" t="s">
        <v>80</v>
      </c>
      <c r="I255" s="119">
        <f>1-I254/I253</f>
        <v>0.82817058193599835</v>
      </c>
    </row>
    <row r="258" spans="8:11" x14ac:dyDescent="0.2">
      <c r="H258" s="99" t="s">
        <v>104</v>
      </c>
      <c r="I258" s="99"/>
      <c r="J258" s="99"/>
      <c r="K258" s="99"/>
    </row>
    <row r="259" spans="8:11" x14ac:dyDescent="0.2">
      <c r="H259" s="45"/>
      <c r="I259" s="45"/>
      <c r="J259" s="45"/>
    </row>
  </sheetData>
  <mergeCells count="23">
    <mergeCell ref="A76:B76"/>
    <mergeCell ref="A26:G26"/>
    <mergeCell ref="G3:K3"/>
    <mergeCell ref="A43:I43"/>
    <mergeCell ref="A63:I63"/>
    <mergeCell ref="A74:B74"/>
    <mergeCell ref="U162:Y162"/>
    <mergeCell ref="AD162:AF162"/>
    <mergeCell ref="B182:F182"/>
    <mergeCell ref="B197:F197"/>
    <mergeCell ref="A89:B89"/>
    <mergeCell ref="A91:B91"/>
    <mergeCell ref="A99:B99"/>
    <mergeCell ref="A120:G120"/>
    <mergeCell ref="B129:B143"/>
    <mergeCell ref="F131:F132"/>
    <mergeCell ref="F135:F136"/>
    <mergeCell ref="F139:F140"/>
    <mergeCell ref="B207:F207"/>
    <mergeCell ref="B230:C230"/>
    <mergeCell ref="B245:D245"/>
    <mergeCell ref="H258:K258"/>
    <mergeCell ref="B147:L1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Nataliia Kravchuk</dc:creator>
  <cp:lastModifiedBy>Nataliia Kravchuk</cp:lastModifiedBy>
  <dcterms:created xsi:type="dcterms:W3CDTF">2024-04-29T20:59:47Z</dcterms:created>
  <dcterms:modified xsi:type="dcterms:W3CDTF">2024-04-30T11:20:21Z</dcterms:modified>
</cp:coreProperties>
</file>