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olodymyrkovalchuk/KPI/4/2 семест/регресійний анал/рр/"/>
    </mc:Choice>
  </mc:AlternateContent>
  <xr:revisionPtr revIDLastSave="0" documentId="8_{E1697691-6558-F14C-BFF6-C2D2C0946070}" xr6:coauthVersionLast="47" xr6:coauthVersionMax="47" xr10:uidLastSave="{00000000-0000-0000-0000-000000000000}"/>
  <bookViews>
    <workbookView xWindow="14820" yWindow="760" windowWidth="19420" windowHeight="18840" xr2:uid="{96DC1E96-73FF-BD4C-8A79-32D13F041120}"/>
  </bookViews>
  <sheets>
    <sheet name="пункт 1" sheetId="1" r:id="rId1"/>
    <sheet name="пункт 2,4" sheetId="2" r:id="rId2"/>
    <sheet name="пункт 3, 5, 6" sheetId="3" r:id="rId3"/>
    <sheet name="пункт 7-8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6" i="3" l="1"/>
  <c r="D35" i="3"/>
  <c r="B35" i="3"/>
  <c r="D18" i="1"/>
  <c r="D19" i="1"/>
  <c r="D20" i="1"/>
  <c r="D21" i="1"/>
  <c r="D22" i="1"/>
  <c r="D23" i="1"/>
  <c r="D24" i="1"/>
  <c r="D25" i="1"/>
  <c r="D26" i="1"/>
  <c r="D27" i="1"/>
  <c r="D28" i="1"/>
  <c r="D29" i="1"/>
  <c r="L28" i="1"/>
  <c r="L26" i="1" l="1"/>
  <c r="H23" i="1" s="1"/>
  <c r="L27" i="1"/>
  <c r="C7" i="4"/>
  <c r="C6" i="4"/>
  <c r="H19" i="1" l="1"/>
  <c r="H27" i="1"/>
  <c r="H22" i="1"/>
  <c r="H21" i="1"/>
  <c r="H20" i="1"/>
  <c r="H28" i="1"/>
  <c r="H25" i="1"/>
  <c r="H24" i="1"/>
  <c r="H18" i="1"/>
  <c r="H29" i="1"/>
  <c r="H26" i="1"/>
  <c r="C32" i="2"/>
  <c r="C7" i="2"/>
  <c r="C8" i="2"/>
  <c r="F5" i="2"/>
  <c r="N41" i="1"/>
  <c r="I21" i="1"/>
  <c r="I22" i="1"/>
  <c r="I23" i="1"/>
  <c r="I24" i="1"/>
  <c r="I25" i="1"/>
  <c r="I26" i="1"/>
  <c r="N27" i="1"/>
  <c r="D84" i="3" s="1"/>
  <c r="E88" i="3" s="1"/>
  <c r="I18" i="1"/>
  <c r="B25" i="3"/>
  <c r="B8" i="3"/>
  <c r="C4" i="4" s="1"/>
  <c r="C14" i="4" s="1"/>
  <c r="C34" i="2"/>
  <c r="C6" i="2"/>
  <c r="D5" i="2"/>
  <c r="E5" i="2"/>
  <c r="L25" i="1"/>
  <c r="N37" i="1" s="1"/>
  <c r="C5" i="2" s="1"/>
  <c r="D23" i="2" s="1"/>
  <c r="J24" i="1" l="1"/>
  <c r="J25" i="1"/>
  <c r="J23" i="1"/>
  <c r="I29" i="1"/>
  <c r="I28" i="1"/>
  <c r="J22" i="1"/>
  <c r="J21" i="1"/>
  <c r="J18" i="1"/>
  <c r="J20" i="1"/>
  <c r="I27" i="1"/>
  <c r="I20" i="1"/>
  <c r="J29" i="1"/>
  <c r="J19" i="1"/>
  <c r="I19" i="1"/>
  <c r="J28" i="1"/>
  <c r="J27" i="1"/>
  <c r="J26" i="1"/>
  <c r="N42" i="1"/>
  <c r="C33" i="2"/>
  <c r="C35" i="2" s="1"/>
  <c r="B87" i="3"/>
  <c r="E86" i="3" s="1"/>
  <c r="B88" i="3"/>
  <c r="E87" i="3" s="1"/>
  <c r="B7" i="3"/>
  <c r="B9" i="3" s="1"/>
  <c r="B85" i="3" s="1"/>
  <c r="P38" i="1" l="1"/>
  <c r="O39" i="1" s="1"/>
  <c r="D7" i="2" s="1"/>
  <c r="I30" i="1"/>
  <c r="P39" i="1"/>
  <c r="E7" i="2" s="1"/>
  <c r="Q40" i="1"/>
  <c r="F8" i="2" s="1"/>
  <c r="E15" i="2" s="1"/>
  <c r="J30" i="1"/>
  <c r="N44" i="1"/>
  <c r="H30" i="1"/>
  <c r="O40" i="1"/>
  <c r="N43" i="1"/>
  <c r="P40" i="1"/>
  <c r="O38" i="1"/>
  <c r="K71" i="2"/>
  <c r="C82" i="2"/>
  <c r="C81" i="2"/>
  <c r="C48" i="2"/>
  <c r="C71" i="2"/>
  <c r="C59" i="2"/>
  <c r="B84" i="3"/>
  <c r="C3" i="4"/>
  <c r="D13" i="4" s="1"/>
  <c r="B14" i="3"/>
  <c r="D16" i="3" s="1"/>
  <c r="B26" i="3"/>
  <c r="E8" i="2" l="1"/>
  <c r="D15" i="2" s="1"/>
  <c r="Q39" i="1"/>
  <c r="F7" i="2" s="1"/>
  <c r="E14" i="2" s="1"/>
  <c r="D8" i="2"/>
  <c r="C15" i="2" s="1"/>
  <c r="Q38" i="1"/>
  <c r="F6" i="2" s="1"/>
  <c r="E13" i="2" s="1"/>
  <c r="B52" i="3"/>
  <c r="B95" i="3" s="1"/>
  <c r="K52" i="3"/>
  <c r="M55" i="3" s="1"/>
  <c r="C12" i="4"/>
  <c r="H12" i="4" s="1"/>
  <c r="C13" i="4"/>
  <c r="B45" i="3"/>
  <c r="B32" i="3"/>
  <c r="S37" i="1" l="1" a="1"/>
  <c r="D55" i="3"/>
  <c r="B67" i="3"/>
  <c r="B71" i="3" s="1"/>
  <c r="E75" i="3" s="1"/>
  <c r="K45" i="3"/>
  <c r="L52" i="3" s="1"/>
  <c r="C52" i="3"/>
  <c r="C35" i="3"/>
  <c r="C37" i="3"/>
  <c r="D14" i="2"/>
  <c r="C14" i="2"/>
  <c r="D6" i="2"/>
  <c r="C13" i="2" s="1"/>
  <c r="S37" i="1" l="1"/>
  <c r="T37" i="1"/>
  <c r="U39" i="1"/>
  <c r="E11" i="2" s="1"/>
  <c r="V38" i="1"/>
  <c r="F10" i="2" s="1"/>
  <c r="S38" i="1"/>
  <c r="T40" i="1"/>
  <c r="D12" i="2" s="1"/>
  <c r="U37" i="1"/>
  <c r="V37" i="1"/>
  <c r="F9" i="2" s="1"/>
  <c r="U40" i="1"/>
  <c r="E12" i="2" s="1"/>
  <c r="V40" i="1"/>
  <c r="F12" i="2" s="1"/>
  <c r="T38" i="1"/>
  <c r="S39" i="1"/>
  <c r="C11" i="2" s="1"/>
  <c r="S40" i="1"/>
  <c r="C12" i="2" s="1"/>
  <c r="T39" i="1"/>
  <c r="D11" i="2" s="1"/>
  <c r="U38" i="1"/>
  <c r="V39" i="1"/>
  <c r="F11" i="2" s="1"/>
  <c r="B70" i="3"/>
  <c r="E74" i="3" s="1"/>
  <c r="E6" i="2"/>
  <c r="D13" i="2" s="1"/>
  <c r="C20" i="2" s="1"/>
  <c r="B49" i="3" s="1"/>
  <c r="K49" i="3" s="1"/>
  <c r="N46" i="1" l="1" a="1"/>
  <c r="C16" i="2" a="1"/>
  <c r="D10" i="2"/>
  <c r="C10" i="2"/>
  <c r="D9" i="2"/>
  <c r="E9" i="2"/>
  <c r="E10" i="2"/>
  <c r="C16" i="2" l="1"/>
  <c r="F19" i="2" s="1"/>
  <c r="D57" i="2" s="1"/>
  <c r="E16" i="2"/>
  <c r="D18" i="2"/>
  <c r="F26" i="2" s="1"/>
  <c r="D16" i="2"/>
  <c r="E18" i="2"/>
  <c r="D17" i="2"/>
  <c r="C18" i="2"/>
  <c r="E17" i="2"/>
  <c r="C17" i="2"/>
  <c r="N46" i="1"/>
  <c r="N47" i="1"/>
  <c r="N48" i="1"/>
  <c r="N49" i="1"/>
  <c r="N31" i="1" s="1"/>
  <c r="E82" i="3"/>
  <c r="C9" i="2"/>
  <c r="B29" i="3" l="1"/>
  <c r="E24" i="2"/>
  <c r="C57" i="2" s="1"/>
  <c r="I69" i="1"/>
  <c r="I68" i="1"/>
  <c r="I61" i="1"/>
  <c r="I72" i="1"/>
  <c r="I67" i="1"/>
  <c r="I66" i="1"/>
  <c r="I64" i="1"/>
  <c r="I62" i="1"/>
  <c r="I71" i="1"/>
  <c r="H61" i="1" a="1"/>
  <c r="I65" i="1"/>
  <c r="I63" i="1"/>
  <c r="I70" i="1"/>
  <c r="E83" i="3"/>
  <c r="E25" i="2"/>
  <c r="F20" i="2"/>
  <c r="G83" i="3"/>
  <c r="G25" i="2"/>
  <c r="H20" i="2"/>
  <c r="E84" i="3"/>
  <c r="F21" i="2"/>
  <c r="E26" i="2"/>
  <c r="F83" i="3"/>
  <c r="C69" i="2"/>
  <c r="G20" i="2"/>
  <c r="F25" i="2"/>
  <c r="G84" i="3"/>
  <c r="G26" i="2"/>
  <c r="H21" i="2"/>
  <c r="K69" i="2"/>
  <c r="F24" i="2"/>
  <c r="G19" i="2"/>
  <c r="F82" i="3"/>
  <c r="D92" i="3"/>
  <c r="K46" i="3"/>
  <c r="K68" i="2"/>
  <c r="F84" i="3"/>
  <c r="G21" i="2"/>
  <c r="G82" i="3"/>
  <c r="G24" i="2"/>
  <c r="H19" i="2"/>
  <c r="L29" i="1"/>
  <c r="B89" i="3" l="1"/>
  <c r="K48" i="3"/>
  <c r="L69" i="2"/>
  <c r="B48" i="3"/>
  <c r="D69" i="2"/>
  <c r="H66" i="1"/>
  <c r="H72" i="1"/>
  <c r="H64" i="1"/>
  <c r="H65" i="1"/>
  <c r="H69" i="1"/>
  <c r="H67" i="1"/>
  <c r="H63" i="1"/>
  <c r="H71" i="1"/>
  <c r="H70" i="1"/>
  <c r="H61" i="1"/>
  <c r="H62" i="1"/>
  <c r="H68" i="1"/>
  <c r="L31" i="1"/>
  <c r="L30" i="1"/>
  <c r="B90" i="3" l="1"/>
  <c r="B10" i="3"/>
  <c r="C46" i="2"/>
  <c r="K66" i="1"/>
  <c r="K68" i="1"/>
  <c r="K63" i="1"/>
  <c r="K69" i="1"/>
  <c r="K65" i="1"/>
  <c r="K67" i="1"/>
  <c r="K71" i="1"/>
  <c r="K72" i="1"/>
  <c r="K70" i="1"/>
  <c r="K62" i="1"/>
  <c r="K61" i="1"/>
  <c r="K64" i="1"/>
  <c r="C56" i="2"/>
  <c r="B27" i="3"/>
  <c r="B91" i="3"/>
  <c r="B46" i="3"/>
  <c r="C68" i="2"/>
  <c r="B92" i="3"/>
  <c r="B94" i="3" l="1"/>
  <c r="L32" i="1"/>
  <c r="L33" i="1" s="1"/>
  <c r="C37" i="2" l="1"/>
  <c r="K70" i="2" s="1"/>
  <c r="L51" i="3"/>
  <c r="B11" i="3"/>
  <c r="B47" i="3" s="1"/>
  <c r="K47" i="3" s="1"/>
  <c r="K50" i="3" s="1"/>
  <c r="K51" i="3" s="1"/>
  <c r="K55" i="3" s="1"/>
  <c r="C36" i="2"/>
  <c r="C80" i="2" s="1"/>
  <c r="C51" i="3"/>
  <c r="D58" i="2" l="1"/>
  <c r="C58" i="2"/>
  <c r="F61" i="2" s="1"/>
  <c r="C70" i="2"/>
  <c r="D73" i="2" s="1"/>
  <c r="C5" i="4"/>
  <c r="D12" i="4" s="1"/>
  <c r="B12" i="3"/>
  <c r="B13" i="3" s="1"/>
  <c r="B16" i="3" s="1"/>
  <c r="C16" i="3" s="1"/>
  <c r="D47" i="2"/>
  <c r="B28" i="3"/>
  <c r="B30" i="3" s="1"/>
  <c r="B31" i="3" s="1"/>
  <c r="L70" i="2"/>
  <c r="D70" i="2"/>
  <c r="L57" i="3"/>
  <c r="L55" i="3"/>
  <c r="C47" i="2"/>
  <c r="D50" i="2" s="1"/>
  <c r="L73" i="2"/>
  <c r="N73" i="2"/>
  <c r="D85" i="2"/>
  <c r="F85" i="2"/>
  <c r="B68" i="3"/>
  <c r="B50" i="3"/>
  <c r="B51" i="3" s="1"/>
  <c r="B55" i="3" s="1"/>
  <c r="C22" i="4" l="1"/>
  <c r="C25" i="4" s="1"/>
  <c r="C18" i="3"/>
  <c r="F73" i="2"/>
  <c r="D61" i="2"/>
  <c r="F50" i="2"/>
  <c r="E12" i="4"/>
  <c r="D14" i="4"/>
  <c r="E14" i="4" s="1"/>
  <c r="C57" i="3"/>
  <c r="C55" i="3"/>
  <c r="B86" i="3"/>
  <c r="B93" i="3" s="1"/>
  <c r="B69" i="3"/>
  <c r="F12" i="4" l="1"/>
  <c r="G13" i="4" s="1"/>
  <c r="C74" i="3"/>
  <c r="D74" i="3" s="1"/>
  <c r="C75" i="3"/>
  <c r="D75" i="3" s="1"/>
  <c r="D98" i="3"/>
  <c r="F98" i="3"/>
  <c r="G12" i="4" l="1"/>
</calcChain>
</file>

<file path=xl/sharedStrings.xml><?xml version="1.0" encoding="utf-8"?>
<sst xmlns="http://schemas.openxmlformats.org/spreadsheetml/2006/main" count="196" uniqueCount="112">
  <si>
    <t>Рейтинг (Y)</t>
  </si>
  <si>
    <t>X2</t>
  </si>
  <si>
    <t>X1</t>
  </si>
  <si>
    <t>d=</t>
  </si>
  <si>
    <t>N=</t>
  </si>
  <si>
    <t>X</t>
  </si>
  <si>
    <t>X=</t>
  </si>
  <si>
    <t>X^TX=</t>
  </si>
  <si>
    <t>(X^TX)^-1=</t>
  </si>
  <si>
    <t>X^TY=</t>
  </si>
  <si>
    <t>z_1</t>
  </si>
  <si>
    <t>z_2</t>
  </si>
  <si>
    <t>=</t>
  </si>
  <si>
    <r>
      <t>θ</t>
    </r>
    <r>
      <rPr>
        <sz val="8"/>
        <color theme="1"/>
        <rFont val="Cambria Math"/>
        <family val="1"/>
      </rPr>
      <t>0</t>
    </r>
    <r>
      <rPr>
        <sz val="11"/>
        <color rgb="FF000000"/>
        <rFont val="Aptos Narrow"/>
        <scheme val="minor"/>
      </rPr>
      <t xml:space="preserve"> з  кр</t>
    </r>
  </si>
  <si>
    <r>
      <t>θ</t>
    </r>
    <r>
      <rPr>
        <sz val="8"/>
        <color theme="1"/>
        <rFont val="Cambria Math"/>
        <family val="1"/>
      </rPr>
      <t>1</t>
    </r>
    <r>
      <rPr>
        <sz val="11"/>
        <color rgb="FF000000"/>
        <rFont val="Aptos Narrow"/>
        <scheme val="minor"/>
      </rPr>
      <t xml:space="preserve"> з  кр</t>
    </r>
  </si>
  <si>
    <r>
      <t>θ</t>
    </r>
    <r>
      <rPr>
        <sz val="8"/>
        <color theme="1"/>
        <rFont val="Cambria Math"/>
        <family val="1"/>
      </rPr>
      <t>2</t>
    </r>
    <r>
      <rPr>
        <sz val="11"/>
        <color rgb="FF000000"/>
        <rFont val="Aptos Narrow"/>
        <scheme val="minor"/>
      </rPr>
      <t xml:space="preserve"> з  кр</t>
    </r>
  </si>
  <si>
    <t>X1_avg =</t>
  </si>
  <si>
    <t>X2_avg =</t>
  </si>
  <si>
    <t>Y_avg =</t>
  </si>
  <si>
    <t>Xθ з кри=</t>
  </si>
  <si>
    <t>Y-Xθ з кри=</t>
  </si>
  <si>
    <t>перевірка</t>
  </si>
  <si>
    <t>RSS=</t>
  </si>
  <si>
    <t>σ^2 з кр =</t>
  </si>
  <si>
    <t>RSS =</t>
  </si>
  <si>
    <r>
      <t>θ</t>
    </r>
    <r>
      <rPr>
        <b/>
        <sz val="8"/>
        <color theme="1"/>
        <rFont val="Cambria Math"/>
        <family val="1"/>
      </rPr>
      <t>0</t>
    </r>
    <r>
      <rPr>
        <b/>
        <sz val="11"/>
        <color rgb="FF000000"/>
        <rFont val="Aptos Narrow"/>
        <scheme val="minor"/>
      </rPr>
      <t xml:space="preserve"> з  кр</t>
    </r>
    <r>
      <rPr>
        <b/>
        <sz val="11"/>
        <color theme="1"/>
        <rFont val="Cambria Math"/>
        <family val="1"/>
      </rPr>
      <t xml:space="preserve"> =</t>
    </r>
  </si>
  <si>
    <r>
      <t>θ</t>
    </r>
    <r>
      <rPr>
        <b/>
        <sz val="8"/>
        <color theme="1"/>
        <rFont val="Cambria Math"/>
        <family val="1"/>
      </rPr>
      <t>1</t>
    </r>
    <r>
      <rPr>
        <b/>
        <sz val="11"/>
        <color rgb="FF000000"/>
        <rFont val="Aptos Narrow"/>
        <scheme val="minor"/>
      </rPr>
      <t xml:space="preserve"> з  кр</t>
    </r>
    <r>
      <rPr>
        <b/>
        <sz val="11"/>
        <color theme="1"/>
        <rFont val="Cambria Math"/>
        <family val="1"/>
      </rPr>
      <t xml:space="preserve"> =</t>
    </r>
  </si>
  <si>
    <r>
      <t>θ</t>
    </r>
    <r>
      <rPr>
        <b/>
        <sz val="8"/>
        <color theme="1"/>
        <rFont val="Cambria Math"/>
        <family val="1"/>
      </rPr>
      <t>2</t>
    </r>
    <r>
      <rPr>
        <b/>
        <sz val="11"/>
        <color rgb="FF000000"/>
        <rFont val="Aptos Narrow"/>
        <scheme val="minor"/>
      </rPr>
      <t xml:space="preserve"> з  кр</t>
    </r>
    <r>
      <rPr>
        <b/>
        <sz val="11"/>
        <color theme="1"/>
        <rFont val="Cambria Math"/>
        <family val="1"/>
      </rPr>
      <t xml:space="preserve"> =</t>
    </r>
  </si>
  <si>
    <t xml:space="preserve"> X^TX=
</t>
  </si>
  <si>
    <t>Г матр</t>
  </si>
  <si>
    <t>(Г матр)^-1</t>
  </si>
  <si>
    <t>Г =</t>
  </si>
  <si>
    <t>Г_а</t>
  </si>
  <si>
    <t>Ков. Матриця =</t>
  </si>
  <si>
    <t>а) надійний інтервал для θ0</t>
  </si>
  <si>
    <t xml:space="preserve">α = </t>
  </si>
  <si>
    <t xml:space="preserve">N = </t>
  </si>
  <si>
    <t xml:space="preserve">d = </t>
  </si>
  <si>
    <t xml:space="preserve">N-d-1 = </t>
  </si>
  <si>
    <t>RSS = R0 =</t>
  </si>
  <si>
    <t>𝜎^2 з кр. =</t>
  </si>
  <si>
    <t>θ1 з  кр =</t>
  </si>
  <si>
    <t>θ0 з  кр =</t>
  </si>
  <si>
    <t>корінь</t>
  </si>
  <si>
    <t>2 спосіб</t>
  </si>
  <si>
    <t>Надійний інтервал</t>
  </si>
  <si>
    <t>(</t>
  </si>
  <si>
    <t>)</t>
  </si>
  <si>
    <t>;</t>
  </si>
  <si>
    <t>Г_11/Г</t>
  </si>
  <si>
    <t>б) надійний інтервал для θ1</t>
  </si>
  <si>
    <t>Г_22/Г</t>
  </si>
  <si>
    <t>θ2 з  кр =</t>
  </si>
  <si>
    <t>а) перевірка гіпотези значущості  θ0</t>
  </si>
  <si>
    <t>N-d-1=</t>
  </si>
  <si>
    <t>t_</t>
  </si>
  <si>
    <t>корінь=</t>
  </si>
  <si>
    <t>&lt;- воно чомусь інше (але трохи)</t>
  </si>
  <si>
    <r>
      <t>t_</t>
    </r>
    <r>
      <rPr>
        <sz val="9"/>
        <color theme="1"/>
        <rFont val="Aptos Narrow (Body)"/>
      </rPr>
      <t>N-d-1</t>
    </r>
  </si>
  <si>
    <t>|t_N-d-1|=</t>
  </si>
  <si>
    <t>Г_11/Г =</t>
  </si>
  <si>
    <t>RSS=R_0^2</t>
  </si>
  <si>
    <t>Г_22 =</t>
  </si>
  <si>
    <t>б) перевірка гіпотези значущості  θ1</t>
  </si>
  <si>
    <t>в) перевірка гіпотези значущості  θ2</t>
  </si>
  <si>
    <t>σ^2_0</t>
  </si>
  <si>
    <t>X^2_22=</t>
  </si>
  <si>
    <t>X^2_0,95,22</t>
  </si>
  <si>
    <t>X^2_0.05,22</t>
  </si>
  <si>
    <t>Відхиляємо</t>
  </si>
  <si>
    <t>X1 =</t>
  </si>
  <si>
    <t>X2 =</t>
  </si>
  <si>
    <t xml:space="preserve">RSS=R_0^2 = </t>
  </si>
  <si>
    <t>X1-X1_avg=</t>
  </si>
  <si>
    <t>X2-X2_avg=</t>
  </si>
  <si>
    <t xml:space="preserve">Сума з Г = </t>
  </si>
  <si>
    <t xml:space="preserve">корінь = </t>
  </si>
  <si>
    <t xml:space="preserve">Y з кр. = </t>
  </si>
  <si>
    <t>картинка 4</t>
  </si>
  <si>
    <t>Число ступенів волі</t>
  </si>
  <si>
    <t>Сума квадратів</t>
  </si>
  <si>
    <t>Середній квадрат</t>
  </si>
  <si>
    <t>F-відношення</t>
  </si>
  <si>
    <t>Залишкова сума</t>
  </si>
  <si>
    <t>Повна сума</t>
  </si>
  <si>
    <t>Відхилення від гіпотези</t>
  </si>
  <si>
    <t>d =</t>
  </si>
  <si>
    <t>Сума Y_j</t>
  </si>
  <si>
    <t>Сума Y_j^2</t>
  </si>
  <si>
    <t>=F_0,05.22</t>
  </si>
  <si>
    <t>R^2=</t>
  </si>
  <si>
    <t xml:space="preserve">Модель описує </t>
  </si>
  <si>
    <t>повної варіації</t>
  </si>
  <si>
    <t>X3</t>
  </si>
  <si>
    <t>z_3</t>
  </si>
  <si>
    <t>X3_avg=</t>
  </si>
  <si>
    <t>θ3 з  кр =</t>
  </si>
  <si>
    <t>θ3 з  кр</t>
  </si>
  <si>
    <r>
      <t xml:space="preserve">t </t>
    </r>
    <r>
      <rPr>
        <sz val="8"/>
        <color theme="1"/>
        <rFont val="Aptos Narrow (Body)"/>
      </rPr>
      <t>0,05,8</t>
    </r>
  </si>
  <si>
    <r>
      <t xml:space="preserve">t </t>
    </r>
    <r>
      <rPr>
        <sz val="8"/>
        <color theme="1"/>
        <rFont val="Aptos Narrow (Body)"/>
      </rPr>
      <t>0,5,8</t>
    </r>
  </si>
  <si>
    <t>в) надійний інтервал для θ2</t>
  </si>
  <si>
    <t>г) надійний інтервал для θ3</t>
  </si>
  <si>
    <t>Г_33/Г</t>
  </si>
  <si>
    <r>
      <t xml:space="preserve">t </t>
    </r>
    <r>
      <rPr>
        <sz val="8"/>
        <color theme="1"/>
        <rFont val="Aptos Narrow (Body)"/>
      </rPr>
      <t>0,5,228</t>
    </r>
  </si>
  <si>
    <t xml:space="preserve">д) надійний інтервал для 𝜎^2 </t>
  </si>
  <si>
    <t>X^3_8=</t>
  </si>
  <si>
    <t>X^3_0.95, 22=</t>
  </si>
  <si>
    <t>X^3_0.95, 8=</t>
  </si>
  <si>
    <t>X3=</t>
  </si>
  <si>
    <t>X3-X3_avg=</t>
  </si>
  <si>
    <t>=t0.025,8</t>
  </si>
  <si>
    <t>Дробові значення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</si>
</sst>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E+00"/>
    <numFmt numFmtId="165" formatCode="0.0000000"/>
    <numFmt numFmtId="166" formatCode="0.0000"/>
    <numFmt numFmtId="167" formatCode="0.000"/>
    <numFmt numFmtId="168" formatCode="0.0"/>
    <numFmt numFmtId="169" formatCode="0.0%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9"/>
      <color theme="1"/>
      <name val="Aptos Narrow (Body)"/>
    </font>
    <font>
      <sz val="12"/>
      <color rgb="FF000000"/>
      <name val="Aptos Narrow"/>
      <family val="2"/>
      <scheme val="minor"/>
    </font>
    <font>
      <sz val="11"/>
      <color theme="1"/>
      <name val="Cambria Math"/>
      <family val="1"/>
    </font>
    <font>
      <sz val="11"/>
      <color rgb="FF000000"/>
      <name val="Aptos Narrow"/>
      <scheme val="minor"/>
    </font>
    <font>
      <sz val="8"/>
      <color theme="1"/>
      <name val="Cambria Math"/>
      <family val="1"/>
    </font>
    <font>
      <b/>
      <sz val="11"/>
      <color theme="1"/>
      <name val="Cambria Math"/>
      <family val="1"/>
    </font>
    <font>
      <b/>
      <sz val="8"/>
      <color theme="1"/>
      <name val="Cambria Math"/>
      <family val="1"/>
    </font>
    <font>
      <b/>
      <sz val="11"/>
      <color rgb="FF000000"/>
      <name val="Aptos Narrow"/>
      <scheme val="minor"/>
    </font>
    <font>
      <sz val="8"/>
      <color theme="1"/>
      <name val="Aptos Narrow (Body)"/>
    </font>
    <font>
      <sz val="12"/>
      <color rgb="FF000000"/>
      <name val="Times New Roman"/>
      <family val="1"/>
      <charset val="204"/>
    </font>
    <font>
      <sz val="12"/>
      <name val="Aptos Narrow"/>
      <family val="2"/>
      <scheme val="minor"/>
    </font>
    <font>
      <sz val="14"/>
      <color rgb="FF000000"/>
      <name val="Times New Roman"/>
      <family val="1"/>
    </font>
    <font>
      <b/>
      <sz val="12"/>
      <color theme="1"/>
      <name val="Aptos Narrow"/>
      <scheme val="minor"/>
    </font>
    <font>
      <sz val="12"/>
      <color theme="2"/>
      <name val="Times New Roman"/>
      <family val="1"/>
      <charset val="204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>
      <alignment horizontal="center" vertical="center"/>
    </xf>
    <xf numFmtId="164" fontId="0" fillId="0" borderId="2" xfId="0" applyNumberFormat="1" applyBorder="1"/>
    <xf numFmtId="0" fontId="0" fillId="0" borderId="1" xfId="0" applyBorder="1" applyAlignment="1">
      <alignment horizontal="center" vertical="center"/>
    </xf>
    <xf numFmtId="0" fontId="0" fillId="0" borderId="3" xfId="0" applyBorder="1"/>
    <xf numFmtId="0" fontId="0" fillId="0" borderId="11" xfId="0" applyBorder="1"/>
    <xf numFmtId="0" fontId="6" fillId="0" borderId="11" xfId="0" applyFont="1" applyBorder="1"/>
    <xf numFmtId="0" fontId="5" fillId="0" borderId="1" xfId="0" applyFont="1" applyBorder="1"/>
    <xf numFmtId="2" fontId="0" fillId="0" borderId="1" xfId="0" applyNumberFormat="1" applyBorder="1"/>
    <xf numFmtId="0" fontId="3" fillId="0" borderId="11" xfId="0" applyFont="1" applyBorder="1"/>
    <xf numFmtId="0" fontId="9" fillId="0" borderId="11" xfId="0" applyFont="1" applyBorder="1"/>
    <xf numFmtId="0" fontId="0" fillId="3" borderId="0" xfId="0" applyFill="1"/>
    <xf numFmtId="0" fontId="0" fillId="3" borderId="1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" fillId="4" borderId="1" xfId="0" applyFont="1" applyFill="1" applyBorder="1"/>
    <xf numFmtId="0" fontId="0" fillId="4" borderId="0" xfId="0" applyFill="1"/>
    <xf numFmtId="167" fontId="3" fillId="0" borderId="11" xfId="0" applyNumberFormat="1" applyFont="1" applyBorder="1"/>
    <xf numFmtId="2" fontId="3" fillId="0" borderId="11" xfId="0" applyNumberFormat="1" applyFont="1" applyBorder="1"/>
    <xf numFmtId="168" fontId="3" fillId="0" borderId="11" xfId="0" applyNumberFormat="1" applyFont="1" applyBorder="1"/>
    <xf numFmtId="2" fontId="0" fillId="0" borderId="2" xfId="0" applyNumberFormat="1" applyBorder="1"/>
    <xf numFmtId="2" fontId="0" fillId="0" borderId="0" xfId="0" applyNumberFormat="1"/>
    <xf numFmtId="168" fontId="0" fillId="0" borderId="2" xfId="0" applyNumberFormat="1" applyBorder="1"/>
    <xf numFmtId="168" fontId="0" fillId="0" borderId="0" xfId="0" applyNumberFormat="1"/>
    <xf numFmtId="0" fontId="6" fillId="0" borderId="19" xfId="0" applyFont="1" applyBorder="1"/>
    <xf numFmtId="0" fontId="0" fillId="0" borderId="19" xfId="0" applyBorder="1"/>
    <xf numFmtId="0" fontId="0" fillId="4" borderId="11" xfId="0" applyFill="1" applyBorder="1"/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13" fillId="7" borderId="20" xfId="0" applyFont="1" applyFill="1" applyBorder="1" applyAlignment="1">
      <alignment vertical="center" wrapText="1"/>
    </xf>
    <xf numFmtId="0" fontId="13" fillId="7" borderId="11" xfId="0" applyFont="1" applyFill="1" applyBorder="1" applyAlignment="1">
      <alignment vertical="center" wrapText="1"/>
    </xf>
    <xf numFmtId="168" fontId="13" fillId="7" borderId="20" xfId="0" applyNumberFormat="1" applyFont="1" applyFill="1" applyBorder="1" applyAlignment="1">
      <alignment vertical="center" wrapText="1"/>
    </xf>
    <xf numFmtId="168" fontId="13" fillId="7" borderId="11" xfId="0" applyNumberFormat="1" applyFont="1" applyFill="1" applyBorder="1" applyAlignment="1">
      <alignment vertical="center" wrapText="1"/>
    </xf>
    <xf numFmtId="2" fontId="13" fillId="7" borderId="20" xfId="0" applyNumberFormat="1" applyFont="1" applyFill="1" applyBorder="1" applyAlignment="1">
      <alignment vertical="center" wrapText="1"/>
    </xf>
    <xf numFmtId="2" fontId="13" fillId="7" borderId="11" xfId="0" applyNumberFormat="1" applyFont="1" applyFill="1" applyBorder="1" applyAlignment="1">
      <alignment vertical="center" wrapText="1"/>
    </xf>
    <xf numFmtId="166" fontId="0" fillId="0" borderId="11" xfId="0" applyNumberFormat="1" applyBorder="1"/>
    <xf numFmtId="0" fontId="0" fillId="8" borderId="11" xfId="0" applyFill="1" applyBorder="1"/>
    <xf numFmtId="0" fontId="14" fillId="4" borderId="0" xfId="0" applyFont="1" applyFill="1"/>
    <xf numFmtId="0" fontId="15" fillId="0" borderId="0" xfId="0" applyFont="1"/>
    <xf numFmtId="0" fontId="0" fillId="0" borderId="11" xfId="0" applyBorder="1" applyAlignment="1">
      <alignment horizontal="center" wrapText="1"/>
    </xf>
    <xf numFmtId="0" fontId="0" fillId="0" borderId="11" xfId="0" applyBorder="1" applyAlignment="1">
      <alignment horizontal="center" vertical="center" wrapText="1"/>
    </xf>
    <xf numFmtId="2" fontId="0" fillId="0" borderId="11" xfId="0" applyNumberFormat="1" applyBorder="1"/>
    <xf numFmtId="0" fontId="0" fillId="0" borderId="11" xfId="0" applyBorder="1" applyAlignment="1">
      <alignment horizontal="center" vertical="center"/>
    </xf>
    <xf numFmtId="0" fontId="14" fillId="9" borderId="11" xfId="0" applyFont="1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0" borderId="0" xfId="0" quotePrefix="1"/>
    <xf numFmtId="0" fontId="3" fillId="0" borderId="21" xfId="0" applyFont="1" applyBorder="1"/>
    <xf numFmtId="0" fontId="9" fillId="0" borderId="21" xfId="0" applyFont="1" applyBorder="1"/>
    <xf numFmtId="0" fontId="0" fillId="0" borderId="12" xfId="0" applyBorder="1"/>
    <xf numFmtId="0" fontId="0" fillId="2" borderId="0" xfId="0" applyFill="1"/>
    <xf numFmtId="11" fontId="0" fillId="0" borderId="0" xfId="0" applyNumberFormat="1"/>
    <xf numFmtId="0" fontId="6" fillId="0" borderId="0" xfId="0" applyFont="1"/>
    <xf numFmtId="2" fontId="0" fillId="0" borderId="16" xfId="0" applyNumberFormat="1" applyBorder="1"/>
    <xf numFmtId="0" fontId="5" fillId="0" borderId="16" xfId="0" applyFont="1" applyBorder="1"/>
    <xf numFmtId="0" fontId="0" fillId="3" borderId="7" xfId="0" applyFill="1" applyBorder="1"/>
    <xf numFmtId="0" fontId="0" fillId="3" borderId="9" xfId="0" applyFill="1" applyBorder="1"/>
    <xf numFmtId="0" fontId="0" fillId="3" borderId="10" xfId="0" applyFill="1" applyBorder="1"/>
    <xf numFmtId="0" fontId="0" fillId="0" borderId="24" xfId="0" applyBorder="1"/>
    <xf numFmtId="0" fontId="0" fillId="0" borderId="25" xfId="0" applyBorder="1"/>
    <xf numFmtId="0" fontId="0" fillId="3" borderId="24" xfId="0" applyFill="1" applyBorder="1"/>
    <xf numFmtId="0" fontId="0" fillId="3" borderId="4" xfId="0" applyFill="1" applyBorder="1"/>
    <xf numFmtId="0" fontId="0" fillId="0" borderId="26" xfId="0" applyBorder="1"/>
    <xf numFmtId="0" fontId="0" fillId="0" borderId="27" xfId="0" applyBorder="1"/>
    <xf numFmtId="0" fontId="0" fillId="3" borderId="25" xfId="0" applyFill="1" applyBorder="1"/>
    <xf numFmtId="0" fontId="0" fillId="3" borderId="5" xfId="0" applyFill="1" applyBorder="1"/>
    <xf numFmtId="0" fontId="0" fillId="0" borderId="31" xfId="0" applyBorder="1"/>
    <xf numFmtId="0" fontId="2" fillId="4" borderId="6" xfId="0" applyFont="1" applyFill="1" applyBorder="1"/>
    <xf numFmtId="0" fontId="0" fillId="0" borderId="32" xfId="0" applyBorder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169" fontId="0" fillId="10" borderId="0" xfId="1" applyNumberFormat="1" applyFont="1" applyFill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6" fillId="10" borderId="0" xfId="0" applyFont="1" applyFill="1"/>
    <xf numFmtId="0" fontId="0" fillId="10" borderId="1" xfId="0" applyFill="1" applyBorder="1"/>
    <xf numFmtId="0" fontId="0" fillId="10" borderId="0" xfId="0" applyFill="1" applyAlignment="1">
      <alignment horizontal="right"/>
    </xf>
    <xf numFmtId="0" fontId="0" fillId="10" borderId="6" xfId="0" applyFill="1" applyBorder="1"/>
    <xf numFmtId="0" fontId="0" fillId="0" borderId="19" xfId="0" quotePrefix="1" applyBorder="1"/>
    <xf numFmtId="0" fontId="0" fillId="10" borderId="11" xfId="0" quotePrefix="1" applyFill="1" applyBorder="1"/>
    <xf numFmtId="0" fontId="0" fillId="10" borderId="32" xfId="0" applyFill="1" applyBorder="1"/>
    <xf numFmtId="0" fontId="0" fillId="10" borderId="17" xfId="0" applyFill="1" applyBorder="1"/>
    <xf numFmtId="0" fontId="0" fillId="10" borderId="17" xfId="0" applyFill="1" applyBorder="1" applyAlignment="1">
      <alignment horizontal="right"/>
    </xf>
    <xf numFmtId="0" fontId="0" fillId="10" borderId="17" xfId="0" applyFill="1" applyBorder="1" applyAlignment="1">
      <alignment horizontal="center"/>
    </xf>
    <xf numFmtId="0" fontId="0" fillId="10" borderId="18" xfId="0" applyFill="1" applyBorder="1"/>
    <xf numFmtId="0" fontId="0" fillId="10" borderId="2" xfId="0" applyFill="1" applyBorder="1"/>
    <xf numFmtId="0" fontId="0" fillId="10" borderId="16" xfId="0" applyFill="1" applyBorder="1"/>
    <xf numFmtId="0" fontId="0" fillId="10" borderId="3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10" borderId="24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0" borderId="7" xfId="0" applyFill="1" applyBorder="1"/>
    <xf numFmtId="165" fontId="0" fillId="10" borderId="0" xfId="0" applyNumberFormat="1" applyFill="1"/>
    <xf numFmtId="165" fontId="0" fillId="10" borderId="7" xfId="0" applyNumberFormat="1" applyFill="1" applyBorder="1"/>
    <xf numFmtId="0" fontId="0" fillId="10" borderId="8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5" xfId="0" applyFill="1" applyBorder="1"/>
    <xf numFmtId="0" fontId="0" fillId="10" borderId="9" xfId="0" applyFill="1" applyBorder="1"/>
    <xf numFmtId="165" fontId="0" fillId="10" borderId="9" xfId="0" applyNumberFormat="1" applyFill="1" applyBorder="1"/>
    <xf numFmtId="165" fontId="0" fillId="10" borderId="10" xfId="0" applyNumberFormat="1" applyFill="1" applyBorder="1"/>
    <xf numFmtId="2" fontId="17" fillId="7" borderId="20" xfId="0" applyNumberFormat="1" applyFont="1" applyFill="1" applyBorder="1" applyAlignment="1">
      <alignment vertical="center" wrapText="1"/>
    </xf>
    <xf numFmtId="2" fontId="17" fillId="7" borderId="11" xfId="0" applyNumberFormat="1" applyFont="1" applyFill="1" applyBorder="1" applyAlignment="1">
      <alignment vertical="center" wrapText="1"/>
    </xf>
    <xf numFmtId="0" fontId="0" fillId="11" borderId="0" xfId="0" applyFill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62234</xdr:colOff>
      <xdr:row>17</xdr:row>
      <xdr:rowOff>106901</xdr:rowOff>
    </xdr:from>
    <xdr:to>
      <xdr:col>15</xdr:col>
      <xdr:colOff>797493</xdr:colOff>
      <xdr:row>20</xdr:row>
      <xdr:rowOff>24560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6FEF4D-6F32-78A7-7B88-C293AE577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9393" y="3541674"/>
          <a:ext cx="4025714" cy="523795"/>
        </a:xfrm>
        <a:prstGeom prst="rect">
          <a:avLst/>
        </a:prstGeom>
      </xdr:spPr>
    </xdr:pic>
    <xdr:clientData/>
  </xdr:twoCellAnchor>
  <xdr:twoCellAnchor editAs="oneCell">
    <xdr:from>
      <xdr:col>13</xdr:col>
      <xdr:colOff>173062</xdr:colOff>
      <xdr:row>20</xdr:row>
      <xdr:rowOff>133991</xdr:rowOff>
    </xdr:from>
    <xdr:to>
      <xdr:col>14</xdr:col>
      <xdr:colOff>728212</xdr:colOff>
      <xdr:row>22</xdr:row>
      <xdr:rowOff>29128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68F4C3-DF84-E051-E011-37A2C24F7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9595" y="4231858"/>
          <a:ext cx="1384885" cy="301537"/>
        </a:xfrm>
        <a:prstGeom prst="rect">
          <a:avLst/>
        </a:prstGeom>
      </xdr:spPr>
    </xdr:pic>
    <xdr:clientData/>
  </xdr:twoCellAnchor>
  <xdr:twoCellAnchor editAs="oneCell">
    <xdr:from>
      <xdr:col>16</xdr:col>
      <xdr:colOff>11465</xdr:colOff>
      <xdr:row>19</xdr:row>
      <xdr:rowOff>156066</xdr:rowOff>
    </xdr:from>
    <xdr:to>
      <xdr:col>17</xdr:col>
      <xdr:colOff>734356</xdr:colOff>
      <xdr:row>21</xdr:row>
      <xdr:rowOff>74506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A61C8D4-0006-87EF-A991-88C5869F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27465" y="4037186"/>
          <a:ext cx="1545851" cy="324840"/>
        </a:xfrm>
        <a:prstGeom prst="rect">
          <a:avLst/>
        </a:prstGeom>
      </xdr:spPr>
    </xdr:pic>
    <xdr:clientData/>
  </xdr:twoCellAnchor>
  <xdr:twoCellAnchor editAs="oneCell">
    <xdr:from>
      <xdr:col>16</xdr:col>
      <xdr:colOff>199021</xdr:colOff>
      <xdr:row>22</xdr:row>
      <xdr:rowOff>201506</xdr:rowOff>
    </xdr:from>
    <xdr:to>
      <xdr:col>19</xdr:col>
      <xdr:colOff>506142</xdr:colOff>
      <xdr:row>29</xdr:row>
      <xdr:rowOff>5586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9DADDA-74AC-3D72-A7E8-21349CCBA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15021" y="4692226"/>
          <a:ext cx="2796321" cy="1215705"/>
        </a:xfrm>
        <a:prstGeom prst="rect">
          <a:avLst/>
        </a:prstGeom>
      </xdr:spPr>
    </xdr:pic>
    <xdr:clientData/>
  </xdr:twoCellAnchor>
  <xdr:twoCellAnchor editAs="oneCell">
    <xdr:from>
      <xdr:col>14</xdr:col>
      <xdr:colOff>61371</xdr:colOff>
      <xdr:row>29</xdr:row>
      <xdr:rowOff>33701</xdr:rowOff>
    </xdr:from>
    <xdr:to>
      <xdr:col>19</xdr:col>
      <xdr:colOff>676542</xdr:colOff>
      <xdr:row>34</xdr:row>
      <xdr:rowOff>130741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D8EA0D-F83D-7829-859E-99BBABFE3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31451" y="5946821"/>
          <a:ext cx="4750291" cy="1113040"/>
        </a:xfrm>
        <a:prstGeom prst="rect">
          <a:avLst/>
        </a:prstGeom>
      </xdr:spPr>
    </xdr:pic>
    <xdr:clientData/>
  </xdr:twoCellAnchor>
  <xdr:twoCellAnchor editAs="oneCell">
    <xdr:from>
      <xdr:col>20</xdr:col>
      <xdr:colOff>274320</xdr:colOff>
      <xdr:row>28</xdr:row>
      <xdr:rowOff>30480</xdr:rowOff>
    </xdr:from>
    <xdr:to>
      <xdr:col>23</xdr:col>
      <xdr:colOff>468253</xdr:colOff>
      <xdr:row>32</xdr:row>
      <xdr:rowOff>61966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A7BB3E-3574-8E6A-643D-BED0B1900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82160" y="5740400"/>
          <a:ext cx="2845693" cy="844286"/>
        </a:xfrm>
        <a:prstGeom prst="rect">
          <a:avLst/>
        </a:prstGeom>
      </xdr:spPr>
    </xdr:pic>
    <xdr:clientData/>
  </xdr:twoCellAnchor>
  <xdr:oneCellAnchor>
    <xdr:from>
      <xdr:col>12</xdr:col>
      <xdr:colOff>192910</xdr:colOff>
      <xdr:row>45</xdr:row>
      <xdr:rowOff>167472</xdr:rowOff>
    </xdr:from>
    <xdr:ext cx="455485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DA89C92-8082-ED84-36B4-9A464B861A67}"/>
                </a:ext>
              </a:extLst>
            </xdr:cNvPr>
            <xdr:cNvSpPr txBox="1"/>
          </xdr:nvSpPr>
          <xdr:spPr>
            <a:xfrm>
              <a:off x="10572416" y="9371052"/>
              <a:ext cx="45548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n-GB" sz="11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𝜃</m:t>
                  </m:r>
                </m:oMath>
              </a14:m>
              <a:r>
                <a:rPr lang="en-GB" sz="1100"/>
                <a:t> </a:t>
              </a:r>
              <a:r>
                <a:rPr lang="uk-UA" sz="1100"/>
                <a:t>з</a:t>
              </a:r>
              <a:r>
                <a:rPr lang="uk-UA" sz="1100" baseline="0"/>
                <a:t>  кр = </a:t>
              </a:r>
              <a:endParaRPr lang="en-GB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6DA89C92-8082-ED84-36B4-9A464B861A67}"/>
                </a:ext>
              </a:extLst>
            </xdr:cNvPr>
            <xdr:cNvSpPr txBox="1"/>
          </xdr:nvSpPr>
          <xdr:spPr>
            <a:xfrm>
              <a:off x="10572416" y="9371052"/>
              <a:ext cx="455485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</a:t>
              </a:r>
              <a:r>
                <a:rPr lang="en-GB" sz="1100"/>
                <a:t> </a:t>
              </a:r>
              <a:r>
                <a:rPr lang="uk-UA" sz="1100"/>
                <a:t>з</a:t>
              </a:r>
              <a:r>
                <a:rPr lang="uk-UA" sz="1100" baseline="0"/>
                <a:t>  кр = </a:t>
              </a:r>
              <a:endParaRPr lang="en-GB" sz="1100"/>
            </a:p>
          </xdr:txBody>
        </xdr:sp>
      </mc:Fallback>
    </mc:AlternateContent>
    <xdr:clientData/>
  </xdr:oneCellAnchor>
  <xdr:twoCellAnchor editAs="oneCell">
    <xdr:from>
      <xdr:col>12</xdr:col>
      <xdr:colOff>46697</xdr:colOff>
      <xdr:row>55</xdr:row>
      <xdr:rowOff>20791</xdr:rowOff>
    </xdr:from>
    <xdr:to>
      <xdr:col>20</xdr:col>
      <xdr:colOff>398500</xdr:colOff>
      <xdr:row>58</xdr:row>
      <xdr:rowOff>152293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BD25FC-0B7F-9C57-96C6-BE3524678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08053" y="11289350"/>
          <a:ext cx="7205153" cy="744977"/>
        </a:xfrm>
        <a:prstGeom prst="rect">
          <a:avLst/>
        </a:prstGeom>
      </xdr:spPr>
    </xdr:pic>
    <xdr:clientData/>
  </xdr:twoCellAnchor>
  <xdr:oneCellAnchor>
    <xdr:from>
      <xdr:col>10</xdr:col>
      <xdr:colOff>67139</xdr:colOff>
      <xdr:row>32</xdr:row>
      <xdr:rowOff>26172</xdr:rowOff>
    </xdr:from>
    <xdr:ext cx="65" cy="17222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5DE3049-257F-BDDB-E7C9-08D92CF6BB14}"/>
            </a:ext>
          </a:extLst>
        </xdr:cNvPr>
        <xdr:cNvSpPr txBox="1"/>
      </xdr:nvSpPr>
      <xdr:spPr>
        <a:xfrm>
          <a:off x="11333268" y="133680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0</xdr:colOff>
      <xdr:row>17</xdr:row>
      <xdr:rowOff>53340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1880F29-14A8-4945-BC01-66CA013D4F5F}"/>
            </a:ext>
          </a:extLst>
        </xdr:cNvPr>
        <xdr:cNvSpPr txBox="1"/>
      </xdr:nvSpPr>
      <xdr:spPr>
        <a:xfrm>
          <a:off x="4699000" y="343154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11</xdr:col>
      <xdr:colOff>400231</xdr:colOff>
      <xdr:row>51</xdr:row>
      <xdr:rowOff>114481</xdr:rowOff>
    </xdr:from>
    <xdr:ext cx="7691120" cy="28437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B4B4A5FE-D0D8-CA3D-5377-EA3733D15731}"/>
                </a:ext>
              </a:extLst>
            </xdr:cNvPr>
            <xdr:cNvSpPr txBox="1"/>
          </xdr:nvSpPr>
          <xdr:spPr>
            <a:xfrm>
              <a:off x="9925231" y="10523945"/>
              <a:ext cx="7691120" cy="2843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8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sz="1800" b="0" i="1">
                        <a:latin typeface="Cambria Math" panose="02040503050406030204" pitchFamily="18" charset="0"/>
                      </a:rPr>
                      <m:t>=17,351</m:t>
                    </m:r>
                    <m:r>
                      <a:rPr lang="uk-UA" sz="18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n-US" sz="1800" b="0" i="1">
                        <a:latin typeface="Cambria Math" panose="02040503050406030204" pitchFamily="18" charset="0"/>
                      </a:rPr>
                      <m:t>100,45</m:t>
                    </m:r>
                    <m:d>
                      <m:dPr>
                        <m:ctrlPr>
                          <a:rPr lang="en-US" sz="18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8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n-US" sz="18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−1,58</m:t>
                        </m:r>
                      </m:e>
                    </m:d>
                    <m:r>
                      <a:rPr lang="en-US" sz="1800" b="0" i="1">
                        <a:latin typeface="Cambria Math" panose="02040503050406030204" pitchFamily="18" charset="0"/>
                      </a:rPr>
                      <m:t>+164,13</m:t>
                    </m:r>
                    <m:d>
                      <m:dPr>
                        <m:ctrlPr>
                          <a:rPr lang="en-US" sz="18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8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n-US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−65,4</m:t>
                        </m:r>
                      </m:e>
                    </m:d>
                    <m:r>
                      <a:rPr lang="en-US" sz="1800" b="0" i="1">
                        <a:latin typeface="Cambria Math" panose="02040503050406030204" pitchFamily="18" charset="0"/>
                      </a:rPr>
                      <m:t>+799,29</m:t>
                    </m:r>
                    <m:d>
                      <m:dPr>
                        <m:ctrlPr>
                          <a:rPr lang="en-US" sz="18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8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8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n-US" sz="18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lang="en-US" sz="1800" b="0" i="1">
                            <a:latin typeface="Cambria Math" panose="02040503050406030204" pitchFamily="18" charset="0"/>
                          </a:rPr>
                          <m:t>−3,8</m:t>
                        </m:r>
                      </m:e>
                    </m:d>
                  </m:oMath>
                </m:oMathPara>
              </a14:m>
              <a:endParaRPr lang="en-US" sz="1800" b="0"/>
            </a:p>
          </xdr:txBody>
        </xdr:sp>
      </mc:Choice>
      <mc:Fallback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B4B4A5FE-D0D8-CA3D-5377-EA3733D15731}"/>
                </a:ext>
              </a:extLst>
            </xdr:cNvPr>
            <xdr:cNvSpPr txBox="1"/>
          </xdr:nvSpPr>
          <xdr:spPr>
            <a:xfrm>
              <a:off x="9925231" y="10523945"/>
              <a:ext cx="7691120" cy="2843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800" b="0" i="0">
                  <a:latin typeface="Cambria Math" panose="02040503050406030204" pitchFamily="18" charset="0"/>
                </a:rPr>
                <a:t>𝑌=17,351</a:t>
              </a:r>
              <a:r>
                <a:rPr lang="uk-UA" sz="1800" b="0" i="0">
                  <a:latin typeface="Cambria Math" panose="02040503050406030204" pitchFamily="18" charset="0"/>
                </a:rPr>
                <a:t>+</a:t>
              </a:r>
              <a:r>
                <a:rPr lang="en-US" sz="1800" b="0" i="0">
                  <a:latin typeface="Cambria Math" panose="02040503050406030204" pitchFamily="18" charset="0"/>
                </a:rPr>
                <a:t>100,45(𝑋_1−1,58)+164,13(𝑋_2−65,4)+799,29(𝑋_3−3,8)</a:t>
              </a:r>
              <a:endParaRPr lang="en-US" sz="1800" b="0"/>
            </a:p>
          </xdr:txBody>
        </xdr:sp>
      </mc:Fallback>
    </mc:AlternateContent>
    <xdr:clientData/>
  </xdr:oneCellAnchor>
  <xdr:twoCellAnchor editAs="oneCell">
    <xdr:from>
      <xdr:col>3</xdr:col>
      <xdr:colOff>173182</xdr:colOff>
      <xdr:row>12</xdr:row>
      <xdr:rowOff>173182</xdr:rowOff>
    </xdr:from>
    <xdr:to>
      <xdr:col>10</xdr:col>
      <xdr:colOff>742373</xdr:colOff>
      <xdr:row>14</xdr:row>
      <xdr:rowOff>175491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97B383-01C4-D645-9CC3-8CEAD990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41023" y="2597727"/>
          <a:ext cx="6832600" cy="4064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18</xdr:row>
      <xdr:rowOff>53340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1644AAD-11E0-BF47-8884-EED4C233E75B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19</xdr:row>
      <xdr:rowOff>53340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B94BEA2-F24E-7747-9AF6-EF837D33BC62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20</xdr:row>
      <xdr:rowOff>53340</xdr:rowOff>
    </xdr:from>
    <xdr:ext cx="65" cy="172227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BA7D30A-6401-B244-B8DD-F03596A726D9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21</xdr:row>
      <xdr:rowOff>53340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FB0C45B-08CE-BD49-9F21-DDEF19E8CEC2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22</xdr:row>
      <xdr:rowOff>53340</xdr:rowOff>
    </xdr:from>
    <xdr:ext cx="65" cy="17222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843F1CB-8DC9-E04A-AD7A-D2B0F671E356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23</xdr:row>
      <xdr:rowOff>53340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3A17EE9-ECA2-624C-9DFF-3CFD6456FA05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24</xdr:row>
      <xdr:rowOff>53340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29388CA-1A70-494B-8897-A49F0929161E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25</xdr:row>
      <xdr:rowOff>53340</xdr:rowOff>
    </xdr:from>
    <xdr:ext cx="65" cy="172227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44FCD969-9D55-924C-8D1E-E3ADC0625D00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26</xdr:row>
      <xdr:rowOff>53340</xdr:rowOff>
    </xdr:from>
    <xdr:ext cx="65" cy="17222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490BD84-96BE-BC4F-8057-57263C818CA4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27</xdr:row>
      <xdr:rowOff>53340</xdr:rowOff>
    </xdr:from>
    <xdr:ext cx="65" cy="172227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2C528B7-4D51-934A-9BE0-233E20FB30A7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  <xdr:oneCellAnchor>
    <xdr:from>
      <xdr:col>3</xdr:col>
      <xdr:colOff>0</xdr:colOff>
      <xdr:row>28</xdr:row>
      <xdr:rowOff>53340</xdr:rowOff>
    </xdr:from>
    <xdr:ext cx="65" cy="17222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175D378-D7D8-B648-8B51-B7C0ECA76ECB}"/>
            </a:ext>
          </a:extLst>
        </xdr:cNvPr>
        <xdr:cNvSpPr txBox="1"/>
      </xdr:nvSpPr>
      <xdr:spPr>
        <a:xfrm>
          <a:off x="2484783" y="353992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528843</xdr:colOff>
      <xdr:row>0</xdr:row>
      <xdr:rowOff>135725</xdr:rowOff>
    </xdr:from>
    <xdr:to>
      <xdr:col>11</xdr:col>
      <xdr:colOff>351414</xdr:colOff>
      <xdr:row>9</xdr:row>
      <xdr:rowOff>77015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C454E0-3004-0041-DB9B-2C3280E4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118" y="135725"/>
          <a:ext cx="3956583" cy="1781102"/>
        </a:xfrm>
        <a:prstGeom prst="rect">
          <a:avLst/>
        </a:prstGeom>
      </xdr:spPr>
    </xdr:pic>
    <xdr:clientData/>
  </xdr:twoCellAnchor>
  <xdr:twoCellAnchor editAs="oneCell">
    <xdr:from>
      <xdr:col>8</xdr:col>
      <xdr:colOff>275590</xdr:colOff>
      <xdr:row>32</xdr:row>
      <xdr:rowOff>67310</xdr:rowOff>
    </xdr:from>
    <xdr:to>
      <xdr:col>17</xdr:col>
      <xdr:colOff>558121</xdr:colOff>
      <xdr:row>36</xdr:row>
      <xdr:rowOff>149937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EE496E-79CD-DFAE-9A76-0A32C37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7090" y="6512560"/>
          <a:ext cx="7736840" cy="830450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37</xdr:row>
      <xdr:rowOff>120650</xdr:rowOff>
    </xdr:from>
    <xdr:to>
      <xdr:col>17</xdr:col>
      <xdr:colOff>682581</xdr:colOff>
      <xdr:row>41</xdr:row>
      <xdr:rowOff>81828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DFFAD5-1B9F-BD6B-1B10-BF1F5447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1550" y="7518400"/>
          <a:ext cx="7736840" cy="709001"/>
        </a:xfrm>
        <a:prstGeom prst="rect">
          <a:avLst/>
        </a:prstGeom>
      </xdr:spPr>
    </xdr:pic>
    <xdr:clientData/>
  </xdr:twoCellAnchor>
  <xdr:twoCellAnchor editAs="oneCell">
    <xdr:from>
      <xdr:col>9</xdr:col>
      <xdr:colOff>542741</xdr:colOff>
      <xdr:row>45</xdr:row>
      <xdr:rowOff>60345</xdr:rowOff>
    </xdr:from>
    <xdr:to>
      <xdr:col>12</xdr:col>
      <xdr:colOff>702111</xdr:colOff>
      <xdr:row>49</xdr:row>
      <xdr:rowOff>22084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7A7880-0B19-F9AC-83D2-C4CF86E9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9741" y="8982095"/>
          <a:ext cx="2644140" cy="709562"/>
        </a:xfrm>
        <a:prstGeom prst="rect">
          <a:avLst/>
        </a:prstGeom>
      </xdr:spPr>
    </xdr:pic>
    <xdr:clientData/>
  </xdr:twoCellAnchor>
  <xdr:oneCellAnchor>
    <xdr:from>
      <xdr:col>3</xdr:col>
      <xdr:colOff>541866</xdr:colOff>
      <xdr:row>28</xdr:row>
      <xdr:rowOff>194733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95E27A1-6F8F-22D1-B004-AB0AA92C7AF7}"/>
            </a:ext>
          </a:extLst>
        </xdr:cNvPr>
        <xdr:cNvSpPr txBox="1"/>
      </xdr:nvSpPr>
      <xdr:spPr>
        <a:xfrm>
          <a:off x="3031066" y="58843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3</xdr:col>
      <xdr:colOff>541866</xdr:colOff>
      <xdr:row>30</xdr:row>
      <xdr:rowOff>194733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BD4AF3D-CD0E-5E3D-5CDE-9D18968D7A32}"/>
            </a:ext>
          </a:extLst>
        </xdr:cNvPr>
        <xdr:cNvSpPr txBox="1"/>
      </xdr:nvSpPr>
      <xdr:spPr>
        <a:xfrm>
          <a:off x="3031066" y="629073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52070</xdr:colOff>
      <xdr:row>27</xdr:row>
      <xdr:rowOff>179070</xdr:rowOff>
    </xdr:from>
    <xdr:to>
      <xdr:col>7</xdr:col>
      <xdr:colOff>668148</xdr:colOff>
      <xdr:row>29</xdr:row>
      <xdr:rowOff>160758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AF2859-EDB6-DCFD-3240-376D5100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070" y="5640070"/>
          <a:ext cx="6720840" cy="355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22679</xdr:colOff>
      <xdr:row>0</xdr:row>
      <xdr:rowOff>22678</xdr:rowOff>
    </xdr:from>
    <xdr:to>
      <xdr:col>6</xdr:col>
      <xdr:colOff>753274</xdr:colOff>
      <xdr:row>2</xdr:row>
      <xdr:rowOff>131366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4E2DE9-A015-ED6C-FC4C-7A832E72C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79" y="22678"/>
          <a:ext cx="5998029" cy="5098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208280</xdr:colOff>
      <xdr:row>4</xdr:row>
      <xdr:rowOff>17780</xdr:rowOff>
    </xdr:from>
    <xdr:to>
      <xdr:col>14</xdr:col>
      <xdr:colOff>817703</xdr:colOff>
      <xdr:row>13</xdr:row>
      <xdr:rowOff>166045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64F6F-FC73-3D17-5EE4-AAEC574C5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1400" y="840740"/>
          <a:ext cx="6573343" cy="1977065"/>
        </a:xfrm>
        <a:prstGeom prst="rect">
          <a:avLst/>
        </a:prstGeom>
      </xdr:spPr>
    </xdr:pic>
    <xdr:clientData/>
  </xdr:twoCellAnchor>
  <xdr:twoCellAnchor editAs="oneCell">
    <xdr:from>
      <xdr:col>7</xdr:col>
      <xdr:colOff>528320</xdr:colOff>
      <xdr:row>18</xdr:row>
      <xdr:rowOff>187960</xdr:rowOff>
    </xdr:from>
    <xdr:to>
      <xdr:col>16</xdr:col>
      <xdr:colOff>684106</xdr:colOff>
      <xdr:row>29</xdr:row>
      <xdr:rowOff>110738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6ABDAD-5A5F-BA68-2ECA-0B1C5DEE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5120" y="3870960"/>
          <a:ext cx="7894320" cy="2208778"/>
        </a:xfrm>
        <a:prstGeom prst="rect">
          <a:avLst/>
        </a:prstGeom>
      </xdr:spPr>
    </xdr:pic>
    <xdr:clientData/>
  </xdr:twoCellAnchor>
  <xdr:twoCellAnchor editAs="oneCell">
    <xdr:from>
      <xdr:col>3</xdr:col>
      <xdr:colOff>812800</xdr:colOff>
      <xdr:row>78</xdr:row>
      <xdr:rowOff>182880</xdr:rowOff>
    </xdr:from>
    <xdr:to>
      <xdr:col>5</xdr:col>
      <xdr:colOff>181610</xdr:colOff>
      <xdr:row>81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BA2D9E-9943-DD93-6C32-7EE49F12E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4080" y="16093440"/>
          <a:ext cx="1040130" cy="426720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660400</xdr:colOff>
      <xdr:row>0</xdr:row>
      <xdr:rowOff>16934</xdr:rowOff>
    </xdr:from>
    <xdr:to>
      <xdr:col>9</xdr:col>
      <xdr:colOff>536787</xdr:colOff>
      <xdr:row>1</xdr:row>
      <xdr:rowOff>137102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6EF883-F546-E9DF-E7B2-5114B25D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6934"/>
          <a:ext cx="7826587" cy="32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67733</xdr:rowOff>
    </xdr:from>
    <xdr:to>
      <xdr:col>8</xdr:col>
      <xdr:colOff>704426</xdr:colOff>
      <xdr:row>62</xdr:row>
      <xdr:rowOff>2567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B30A32-71FA-A0E3-1D8B-DBC6B8B84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378266"/>
          <a:ext cx="7850293" cy="341234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76</xdr:row>
      <xdr:rowOff>60960</xdr:rowOff>
    </xdr:from>
    <xdr:to>
      <xdr:col>8</xdr:col>
      <xdr:colOff>745066</xdr:colOff>
      <xdr:row>78</xdr:row>
      <xdr:rowOff>3754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3E2E4B-32FE-FC0D-3AD9-2860EA67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40" y="15565120"/>
          <a:ext cx="7772400" cy="3491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62</xdr:row>
      <xdr:rowOff>135467</xdr:rowOff>
    </xdr:from>
    <xdr:to>
      <xdr:col>12</xdr:col>
      <xdr:colOff>384010</xdr:colOff>
      <xdr:row>68</xdr:row>
      <xdr:rowOff>27448</xdr:rowOff>
    </xdr:to>
    <xdr:pic>
      <xdr:nvPicPr>
        <xdr:cNvPr id="10" name="Рисунок 50">
          <a:extLst>
            <a:ext uri="{FF2B5EF4-FFF2-40B4-BE49-F238E27FC236}">
              <a16:creationId xmlns:a16="http://schemas.microsoft.com/office/drawing/2014/main" id="{C655166D-8474-914B-9721-A3D4A8D4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16134" y="12852400"/>
          <a:ext cx="4718943" cy="11111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14</xdr:col>
      <xdr:colOff>807108</xdr:colOff>
      <xdr:row>89</xdr:row>
      <xdr:rowOff>29539</xdr:rowOff>
    </xdr:to>
    <xdr:pic>
      <xdr:nvPicPr>
        <xdr:cNvPr id="11" name="Рисунок 53">
          <a:extLst>
            <a:ext uri="{FF2B5EF4-FFF2-40B4-BE49-F238E27FC236}">
              <a16:creationId xmlns:a16="http://schemas.microsoft.com/office/drawing/2014/main" id="{D8828FFA-EBF8-9F4E-85C8-A028CC79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16133" y="15968133"/>
          <a:ext cx="6818442" cy="22647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12700</xdr:rowOff>
    </xdr:from>
    <xdr:to>
      <xdr:col>8</xdr:col>
      <xdr:colOff>749300</xdr:colOff>
      <xdr:row>1</xdr:row>
      <xdr:rowOff>30191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0B8932-6883-B792-3128-541F841B7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12700"/>
          <a:ext cx="7772400" cy="246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469900</xdr:colOff>
      <xdr:row>18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938A1D-F431-5C23-0316-6919B8D8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48200"/>
          <a:ext cx="6756400" cy="368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13</xdr:col>
      <xdr:colOff>139842</xdr:colOff>
      <xdr:row>12</xdr:row>
      <xdr:rowOff>197279</xdr:rowOff>
    </xdr:to>
    <xdr:pic>
      <xdr:nvPicPr>
        <xdr:cNvPr id="6" name="Рисунок 59">
          <a:extLst>
            <a:ext uri="{FF2B5EF4-FFF2-40B4-BE49-F238E27FC236}">
              <a16:creationId xmlns:a16="http://schemas.microsoft.com/office/drawing/2014/main" id="{7604B89E-A24A-FE41-9590-9D2B9B606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12000" y="431800"/>
          <a:ext cx="4267342" cy="295317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10</xdr:col>
      <xdr:colOff>674271</xdr:colOff>
      <xdr:row>26</xdr:row>
      <xdr:rowOff>90606</xdr:rowOff>
    </xdr:to>
    <xdr:pic>
      <xdr:nvPicPr>
        <xdr:cNvPr id="7" name="Рисунок 64">
          <a:extLst>
            <a:ext uri="{FF2B5EF4-FFF2-40B4-BE49-F238E27FC236}">
              <a16:creationId xmlns:a16="http://schemas.microsoft.com/office/drawing/2014/main" id="{B5C01CC8-4BB7-CC40-9DB3-2497592E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12000" y="5486400"/>
          <a:ext cx="2325271" cy="11066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8CEB8-AAAD-6748-885E-EA7AF6BEED21}">
  <dimension ref="A2:X85"/>
  <sheetViews>
    <sheetView tabSelected="1" topLeftCell="C7" zoomScale="64" zoomScaleNormal="42" workbookViewId="0">
      <selection activeCell="H48" sqref="H48"/>
    </sheetView>
  </sheetViews>
  <sheetFormatPr baseColWidth="10" defaultRowHeight="16" x14ac:dyDescent="0.2"/>
  <cols>
    <col min="8" max="8" width="15" bestFit="1" customWidth="1"/>
    <col min="9" max="9" width="13.1640625" bestFit="1" customWidth="1"/>
    <col min="11" max="11" width="11.33203125" bestFit="1" customWidth="1"/>
    <col min="19" max="19" width="11" bestFit="1" customWidth="1"/>
    <col min="20" max="20" width="13.5" bestFit="1" customWidth="1"/>
    <col min="21" max="21" width="13.1640625" bestFit="1" customWidth="1"/>
  </cols>
  <sheetData>
    <row r="2" spans="1:24" x14ac:dyDescent="0.2">
      <c r="A2" s="84"/>
      <c r="B2" s="84"/>
      <c r="C2" s="84"/>
      <c r="D2" s="84"/>
      <c r="E2" s="84"/>
      <c r="J2" s="84"/>
      <c r="K2" s="84"/>
      <c r="L2" s="84"/>
      <c r="M2" s="84"/>
      <c r="N2" s="84"/>
    </row>
    <row r="12" spans="1:24" x14ac:dyDescent="0.2">
      <c r="A12" s="22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4"/>
    </row>
    <row r="13" spans="1:24" x14ac:dyDescent="0.2">
      <c r="A13" s="1"/>
      <c r="X13" s="2"/>
    </row>
    <row r="14" spans="1:24" x14ac:dyDescent="0.2">
      <c r="A14" s="1"/>
      <c r="X14" s="2"/>
    </row>
    <row r="15" spans="1:24" x14ac:dyDescent="0.2">
      <c r="A15" s="1"/>
      <c r="X15" s="2"/>
    </row>
    <row r="16" spans="1:24" x14ac:dyDescent="0.2">
      <c r="A16" s="1"/>
      <c r="X16" s="2"/>
    </row>
    <row r="17" spans="1:24" x14ac:dyDescent="0.2">
      <c r="A17" s="1" t="s">
        <v>2</v>
      </c>
      <c r="B17" t="s">
        <v>1</v>
      </c>
      <c r="C17" t="s">
        <v>93</v>
      </c>
      <c r="D17" t="s">
        <v>0</v>
      </c>
      <c r="E17" t="s">
        <v>111</v>
      </c>
      <c r="H17" t="s">
        <v>10</v>
      </c>
      <c r="I17" t="s">
        <v>11</v>
      </c>
      <c r="J17" s="2" t="s">
        <v>94</v>
      </c>
      <c r="X17" s="2"/>
    </row>
    <row r="18" spans="1:24" x14ac:dyDescent="0.2">
      <c r="A18" s="1">
        <v>2</v>
      </c>
      <c r="B18" s="43">
        <v>65</v>
      </c>
      <c r="C18" s="45">
        <v>2</v>
      </c>
      <c r="D18" s="47">
        <f>E18*1000</f>
        <v>15120</v>
      </c>
      <c r="E18" s="130">
        <v>15.12</v>
      </c>
      <c r="F18" s="82" t="s">
        <v>6</v>
      </c>
      <c r="G18" s="1">
        <v>1</v>
      </c>
      <c r="H18" s="36">
        <f>A18-$L$26</f>
        <v>0.41666666666666674</v>
      </c>
      <c r="I18" s="36">
        <f>B18-$L$27</f>
        <v>-0.4166666666666714</v>
      </c>
      <c r="J18" s="35">
        <f>C18-$N$27</f>
        <v>-1.75</v>
      </c>
      <c r="X18" s="2"/>
    </row>
    <row r="19" spans="1:24" x14ac:dyDescent="0.2">
      <c r="A19" s="1">
        <v>1</v>
      </c>
      <c r="B19" s="44">
        <v>45</v>
      </c>
      <c r="C19" s="46">
        <v>2</v>
      </c>
      <c r="D19" s="47">
        <f t="shared" ref="D19:D29" si="0">E19*1000</f>
        <v>12500</v>
      </c>
      <c r="E19" s="131">
        <v>12.5</v>
      </c>
      <c r="F19" s="82"/>
      <c r="G19" s="1">
        <v>1</v>
      </c>
      <c r="H19" s="36">
        <f t="shared" ref="H19:H29" si="1">A19-$L$26</f>
        <v>-0.58333333333333326</v>
      </c>
      <c r="I19" s="36">
        <f t="shared" ref="I19:I29" si="2">B19-$L$27</f>
        <v>-20.416666666666671</v>
      </c>
      <c r="J19" s="35">
        <f t="shared" ref="J19:J29" si="3">C19-$N$27</f>
        <v>-1.75</v>
      </c>
      <c r="X19" s="2"/>
    </row>
    <row r="20" spans="1:24" x14ac:dyDescent="0.2">
      <c r="A20" s="1">
        <v>3.5</v>
      </c>
      <c r="B20" s="44">
        <v>85</v>
      </c>
      <c r="C20" s="46">
        <v>9</v>
      </c>
      <c r="D20" s="47">
        <f t="shared" si="0"/>
        <v>26000</v>
      </c>
      <c r="E20" s="131">
        <v>26</v>
      </c>
      <c r="F20" s="82"/>
      <c r="G20" s="1">
        <v>1</v>
      </c>
      <c r="H20" s="36">
        <f t="shared" si="1"/>
        <v>1.9166666666666667</v>
      </c>
      <c r="I20" s="36">
        <f t="shared" si="2"/>
        <v>19.583333333333329</v>
      </c>
      <c r="J20" s="35">
        <f t="shared" si="3"/>
        <v>5.25</v>
      </c>
      <c r="X20" s="2"/>
    </row>
    <row r="21" spans="1:24" x14ac:dyDescent="0.2">
      <c r="A21" s="1">
        <v>0</v>
      </c>
      <c r="B21" s="44">
        <v>55</v>
      </c>
      <c r="C21" s="46">
        <v>11</v>
      </c>
      <c r="D21" s="47">
        <f t="shared" si="0"/>
        <v>19000</v>
      </c>
      <c r="E21" s="131">
        <v>19</v>
      </c>
      <c r="F21" s="82"/>
      <c r="G21" s="1">
        <v>1</v>
      </c>
      <c r="H21" s="36">
        <f t="shared" si="1"/>
        <v>-1.5833333333333333</v>
      </c>
      <c r="I21" s="36">
        <f t="shared" si="2"/>
        <v>-10.416666666666671</v>
      </c>
      <c r="J21" s="35">
        <f t="shared" si="3"/>
        <v>7.25</v>
      </c>
      <c r="X21" s="2"/>
    </row>
    <row r="22" spans="1:24" x14ac:dyDescent="0.2">
      <c r="A22" s="1">
        <v>4</v>
      </c>
      <c r="B22" s="44">
        <v>85</v>
      </c>
      <c r="C22" s="46">
        <v>1</v>
      </c>
      <c r="D22" s="47">
        <f t="shared" si="0"/>
        <v>16000</v>
      </c>
      <c r="E22" s="131">
        <v>16</v>
      </c>
      <c r="F22" s="82"/>
      <c r="G22" s="1">
        <v>1</v>
      </c>
      <c r="H22" s="36">
        <f t="shared" si="1"/>
        <v>2.416666666666667</v>
      </c>
      <c r="I22" s="36">
        <f t="shared" si="2"/>
        <v>19.583333333333329</v>
      </c>
      <c r="J22" s="35">
        <f t="shared" si="3"/>
        <v>-2.75</v>
      </c>
      <c r="X22" s="2"/>
    </row>
    <row r="23" spans="1:24" x14ac:dyDescent="0.2">
      <c r="A23" s="1">
        <v>0</v>
      </c>
      <c r="B23" s="44">
        <v>65</v>
      </c>
      <c r="C23" s="46">
        <v>1</v>
      </c>
      <c r="D23" s="47">
        <f t="shared" si="0"/>
        <v>15000</v>
      </c>
      <c r="E23" s="131">
        <v>15</v>
      </c>
      <c r="F23" s="82"/>
      <c r="G23" s="1">
        <v>1</v>
      </c>
      <c r="H23" s="36">
        <f t="shared" si="1"/>
        <v>-1.5833333333333333</v>
      </c>
      <c r="I23" s="36">
        <f t="shared" si="2"/>
        <v>-0.4166666666666714</v>
      </c>
      <c r="J23" s="35">
        <f t="shared" si="3"/>
        <v>-2.75</v>
      </c>
      <c r="X23" s="2"/>
    </row>
    <row r="24" spans="1:24" x14ac:dyDescent="0.2">
      <c r="A24" s="1">
        <v>0</v>
      </c>
      <c r="B24" s="44">
        <v>45</v>
      </c>
      <c r="C24" s="46">
        <v>0.5</v>
      </c>
      <c r="D24" s="47">
        <f t="shared" si="0"/>
        <v>12500</v>
      </c>
      <c r="E24" s="131">
        <v>12.5</v>
      </c>
      <c r="F24" s="82"/>
      <c r="G24" s="1">
        <v>1</v>
      </c>
      <c r="H24" s="36">
        <f t="shared" si="1"/>
        <v>-1.5833333333333333</v>
      </c>
      <c r="I24" s="36">
        <f t="shared" si="2"/>
        <v>-20.416666666666671</v>
      </c>
      <c r="J24" s="35">
        <f t="shared" si="3"/>
        <v>-3.25</v>
      </c>
      <c r="K24" s="60" t="s">
        <v>3</v>
      </c>
      <c r="L24" s="18">
        <v>3</v>
      </c>
      <c r="X24" s="2"/>
    </row>
    <row r="25" spans="1:24" x14ac:dyDescent="0.2">
      <c r="A25" s="1">
        <v>2.5</v>
      </c>
      <c r="B25" s="44">
        <v>60</v>
      </c>
      <c r="C25" s="46">
        <v>2</v>
      </c>
      <c r="D25" s="47">
        <f t="shared" si="0"/>
        <v>15800</v>
      </c>
      <c r="E25" s="131">
        <v>15.8</v>
      </c>
      <c r="F25" s="82"/>
      <c r="G25" s="1">
        <v>1</v>
      </c>
      <c r="H25" s="36">
        <f t="shared" si="1"/>
        <v>0.91666666666666674</v>
      </c>
      <c r="I25" s="36">
        <f t="shared" si="2"/>
        <v>-5.4166666666666714</v>
      </c>
      <c r="J25" s="35">
        <f t="shared" si="3"/>
        <v>-1.75</v>
      </c>
      <c r="K25" s="60" t="s">
        <v>4</v>
      </c>
      <c r="L25" s="18">
        <f>COUNT(D18:D42)</f>
        <v>12</v>
      </c>
      <c r="X25" s="2"/>
    </row>
    <row r="26" spans="1:24" x14ac:dyDescent="0.2">
      <c r="A26" s="1">
        <v>1</v>
      </c>
      <c r="B26" s="44">
        <v>70</v>
      </c>
      <c r="C26" s="46">
        <v>3</v>
      </c>
      <c r="D26" s="47">
        <f t="shared" si="0"/>
        <v>19600</v>
      </c>
      <c r="E26" s="131">
        <v>19.600000000000001</v>
      </c>
      <c r="F26" s="82"/>
      <c r="G26" s="1">
        <v>1</v>
      </c>
      <c r="H26" s="36">
        <f t="shared" si="1"/>
        <v>-0.58333333333333326</v>
      </c>
      <c r="I26" s="36">
        <f t="shared" si="2"/>
        <v>4.5833333333333286</v>
      </c>
      <c r="J26" s="35">
        <f t="shared" si="3"/>
        <v>-0.75</v>
      </c>
      <c r="K26" s="60" t="s">
        <v>16</v>
      </c>
      <c r="L26" s="18">
        <f>AVERAGE(A18:A29)</f>
        <v>1.5833333333333333</v>
      </c>
      <c r="X26" s="2"/>
    </row>
    <row r="27" spans="1:24" x14ac:dyDescent="0.2">
      <c r="A27" s="1">
        <v>3</v>
      </c>
      <c r="B27" s="44">
        <v>75</v>
      </c>
      <c r="C27" s="46">
        <v>6</v>
      </c>
      <c r="D27" s="47">
        <f t="shared" si="0"/>
        <v>21800</v>
      </c>
      <c r="E27" s="131">
        <v>21.8</v>
      </c>
      <c r="F27" s="82"/>
      <c r="G27" s="1">
        <v>1</v>
      </c>
      <c r="H27" s="36">
        <f t="shared" si="1"/>
        <v>1.4166666666666667</v>
      </c>
      <c r="I27" s="36">
        <f t="shared" si="2"/>
        <v>9.5833333333333286</v>
      </c>
      <c r="J27" s="35">
        <f t="shared" si="3"/>
        <v>2.25</v>
      </c>
      <c r="K27" s="60" t="s">
        <v>17</v>
      </c>
      <c r="L27" s="32">
        <f>AVERAGE(B18:B29)</f>
        <v>65.416666666666671</v>
      </c>
      <c r="M27" t="s">
        <v>95</v>
      </c>
      <c r="N27" s="36">
        <f>AVERAGE(C18:C29)</f>
        <v>3.75</v>
      </c>
      <c r="X27" s="2"/>
    </row>
    <row r="28" spans="1:24" x14ac:dyDescent="0.2">
      <c r="A28" s="1">
        <v>0</v>
      </c>
      <c r="B28" s="44">
        <v>60</v>
      </c>
      <c r="C28" s="46">
        <v>0.5</v>
      </c>
      <c r="D28" s="47">
        <f t="shared" si="0"/>
        <v>12400</v>
      </c>
      <c r="E28" s="131">
        <v>12.4</v>
      </c>
      <c r="F28" s="82"/>
      <c r="G28" s="1">
        <v>1</v>
      </c>
      <c r="H28" s="36">
        <f t="shared" si="1"/>
        <v>-1.5833333333333333</v>
      </c>
      <c r="I28" s="36">
        <f t="shared" si="2"/>
        <v>-5.4166666666666714</v>
      </c>
      <c r="J28" s="35">
        <f t="shared" si="3"/>
        <v>-3.25</v>
      </c>
      <c r="K28" s="60" t="s">
        <v>18</v>
      </c>
      <c r="L28" s="31">
        <f>AVERAGE(D18:D29)</f>
        <v>17351.666666666668</v>
      </c>
      <c r="X28" s="2"/>
    </row>
    <row r="29" spans="1:24" x14ac:dyDescent="0.2">
      <c r="A29" s="1">
        <v>2</v>
      </c>
      <c r="B29" s="44">
        <v>75</v>
      </c>
      <c r="C29" s="46">
        <v>7</v>
      </c>
      <c r="D29" s="47">
        <f t="shared" si="0"/>
        <v>22500</v>
      </c>
      <c r="E29" s="131">
        <v>22.5</v>
      </c>
      <c r="F29" s="82"/>
      <c r="G29" s="1">
        <v>1</v>
      </c>
      <c r="H29" s="36">
        <f t="shared" si="1"/>
        <v>0.41666666666666674</v>
      </c>
      <c r="I29" s="36">
        <f t="shared" si="2"/>
        <v>9.5833333333333286</v>
      </c>
      <c r="J29" s="35">
        <f t="shared" si="3"/>
        <v>3.25</v>
      </c>
      <c r="K29" s="61" t="s">
        <v>25</v>
      </c>
      <c r="L29" s="31">
        <f>N46</f>
        <v>17351.666666666664</v>
      </c>
      <c r="X29" s="2"/>
    </row>
    <row r="30" spans="1:24" x14ac:dyDescent="0.2">
      <c r="A30" s="1"/>
      <c r="B30" s="44"/>
      <c r="C30" s="46"/>
      <c r="D30" s="48"/>
      <c r="F30" s="82"/>
      <c r="G30" s="1"/>
      <c r="H30" s="64">
        <f>SUM(H18:H29)</f>
        <v>1.1102230246251565E-15</v>
      </c>
      <c r="I30" s="11">
        <f>SUM(I18:I29)</f>
        <v>-5.6843418860808015E-14</v>
      </c>
      <c r="J30" s="11">
        <f>SUM(J18:J18)</f>
        <v>-1.75</v>
      </c>
      <c r="K30" s="61" t="s">
        <v>26</v>
      </c>
      <c r="L30" s="30">
        <f>N47</f>
        <v>100.45593675435128</v>
      </c>
      <c r="X30" s="2"/>
    </row>
    <row r="31" spans="1:24" x14ac:dyDescent="0.2">
      <c r="A31" s="1"/>
      <c r="B31" s="44"/>
      <c r="C31" s="46"/>
      <c r="D31" s="48"/>
      <c r="F31" s="82"/>
      <c r="G31" s="1"/>
      <c r="H31" s="36"/>
      <c r="K31" s="19" t="s">
        <v>27</v>
      </c>
      <c r="L31" s="18">
        <f>N48</f>
        <v>164.13087423029731</v>
      </c>
      <c r="M31" t="s">
        <v>96</v>
      </c>
      <c r="N31">
        <f>N49</f>
        <v>799.29597696902772</v>
      </c>
      <c r="X31" s="2"/>
    </row>
    <row r="32" spans="1:24" x14ac:dyDescent="0.2">
      <c r="A32" s="1"/>
      <c r="B32" s="44"/>
      <c r="C32" s="46"/>
      <c r="D32" s="48"/>
      <c r="F32" s="82"/>
      <c r="G32" s="1"/>
      <c r="H32" s="36"/>
      <c r="I32" s="36"/>
      <c r="K32" s="18" t="s">
        <v>24</v>
      </c>
      <c r="L32" s="18">
        <f>SUMSQ(K61:K85)</f>
        <v>23841406.353151981</v>
      </c>
      <c r="X32" s="2"/>
    </row>
    <row r="33" spans="1:24" x14ac:dyDescent="0.2">
      <c r="A33" s="1"/>
      <c r="B33" s="44"/>
      <c r="C33" s="46"/>
      <c r="D33" s="48"/>
      <c r="F33" s="82"/>
      <c r="G33" s="1"/>
      <c r="H33" s="36"/>
      <c r="I33" s="36"/>
      <c r="K33" s="19" t="s">
        <v>23</v>
      </c>
      <c r="L33" s="18">
        <f>L32/(L25-L24-1)</f>
        <v>2980175.7941439976</v>
      </c>
      <c r="X33" s="2"/>
    </row>
    <row r="34" spans="1:24" x14ac:dyDescent="0.2">
      <c r="A34" s="1"/>
      <c r="B34" s="44"/>
      <c r="C34" s="46"/>
      <c r="D34" s="48"/>
      <c r="F34" s="82"/>
      <c r="G34" s="1"/>
      <c r="H34" s="36"/>
      <c r="I34" s="36"/>
      <c r="X34" s="2"/>
    </row>
    <row r="35" spans="1:24" x14ac:dyDescent="0.2">
      <c r="A35" s="1"/>
      <c r="B35" s="44"/>
      <c r="C35" s="46"/>
      <c r="D35" s="48"/>
      <c r="F35" s="82"/>
      <c r="G35" s="1"/>
      <c r="H35" s="36"/>
      <c r="I35" s="36"/>
      <c r="X35" s="2"/>
    </row>
    <row r="36" spans="1:24" x14ac:dyDescent="0.2">
      <c r="A36" s="1"/>
      <c r="B36" s="44"/>
      <c r="C36" s="46"/>
      <c r="D36" s="48"/>
      <c r="F36" s="82"/>
      <c r="G36" s="1"/>
      <c r="H36" s="36"/>
      <c r="I36" s="36"/>
      <c r="X36" s="2"/>
    </row>
    <row r="37" spans="1:24" x14ac:dyDescent="0.2">
      <c r="A37" s="1"/>
      <c r="B37" s="44"/>
      <c r="C37" s="46"/>
      <c r="D37" s="48"/>
      <c r="F37" s="82"/>
      <c r="G37" s="1"/>
      <c r="H37" s="36"/>
      <c r="I37" s="36"/>
      <c r="M37" s="82" t="s">
        <v>7</v>
      </c>
      <c r="N37" s="12">
        <f>L25</f>
        <v>12</v>
      </c>
      <c r="O37" s="10">
        <v>0</v>
      </c>
      <c r="P37" s="10">
        <v>0</v>
      </c>
      <c r="Q37" s="2">
        <v>0</v>
      </c>
      <c r="R37" s="82" t="s">
        <v>8</v>
      </c>
      <c r="S37" s="17">
        <f t="array" ref="S37:V40">MINVERSE(N37:Q40)</f>
        <v>8.3333333333333329E-2</v>
      </c>
      <c r="T37" s="34">
        <v>0</v>
      </c>
      <c r="U37" s="33">
        <v>0</v>
      </c>
      <c r="V37" s="34">
        <v>0</v>
      </c>
      <c r="X37" s="2"/>
    </row>
    <row r="38" spans="1:24" x14ac:dyDescent="0.2">
      <c r="A38" s="1"/>
      <c r="B38" s="44"/>
      <c r="C38" s="46"/>
      <c r="D38" s="48"/>
      <c r="F38" s="82"/>
      <c r="G38" s="1"/>
      <c r="H38" s="36"/>
      <c r="I38" s="36"/>
      <c r="M38" s="82"/>
      <c r="N38" s="12">
        <v>0</v>
      </c>
      <c r="O38" s="10">
        <f>SUMSQ(H18:H29)</f>
        <v>23.416666666666668</v>
      </c>
      <c r="P38" s="10">
        <f>SUMPRODUCT(H18:H29,I18:I29)</f>
        <v>164.58333333333331</v>
      </c>
      <c r="Q38" s="2">
        <f>O40</f>
        <v>10.25</v>
      </c>
      <c r="R38" s="82"/>
      <c r="S38" s="17">
        <v>0</v>
      </c>
      <c r="T38" s="34">
        <v>0.10377998631079229</v>
      </c>
      <c r="U38" s="33">
        <v>-8.8180116531386115E-3</v>
      </c>
      <c r="V38" s="34">
        <v>2.0601370863099853E-3</v>
      </c>
      <c r="X38" s="2"/>
    </row>
    <row r="39" spans="1:24" x14ac:dyDescent="0.2">
      <c r="A39" s="1"/>
      <c r="B39" s="44"/>
      <c r="C39" s="46"/>
      <c r="D39" s="48"/>
      <c r="F39" s="82"/>
      <c r="G39" s="1"/>
      <c r="H39" s="36"/>
      <c r="I39" s="36"/>
      <c r="M39" s="82"/>
      <c r="N39" s="12">
        <v>0</v>
      </c>
      <c r="O39" s="10">
        <f>P38</f>
        <v>164.58333333333331</v>
      </c>
      <c r="P39" s="10">
        <f>SUMSQ(I18:I29)</f>
        <v>1972.9166666666667</v>
      </c>
      <c r="Q39" s="2">
        <f>P40</f>
        <v>153.74999999999997</v>
      </c>
      <c r="R39" s="82"/>
      <c r="S39" s="17">
        <v>0</v>
      </c>
      <c r="T39" s="34">
        <v>-8.8180116531386115E-3</v>
      </c>
      <c r="U39" s="33">
        <v>1.3029153114336969E-3</v>
      </c>
      <c r="V39" s="34">
        <v>-7.7558102072846616E-4</v>
      </c>
      <c r="X39" s="2"/>
    </row>
    <row r="40" spans="1:24" x14ac:dyDescent="0.2">
      <c r="A40" s="1"/>
      <c r="B40" s="44"/>
      <c r="C40" s="46"/>
      <c r="D40" s="48"/>
      <c r="F40" s="82"/>
      <c r="G40" s="1"/>
      <c r="H40" s="36"/>
      <c r="I40" s="36"/>
      <c r="N40" s="1">
        <v>0</v>
      </c>
      <c r="O40">
        <f>SUMPRODUCT(H18:H29,J18:J29)</f>
        <v>10.25</v>
      </c>
      <c r="P40">
        <f>SUMPRODUCT(I18:I29,J18:J29)</f>
        <v>153.74999999999997</v>
      </c>
      <c r="Q40" s="2">
        <f>SUMSQ(J18:J29)</f>
        <v>141.75</v>
      </c>
      <c r="S40" s="17">
        <v>0</v>
      </c>
      <c r="T40" s="34">
        <v>2.0601370863099857E-3</v>
      </c>
      <c r="U40" s="33">
        <v>-7.7558102072846616E-4</v>
      </c>
      <c r="V40" s="34">
        <v>7.7469430462245087E-3</v>
      </c>
      <c r="X40" s="2"/>
    </row>
    <row r="41" spans="1:24" x14ac:dyDescent="0.2">
      <c r="A41" s="1"/>
      <c r="B41" s="44"/>
      <c r="C41" s="46"/>
      <c r="D41" s="48"/>
      <c r="F41" s="82"/>
      <c r="G41" s="1"/>
      <c r="H41" s="36"/>
      <c r="I41" s="36"/>
      <c r="M41" s="82" t="s">
        <v>9</v>
      </c>
      <c r="N41" s="17">
        <f>SUM(D18:D29)</f>
        <v>208220</v>
      </c>
      <c r="O41" s="1"/>
      <c r="X41" s="2"/>
    </row>
    <row r="42" spans="1:24" x14ac:dyDescent="0.2">
      <c r="A42" s="1"/>
      <c r="B42" s="44"/>
      <c r="C42" s="46"/>
      <c r="D42" s="48"/>
      <c r="F42" s="82"/>
      <c r="G42" s="1"/>
      <c r="H42" s="36"/>
      <c r="I42" s="36"/>
      <c r="M42" s="82"/>
      <c r="N42" s="1">
        <f>SUMPRODUCT(D18:D29,H18:H29)</f>
        <v>37558.333333333358</v>
      </c>
      <c r="O42" s="1"/>
      <c r="X42" s="2"/>
    </row>
    <row r="43" spans="1:24" x14ac:dyDescent="0.2">
      <c r="A43" s="1"/>
      <c r="M43" s="82"/>
      <c r="N43" s="1">
        <f>SUMPRODUCT(D18:D29,I18:I29)</f>
        <v>463241.66666666575</v>
      </c>
      <c r="O43" s="1"/>
      <c r="X43" s="2"/>
    </row>
    <row r="44" spans="1:24" x14ac:dyDescent="0.2">
      <c r="A44" s="1"/>
      <c r="N44" s="62">
        <f>SUMPRODUCT(D18:D29,J18:J29)</f>
        <v>139565</v>
      </c>
      <c r="X44" s="2"/>
    </row>
    <row r="45" spans="1:24" x14ac:dyDescent="0.2">
      <c r="A45" s="1"/>
      <c r="X45" s="2"/>
    </row>
    <row r="46" spans="1:24" x14ac:dyDescent="0.2">
      <c r="A46" s="1"/>
      <c r="M46" s="82"/>
      <c r="N46" s="1">
        <f t="array" ref="N46:N49">MMULT(S37:V40,N41:N44)</f>
        <v>17351.666666666664</v>
      </c>
      <c r="O46" s="1"/>
      <c r="P46" s="65" t="s">
        <v>13</v>
      </c>
      <c r="X46" s="2"/>
    </row>
    <row r="47" spans="1:24" x14ac:dyDescent="0.2">
      <c r="A47" s="1"/>
      <c r="M47" s="82"/>
      <c r="N47" s="1">
        <v>100.45593675435128</v>
      </c>
      <c r="O47" s="12" t="s">
        <v>12</v>
      </c>
      <c r="P47" s="65" t="s">
        <v>14</v>
      </c>
      <c r="X47" s="2"/>
    </row>
    <row r="48" spans="1:24" x14ac:dyDescent="0.2">
      <c r="A48" s="1"/>
      <c r="M48" s="82"/>
      <c r="N48" s="1">
        <v>164.13087423029731</v>
      </c>
      <c r="O48" s="1"/>
      <c r="P48" s="65" t="s">
        <v>15</v>
      </c>
      <c r="X48" s="2"/>
    </row>
    <row r="49" spans="1:24" x14ac:dyDescent="0.2">
      <c r="A49" s="1"/>
      <c r="N49" s="62">
        <v>799.29597696902772</v>
      </c>
      <c r="P49" s="65" t="s">
        <v>97</v>
      </c>
      <c r="X49" s="2"/>
    </row>
    <row r="50" spans="1:24" x14ac:dyDescent="0.2">
      <c r="A50" s="1"/>
      <c r="X50" s="2"/>
    </row>
    <row r="51" spans="1:24" x14ac:dyDescent="0.2">
      <c r="A51" s="1"/>
      <c r="X51" s="2"/>
    </row>
    <row r="52" spans="1:24" x14ac:dyDescent="0.2">
      <c r="A52" s="1"/>
      <c r="X52" s="2"/>
    </row>
    <row r="53" spans="1:24" x14ac:dyDescent="0.2">
      <c r="A53" s="1"/>
      <c r="X53" s="2"/>
    </row>
    <row r="54" spans="1:24" x14ac:dyDescent="0.2">
      <c r="A54" s="1"/>
      <c r="X54" s="2"/>
    </row>
    <row r="55" spans="1:24" x14ac:dyDescent="0.2">
      <c r="A55" s="1"/>
      <c r="X55" s="2"/>
    </row>
    <row r="56" spans="1:24" x14ac:dyDescent="0.2">
      <c r="A56" s="1"/>
      <c r="X56" s="2"/>
    </row>
    <row r="57" spans="1:24" x14ac:dyDescent="0.2">
      <c r="A57" s="1"/>
      <c r="X57" s="2"/>
    </row>
    <row r="58" spans="1:24" x14ac:dyDescent="0.2">
      <c r="A58" s="1"/>
      <c r="X58" s="2"/>
    </row>
    <row r="59" spans="1:24" x14ac:dyDescent="0.2">
      <c r="A59" s="1"/>
      <c r="X59" s="2"/>
    </row>
    <row r="60" spans="1:24" x14ac:dyDescent="0.2">
      <c r="A60" s="1"/>
      <c r="I60" s="63" t="s">
        <v>21</v>
      </c>
      <c r="X60" s="2"/>
    </row>
    <row r="61" spans="1:24" x14ac:dyDescent="0.2">
      <c r="A61" s="1"/>
      <c r="F61" s="1">
        <v>1</v>
      </c>
      <c r="G61" s="82" t="s">
        <v>19</v>
      </c>
      <c r="H61" s="1">
        <f t="array" ref="H61:H72">MMULT(G18:J29,N46:N49)</f>
        <v>15926.367483022552</v>
      </c>
      <c r="I61" s="63">
        <f>$N$46+$N$47*H18+$N$48*I18+$N$49*J18</f>
        <v>15926.367483022552</v>
      </c>
      <c r="J61" s="82" t="s">
        <v>20</v>
      </c>
      <c r="K61" s="17">
        <f>D18-H61</f>
        <v>-806.36748302255182</v>
      </c>
      <c r="L61" s="16"/>
      <c r="X61" s="2"/>
    </row>
    <row r="62" spans="1:24" x14ac:dyDescent="0.2">
      <c r="A62" s="1"/>
      <c r="F62" s="1">
        <v>1</v>
      </c>
      <c r="G62" s="82"/>
      <c r="H62" s="1">
        <v>12543.294061662256</v>
      </c>
      <c r="I62" s="63">
        <f t="shared" ref="I62:I72" si="4">$N$46+$N$47*H19+$N$48*I19+$N$49*J19</f>
        <v>12543.294061662256</v>
      </c>
      <c r="J62" s="82"/>
      <c r="K62" s="17">
        <f>D19-H62</f>
        <v>-43.294061662256354</v>
      </c>
      <c r="L62" s="16"/>
      <c r="X62" s="2"/>
    </row>
    <row r="63" spans="1:24" x14ac:dyDescent="0.2">
      <c r="A63" s="1"/>
      <c r="F63" s="1">
        <v>1</v>
      </c>
      <c r="G63" s="82"/>
      <c r="H63" s="1">
        <v>24954.740711543222</v>
      </c>
      <c r="I63" s="63">
        <f t="shared" si="4"/>
        <v>24954.740711543222</v>
      </c>
      <c r="J63" s="82"/>
      <c r="K63" s="17">
        <f>D20-H63</f>
        <v>1045.2592884567784</v>
      </c>
      <c r="L63" s="16"/>
      <c r="X63" s="2"/>
    </row>
    <row r="64" spans="1:24" x14ac:dyDescent="0.2">
      <c r="A64" s="1"/>
      <c r="F64" s="1">
        <v>1</v>
      </c>
      <c r="G64" s="82"/>
      <c r="H64" s="1">
        <v>21277.810659932125</v>
      </c>
      <c r="I64" s="63">
        <f t="shared" si="4"/>
        <v>21277.810659932125</v>
      </c>
      <c r="J64" s="82"/>
      <c r="K64" s="17">
        <f>D21-H64</f>
        <v>-2277.8106599321254</v>
      </c>
      <c r="L64" s="16"/>
      <c r="X64" s="2"/>
    </row>
    <row r="65" spans="1:24" x14ac:dyDescent="0.2">
      <c r="A65" s="1"/>
      <c r="F65" s="1">
        <v>1</v>
      </c>
      <c r="G65" s="82"/>
      <c r="H65" s="1">
        <v>18610.600864168176</v>
      </c>
      <c r="I65" s="63">
        <f t="shared" si="4"/>
        <v>18610.600864168176</v>
      </c>
      <c r="J65" s="82"/>
      <c r="K65" s="17">
        <f>D22-H65</f>
        <v>-2610.6008641681765</v>
      </c>
      <c r="L65" s="16"/>
      <c r="X65" s="2"/>
    </row>
    <row r="66" spans="1:24" x14ac:dyDescent="0.2">
      <c r="A66" s="1"/>
      <c r="F66" s="1">
        <v>1</v>
      </c>
      <c r="G66" s="82"/>
      <c r="H66" s="1">
        <v>14926.159632544821</v>
      </c>
      <c r="I66" s="63">
        <f t="shared" si="4"/>
        <v>14926.159632544821</v>
      </c>
      <c r="J66" s="82"/>
      <c r="K66" s="17">
        <f>D23-H66</f>
        <v>73.840367455179148</v>
      </c>
      <c r="L66" s="16"/>
      <c r="X66" s="2"/>
    </row>
    <row r="67" spans="1:24" x14ac:dyDescent="0.2">
      <c r="A67" s="1"/>
      <c r="F67" s="1">
        <v>1</v>
      </c>
      <c r="G67" s="82"/>
      <c r="H67" s="1">
        <v>11243.894159454363</v>
      </c>
      <c r="I67" s="63">
        <f t="shared" si="4"/>
        <v>11243.894159454363</v>
      </c>
      <c r="J67" s="82"/>
      <c r="K67" s="17">
        <f>D24-H67</f>
        <v>1256.105840545637</v>
      </c>
      <c r="L67" s="16"/>
      <c r="X67" s="2"/>
    </row>
    <row r="68" spans="1:24" x14ac:dyDescent="0.2">
      <c r="A68" s="1"/>
      <c r="F68" s="1">
        <v>1</v>
      </c>
      <c r="G68" s="82"/>
      <c r="H68" s="1">
        <v>15155.941080248243</v>
      </c>
      <c r="I68" s="63">
        <f t="shared" si="4"/>
        <v>15155.941080248243</v>
      </c>
      <c r="J68" s="82"/>
      <c r="K68" s="17">
        <f>D25-H68</f>
        <v>644.05891975175655</v>
      </c>
      <c r="L68" s="16"/>
      <c r="X68" s="2"/>
    </row>
    <row r="69" spans="1:24" x14ac:dyDescent="0.2">
      <c r="A69" s="1"/>
      <c r="F69" s="1">
        <v>1</v>
      </c>
      <c r="G69" s="82"/>
      <c r="H69" s="1">
        <v>17445.86189438872</v>
      </c>
      <c r="I69" s="63">
        <f t="shared" si="4"/>
        <v>17445.86189438872</v>
      </c>
      <c r="J69" s="82"/>
      <c r="K69" s="17">
        <f>D26-H69</f>
        <v>2154.1381056112805</v>
      </c>
      <c r="L69" s="16"/>
      <c r="X69" s="2"/>
    </row>
    <row r="70" spans="1:24" x14ac:dyDescent="0.2">
      <c r="A70" s="1"/>
      <c r="F70" s="1">
        <v>1</v>
      </c>
      <c r="G70" s="82"/>
      <c r="H70" s="1">
        <v>20865.316069955988</v>
      </c>
      <c r="I70" s="63">
        <f t="shared" si="4"/>
        <v>20865.316069955988</v>
      </c>
      <c r="J70" s="82"/>
      <c r="K70" s="17">
        <f>D27-H70</f>
        <v>934.6839300440115</v>
      </c>
      <c r="L70" s="16"/>
      <c r="X70" s="2"/>
    </row>
    <row r="71" spans="1:24" x14ac:dyDescent="0.2">
      <c r="A71" s="1"/>
      <c r="F71" s="1">
        <v>1</v>
      </c>
      <c r="G71" s="82"/>
      <c r="H71" s="1">
        <v>13705.857272908821</v>
      </c>
      <c r="I71" s="63">
        <f t="shared" si="4"/>
        <v>13705.857272908821</v>
      </c>
      <c r="J71" s="82"/>
      <c r="K71" s="17">
        <f>D28-H71</f>
        <v>-1305.857272908821</v>
      </c>
      <c r="L71" s="16"/>
      <c r="X71" s="2"/>
    </row>
    <row r="72" spans="1:24" x14ac:dyDescent="0.2">
      <c r="A72" s="1"/>
      <c r="F72" s="1">
        <v>1</v>
      </c>
      <c r="G72" s="82"/>
      <c r="H72" s="1">
        <v>21564.156110170665</v>
      </c>
      <c r="I72" s="63">
        <f t="shared" si="4"/>
        <v>21564.156110170665</v>
      </c>
      <c r="J72" s="82"/>
      <c r="K72" s="17">
        <f>D29-H72</f>
        <v>935.84388982933524</v>
      </c>
      <c r="L72" s="16"/>
      <c r="X72" s="2"/>
    </row>
    <row r="73" spans="1:24" x14ac:dyDescent="0.2">
      <c r="A73" s="1"/>
      <c r="G73" s="82"/>
      <c r="H73" s="1"/>
      <c r="J73" s="82"/>
      <c r="K73" s="17"/>
      <c r="L73" s="16"/>
      <c r="X73" s="2"/>
    </row>
    <row r="74" spans="1:24" x14ac:dyDescent="0.2">
      <c r="A74" s="1"/>
      <c r="G74" s="82"/>
      <c r="H74" s="1"/>
      <c r="J74" s="82"/>
      <c r="K74" s="17"/>
      <c r="L74" s="16"/>
      <c r="X74" s="2"/>
    </row>
    <row r="75" spans="1:24" x14ac:dyDescent="0.2">
      <c r="A75" s="1"/>
      <c r="G75" s="82"/>
      <c r="H75" s="1"/>
      <c r="J75" s="82"/>
      <c r="K75" s="17"/>
      <c r="L75" s="16"/>
      <c r="X75" s="2"/>
    </row>
    <row r="76" spans="1:24" x14ac:dyDescent="0.2">
      <c r="A76" s="1"/>
      <c r="G76" s="82"/>
      <c r="H76" s="1"/>
      <c r="J76" s="82"/>
      <c r="K76" s="17"/>
      <c r="L76" s="16"/>
      <c r="X76" s="2"/>
    </row>
    <row r="77" spans="1:24" x14ac:dyDescent="0.2">
      <c r="A77" s="1"/>
      <c r="G77" s="82"/>
      <c r="H77" s="1"/>
      <c r="J77" s="82"/>
      <c r="K77" s="17"/>
      <c r="L77" s="16"/>
      <c r="X77" s="2"/>
    </row>
    <row r="78" spans="1:24" x14ac:dyDescent="0.2">
      <c r="A78" s="1"/>
      <c r="G78" s="82"/>
      <c r="H78" s="1"/>
      <c r="J78" s="82"/>
      <c r="K78" s="17"/>
      <c r="L78" s="16"/>
      <c r="X78" s="2"/>
    </row>
    <row r="79" spans="1:24" x14ac:dyDescent="0.2">
      <c r="A79" s="1"/>
      <c r="G79" s="82"/>
      <c r="H79" s="1"/>
      <c r="J79" s="82"/>
      <c r="K79" s="17"/>
      <c r="L79" s="16"/>
      <c r="X79" s="2"/>
    </row>
    <row r="80" spans="1:24" x14ac:dyDescent="0.2">
      <c r="A80" s="1"/>
      <c r="G80" s="82"/>
      <c r="H80" s="1"/>
      <c r="J80" s="82"/>
      <c r="K80" s="17"/>
      <c r="L80" s="16"/>
      <c r="X80" s="2"/>
    </row>
    <row r="81" spans="1:24" x14ac:dyDescent="0.2">
      <c r="A81" s="1"/>
      <c r="G81" s="82"/>
      <c r="H81" s="1"/>
      <c r="J81" s="82"/>
      <c r="K81" s="17"/>
      <c r="L81" s="16"/>
      <c r="X81" s="2"/>
    </row>
    <row r="82" spans="1:24" x14ac:dyDescent="0.2">
      <c r="A82" s="1"/>
      <c r="G82" s="82"/>
      <c r="H82" s="1"/>
      <c r="J82" s="82"/>
      <c r="K82" s="17"/>
      <c r="L82" s="16"/>
      <c r="X82" s="2"/>
    </row>
    <row r="83" spans="1:24" x14ac:dyDescent="0.2">
      <c r="A83" s="1"/>
      <c r="G83" s="82"/>
      <c r="H83" s="1"/>
      <c r="J83" s="82"/>
      <c r="K83" s="17"/>
      <c r="L83" s="16"/>
      <c r="X83" s="2"/>
    </row>
    <row r="84" spans="1:24" x14ac:dyDescent="0.2">
      <c r="A84" s="1"/>
      <c r="G84" s="82"/>
      <c r="H84" s="1"/>
      <c r="J84" s="82"/>
      <c r="K84" s="17"/>
      <c r="L84" s="16"/>
      <c r="X84" s="2"/>
    </row>
    <row r="85" spans="1:24" x14ac:dyDescent="0.2">
      <c r="A85" s="25"/>
      <c r="B85" s="26"/>
      <c r="C85" s="26"/>
      <c r="D85" s="26"/>
      <c r="E85" s="26"/>
      <c r="F85" s="26"/>
      <c r="G85" s="83"/>
      <c r="H85" s="25"/>
      <c r="I85" s="26"/>
      <c r="J85" s="83"/>
      <c r="K85" s="66"/>
      <c r="L85" s="67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7"/>
    </row>
  </sheetData>
  <mergeCells count="9">
    <mergeCell ref="R37:R39"/>
    <mergeCell ref="M41:M43"/>
    <mergeCell ref="M46:M48"/>
    <mergeCell ref="G61:G85"/>
    <mergeCell ref="J61:J85"/>
    <mergeCell ref="A2:E2"/>
    <mergeCell ref="J2:N2"/>
    <mergeCell ref="F18:F42"/>
    <mergeCell ref="M37:M3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CAC8-6109-2848-B8FE-22DD28C1301C}">
  <dimension ref="A1:S87"/>
  <sheetViews>
    <sheetView topLeftCell="A66" zoomScale="169" zoomScaleNormal="75" workbookViewId="0">
      <selection activeCell="I11" sqref="I11"/>
    </sheetView>
  </sheetViews>
  <sheetFormatPr baseColWidth="10" defaultRowHeight="16" x14ac:dyDescent="0.2"/>
  <cols>
    <col min="3" max="3" width="12.6640625" bestFit="1" customWidth="1"/>
    <col min="4" max="4" width="13.1640625" bestFit="1" customWidth="1"/>
    <col min="5" max="5" width="11" bestFit="1" customWidth="1"/>
  </cols>
  <sheetData>
    <row r="1" spans="1:12" x14ac:dyDescent="0.2">
      <c r="A1" s="22"/>
      <c r="B1" s="23"/>
      <c r="C1" s="23"/>
      <c r="D1" s="23"/>
      <c r="E1" s="23"/>
      <c r="F1" s="23"/>
      <c r="G1" s="23"/>
      <c r="H1" s="23"/>
      <c r="I1" s="23"/>
      <c r="J1" s="23"/>
      <c r="K1" s="23"/>
      <c r="L1" s="24"/>
    </row>
    <row r="2" spans="1:12" x14ac:dyDescent="0.2">
      <c r="A2" s="1"/>
      <c r="L2" s="2"/>
    </row>
    <row r="3" spans="1:12" x14ac:dyDescent="0.2">
      <c r="A3" s="1"/>
      <c r="L3" s="2"/>
    </row>
    <row r="4" spans="1:12" ht="17" thickBot="1" x14ac:dyDescent="0.25">
      <c r="A4" s="1"/>
      <c r="L4" s="2"/>
    </row>
    <row r="5" spans="1:12" ht="16" customHeight="1" x14ac:dyDescent="0.2">
      <c r="A5" s="1"/>
      <c r="B5" s="88" t="s">
        <v>28</v>
      </c>
      <c r="C5" s="3">
        <f>'пункт 1'!N37</f>
        <v>12</v>
      </c>
      <c r="D5" s="3">
        <f>'пункт 1'!O37</f>
        <v>0</v>
      </c>
      <c r="E5" s="3">
        <f>'пункт 1'!P37</f>
        <v>0</v>
      </c>
      <c r="F5" s="4">
        <f>'пункт 1'!Q37</f>
        <v>0</v>
      </c>
      <c r="L5" s="2"/>
    </row>
    <row r="6" spans="1:12" x14ac:dyDescent="0.2">
      <c r="A6" s="1"/>
      <c r="B6" s="89"/>
      <c r="C6">
        <f>'пункт 1'!N38</f>
        <v>0</v>
      </c>
      <c r="D6">
        <f>'пункт 1'!O38</f>
        <v>23.416666666666668</v>
      </c>
      <c r="E6">
        <f>'пункт 1'!P38</f>
        <v>164.58333333333331</v>
      </c>
      <c r="F6" s="6">
        <f>'пункт 1'!Q38</f>
        <v>10.25</v>
      </c>
      <c r="L6" s="2"/>
    </row>
    <row r="7" spans="1:12" x14ac:dyDescent="0.2">
      <c r="A7" s="1"/>
      <c r="B7" s="89"/>
      <c r="C7">
        <f>'пункт 1'!N39</f>
        <v>0</v>
      </c>
      <c r="D7">
        <f>'пункт 1'!O39</f>
        <v>164.58333333333331</v>
      </c>
      <c r="E7">
        <f>'пункт 1'!P39</f>
        <v>1972.9166666666667</v>
      </c>
      <c r="F7" s="6">
        <f>'пункт 1'!Q39</f>
        <v>153.74999999999997</v>
      </c>
      <c r="L7" s="2"/>
    </row>
    <row r="8" spans="1:12" ht="17" thickBot="1" x14ac:dyDescent="0.25">
      <c r="A8" s="1"/>
      <c r="B8" s="90"/>
      <c r="C8" s="8">
        <f>'пункт 1'!N40</f>
        <v>0</v>
      </c>
      <c r="D8" s="8">
        <f>'пункт 1'!O40</f>
        <v>10.25</v>
      </c>
      <c r="E8" s="8">
        <f>'пункт 1'!P40</f>
        <v>153.74999999999997</v>
      </c>
      <c r="F8" s="9">
        <f>'пункт 1'!Q40</f>
        <v>141.75</v>
      </c>
      <c r="L8" s="2"/>
    </row>
    <row r="9" spans="1:12" x14ac:dyDescent="0.2">
      <c r="A9" s="1"/>
      <c r="B9" s="91" t="s">
        <v>8</v>
      </c>
      <c r="C9" s="3">
        <f>'пункт 1'!S37</f>
        <v>8.3333333333333329E-2</v>
      </c>
      <c r="D9" s="3">
        <f>'пункт 1'!T37</f>
        <v>0</v>
      </c>
      <c r="E9" s="3">
        <f>'пункт 1'!U37</f>
        <v>0</v>
      </c>
      <c r="F9" s="4">
        <f>'пункт 1'!V37</f>
        <v>0</v>
      </c>
      <c r="L9" s="2"/>
    </row>
    <row r="10" spans="1:12" x14ac:dyDescent="0.2">
      <c r="A10" s="1"/>
      <c r="B10" s="92"/>
      <c r="C10">
        <f>'пункт 1'!S38</f>
        <v>0</v>
      </c>
      <c r="D10" s="20">
        <f>'пункт 1'!T38</f>
        <v>0.10377998631079229</v>
      </c>
      <c r="E10" s="20">
        <f>'пункт 1'!U38</f>
        <v>-8.8180116531386115E-3</v>
      </c>
      <c r="F10" s="68">
        <f>'пункт 1'!V38</f>
        <v>2.0601370863099853E-3</v>
      </c>
      <c r="L10" s="2"/>
    </row>
    <row r="11" spans="1:12" x14ac:dyDescent="0.2">
      <c r="A11" s="1"/>
      <c r="B11" s="92"/>
      <c r="C11">
        <f>'пункт 1'!S39</f>
        <v>0</v>
      </c>
      <c r="D11" s="20">
        <f>'пункт 1'!T39</f>
        <v>-8.8180116531386115E-3</v>
      </c>
      <c r="E11" s="20">
        <f>'пункт 1'!U39</f>
        <v>1.3029153114336969E-3</v>
      </c>
      <c r="F11" s="68">
        <f>'пункт 1'!V39</f>
        <v>-7.7558102072846616E-4</v>
      </c>
      <c r="L11" s="2"/>
    </row>
    <row r="12" spans="1:12" ht="17" thickBot="1" x14ac:dyDescent="0.25">
      <c r="A12" s="1"/>
      <c r="B12" s="93"/>
      <c r="C12" s="8">
        <f>'пункт 1'!S40</f>
        <v>0</v>
      </c>
      <c r="D12" s="69">
        <f>'пункт 1'!T40</f>
        <v>2.0601370863099857E-3</v>
      </c>
      <c r="E12" s="69">
        <f>'пункт 1'!U40</f>
        <v>-7.7558102072846616E-4</v>
      </c>
      <c r="F12" s="70">
        <f>'пункт 1'!V40</f>
        <v>7.7469430462245087E-3</v>
      </c>
      <c r="L12" s="2"/>
    </row>
    <row r="13" spans="1:12" x14ac:dyDescent="0.2">
      <c r="A13" s="1"/>
      <c r="B13" s="91" t="s">
        <v>29</v>
      </c>
      <c r="C13" s="71">
        <f t="shared" ref="C13:E15" si="0">D6</f>
        <v>23.416666666666668</v>
      </c>
      <c r="D13" s="3">
        <f t="shared" si="0"/>
        <v>164.58333333333331</v>
      </c>
      <c r="E13" s="4">
        <f t="shared" si="0"/>
        <v>10.25</v>
      </c>
      <c r="L13" s="2"/>
    </row>
    <row r="14" spans="1:12" x14ac:dyDescent="0.2">
      <c r="A14" s="1"/>
      <c r="B14" s="92"/>
      <c r="C14" s="1">
        <f t="shared" si="0"/>
        <v>164.58333333333331</v>
      </c>
      <c r="D14">
        <f t="shared" si="0"/>
        <v>1972.9166666666667</v>
      </c>
      <c r="E14" s="6">
        <f t="shared" si="0"/>
        <v>153.74999999999997</v>
      </c>
      <c r="L14" s="2"/>
    </row>
    <row r="15" spans="1:12" ht="17" thickBot="1" x14ac:dyDescent="0.25">
      <c r="A15" s="1"/>
      <c r="B15" s="5"/>
      <c r="C15" s="1">
        <f t="shared" si="0"/>
        <v>10.25</v>
      </c>
      <c r="D15">
        <f t="shared" si="0"/>
        <v>153.74999999999997</v>
      </c>
      <c r="E15" s="6">
        <f t="shared" si="0"/>
        <v>141.75</v>
      </c>
      <c r="L15" s="2"/>
    </row>
    <row r="16" spans="1:12" x14ac:dyDescent="0.2">
      <c r="A16" s="1"/>
      <c r="B16" s="91" t="s">
        <v>30</v>
      </c>
      <c r="C16" s="73">
        <f t="array" ref="C16:E18">MINVERSE(C13:E15)</f>
        <v>0.10377998631079229</v>
      </c>
      <c r="D16" s="74">
        <v>-8.8180116531386115E-3</v>
      </c>
      <c r="E16" s="78">
        <v>2.0601370863099853E-3</v>
      </c>
      <c r="L16" s="2"/>
    </row>
    <row r="17" spans="1:19" x14ac:dyDescent="0.2">
      <c r="A17" s="1"/>
      <c r="B17" s="92"/>
      <c r="C17" s="21">
        <v>-8.8180116531386115E-3</v>
      </c>
      <c r="D17" s="20">
        <v>1.3029153114336969E-3</v>
      </c>
      <c r="E17" s="68">
        <v>-7.7558102072846616E-4</v>
      </c>
      <c r="L17" s="2"/>
    </row>
    <row r="18" spans="1:19" ht="17" thickBot="1" x14ac:dyDescent="0.25">
      <c r="A18" s="1"/>
      <c r="B18" s="93"/>
      <c r="C18" s="77">
        <v>2.0601370863099857E-3</v>
      </c>
      <c r="D18" s="69">
        <v>-7.7558102072846616E-4</v>
      </c>
      <c r="E18" s="70">
        <v>7.7469430462245087E-3</v>
      </c>
      <c r="L18" s="2"/>
    </row>
    <row r="19" spans="1:19" ht="17" thickBot="1" x14ac:dyDescent="0.25">
      <c r="A19" s="1"/>
      <c r="E19" s="85" t="s">
        <v>32</v>
      </c>
      <c r="F19" s="71">
        <f t="shared" ref="F19:H21" si="1">C16*$C$20</f>
        <v>256021.87500000012</v>
      </c>
      <c r="G19" s="3">
        <f t="shared" si="1"/>
        <v>-21753.750000000004</v>
      </c>
      <c r="H19" s="4">
        <f t="shared" si="1"/>
        <v>5082.2916666666579</v>
      </c>
      <c r="L19" s="2"/>
    </row>
    <row r="20" spans="1:19" ht="17" thickBot="1" x14ac:dyDescent="0.25">
      <c r="A20" s="1"/>
      <c r="B20" s="75" t="s">
        <v>31</v>
      </c>
      <c r="C20" s="76">
        <f>MDETERM(C13:E15)</f>
        <v>2466967.7083333349</v>
      </c>
      <c r="E20" s="86"/>
      <c r="F20" s="1">
        <f t="shared" si="1"/>
        <v>-21753.750000000004</v>
      </c>
      <c r="G20">
        <f t="shared" si="1"/>
        <v>3214.2500000000009</v>
      </c>
      <c r="H20" s="6">
        <f t="shared" si="1"/>
        <v>-1913.3333333333328</v>
      </c>
      <c r="L20" s="2"/>
    </row>
    <row r="21" spans="1:19" ht="17" thickBot="1" x14ac:dyDescent="0.25">
      <c r="A21" s="1"/>
      <c r="E21" s="87"/>
      <c r="F21" s="72">
        <f t="shared" si="1"/>
        <v>5082.2916666666588</v>
      </c>
      <c r="G21" s="8">
        <f t="shared" si="1"/>
        <v>-1913.3333333333328</v>
      </c>
      <c r="H21" s="9">
        <f t="shared" si="1"/>
        <v>19111.458333333339</v>
      </c>
      <c r="L21" s="2"/>
    </row>
    <row r="22" spans="1:19" ht="17" thickBot="1" x14ac:dyDescent="0.25">
      <c r="A22" s="1"/>
      <c r="L22" s="2"/>
    </row>
    <row r="23" spans="1:19" x14ac:dyDescent="0.2">
      <c r="A23" s="1"/>
      <c r="B23" s="114" t="s">
        <v>33</v>
      </c>
      <c r="C23" s="115"/>
      <c r="D23" s="116">
        <f>1/C5</f>
        <v>8.3333333333333329E-2</v>
      </c>
      <c r="E23" s="117">
        <v>0</v>
      </c>
      <c r="F23" s="117">
        <v>0</v>
      </c>
      <c r="G23" s="118">
        <v>0</v>
      </c>
      <c r="L23" s="2"/>
    </row>
    <row r="24" spans="1:19" x14ac:dyDescent="0.2">
      <c r="A24" s="1"/>
      <c r="B24" s="119"/>
      <c r="C24" s="120"/>
      <c r="D24" s="102">
        <v>0</v>
      </c>
      <c r="E24" s="94">
        <f t="shared" ref="E24:G26" si="2">C16</f>
        <v>0.10377998631079229</v>
      </c>
      <c r="F24" s="94">
        <f t="shared" si="2"/>
        <v>-8.8180116531386115E-3</v>
      </c>
      <c r="G24" s="121">
        <f t="shared" si="2"/>
        <v>2.0601370863099853E-3</v>
      </c>
      <c r="L24" s="2"/>
    </row>
    <row r="25" spans="1:19" x14ac:dyDescent="0.2">
      <c r="A25" s="1"/>
      <c r="B25" s="119"/>
      <c r="C25" s="120"/>
      <c r="D25" s="102">
        <v>0</v>
      </c>
      <c r="E25" s="94">
        <f t="shared" si="2"/>
        <v>-8.8180116531386115E-3</v>
      </c>
      <c r="F25" s="122">
        <f>D17</f>
        <v>1.3029153114336969E-3</v>
      </c>
      <c r="G25" s="123">
        <f t="shared" si="2"/>
        <v>-7.7558102072846616E-4</v>
      </c>
      <c r="L25" s="2"/>
    </row>
    <row r="26" spans="1:19" ht="17" thickBot="1" x14ac:dyDescent="0.25">
      <c r="A26" s="1"/>
      <c r="B26" s="124"/>
      <c r="C26" s="125"/>
      <c r="D26" s="126">
        <v>0</v>
      </c>
      <c r="E26" s="127">
        <f t="shared" si="2"/>
        <v>2.0601370863099857E-3</v>
      </c>
      <c r="F26" s="128">
        <f t="shared" si="2"/>
        <v>-7.7558102072846616E-4</v>
      </c>
      <c r="G26" s="129">
        <f t="shared" si="2"/>
        <v>7.7469430462245087E-3</v>
      </c>
      <c r="L26" s="2"/>
    </row>
    <row r="27" spans="1:19" ht="17" thickBot="1" x14ac:dyDescent="0.25">
      <c r="A27" s="1"/>
      <c r="L27" s="2"/>
    </row>
    <row r="28" spans="1:19" x14ac:dyDescent="0.2">
      <c r="A28" s="1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/>
    </row>
    <row r="29" spans="1:19" x14ac:dyDescent="0.2">
      <c r="A29" s="5"/>
      <c r="S29" s="6"/>
    </row>
    <row r="30" spans="1:19" x14ac:dyDescent="0.2">
      <c r="A30" s="5"/>
      <c r="S30" s="6"/>
    </row>
    <row r="31" spans="1:19" x14ac:dyDescent="0.2">
      <c r="A31" s="5"/>
      <c r="S31" s="6"/>
    </row>
    <row r="32" spans="1:19" x14ac:dyDescent="0.2">
      <c r="A32" s="5"/>
      <c r="B32" s="15" t="s">
        <v>35</v>
      </c>
      <c r="C32" s="14">
        <f>0.1</f>
        <v>0.1</v>
      </c>
      <c r="S32" s="6"/>
    </row>
    <row r="33" spans="1:19" x14ac:dyDescent="0.2">
      <c r="A33" s="5"/>
      <c r="B33" s="14" t="s">
        <v>36</v>
      </c>
      <c r="C33" s="14">
        <f>'пункт 1'!L25</f>
        <v>12</v>
      </c>
      <c r="S33" s="6"/>
    </row>
    <row r="34" spans="1:19" x14ac:dyDescent="0.2">
      <c r="A34" s="5"/>
      <c r="B34" s="14" t="s">
        <v>37</v>
      </c>
      <c r="C34" s="14">
        <f>'пункт 1'!L24</f>
        <v>3</v>
      </c>
      <c r="S34" s="6"/>
    </row>
    <row r="35" spans="1:19" x14ac:dyDescent="0.2">
      <c r="A35" s="5"/>
      <c r="B35" s="14" t="s">
        <v>38</v>
      </c>
      <c r="C35" s="14">
        <f>C33-C34-1</f>
        <v>8</v>
      </c>
      <c r="S35" s="6"/>
    </row>
    <row r="36" spans="1:19" x14ac:dyDescent="0.2">
      <c r="A36" s="5"/>
      <c r="B36" s="14" t="s">
        <v>39</v>
      </c>
      <c r="C36" s="14">
        <f>'пункт 1'!L32</f>
        <v>23841406.353151981</v>
      </c>
      <c r="S36" s="6"/>
    </row>
    <row r="37" spans="1:19" x14ac:dyDescent="0.2">
      <c r="A37" s="5"/>
      <c r="B37" s="15" t="s">
        <v>40</v>
      </c>
      <c r="C37" s="14">
        <f>'пункт 1'!L33</f>
        <v>2980175.7941439976</v>
      </c>
      <c r="S37" s="6"/>
    </row>
    <row r="38" spans="1:19" x14ac:dyDescent="0.2">
      <c r="A38" s="5"/>
      <c r="S38" s="6"/>
    </row>
    <row r="39" spans="1:19" x14ac:dyDescent="0.2">
      <c r="A39" s="5"/>
      <c r="S39" s="6"/>
    </row>
    <row r="40" spans="1:19" x14ac:dyDescent="0.2">
      <c r="A40" s="5"/>
      <c r="S40" s="6"/>
    </row>
    <row r="41" spans="1:19" x14ac:dyDescent="0.2">
      <c r="A41" s="5"/>
      <c r="S41" s="6"/>
    </row>
    <row r="42" spans="1:19" x14ac:dyDescent="0.2">
      <c r="A42" s="5"/>
      <c r="S42" s="6"/>
    </row>
    <row r="43" spans="1:19" x14ac:dyDescent="0.2">
      <c r="A43" s="79"/>
      <c r="B43" s="23"/>
      <c r="C43" s="23"/>
      <c r="D43" s="23"/>
      <c r="E43" s="23"/>
      <c r="F43" s="23"/>
      <c r="G43" s="23"/>
      <c r="H43" s="24"/>
      <c r="S43" s="6"/>
    </row>
    <row r="44" spans="1:19" x14ac:dyDescent="0.2">
      <c r="A44" s="5" t="s">
        <v>34</v>
      </c>
      <c r="H44" s="2"/>
      <c r="S44" s="6"/>
    </row>
    <row r="45" spans="1:19" x14ac:dyDescent="0.2">
      <c r="A45" s="5"/>
      <c r="D45" t="s">
        <v>44</v>
      </c>
      <c r="H45" s="2"/>
      <c r="S45" s="6"/>
    </row>
    <row r="46" spans="1:19" x14ac:dyDescent="0.2">
      <c r="A46" s="5"/>
      <c r="B46" s="14" t="s">
        <v>42</v>
      </c>
      <c r="C46" s="14">
        <f>'пункт 1'!$L$29</f>
        <v>17351.666666666664</v>
      </c>
      <c r="H46" s="2"/>
      <c r="S46" s="6"/>
    </row>
    <row r="47" spans="1:19" x14ac:dyDescent="0.2">
      <c r="A47" s="5"/>
      <c r="B47" s="14" t="s">
        <v>43</v>
      </c>
      <c r="C47" s="14">
        <f>SQRT($C$36/($C$35*$C$33))</f>
        <v>498.3452446299986</v>
      </c>
      <c r="D47">
        <f>SQRT($C$37/$C$33)</f>
        <v>498.3452446299986</v>
      </c>
      <c r="H47" s="2"/>
      <c r="S47" s="6"/>
    </row>
    <row r="48" spans="1:19" x14ac:dyDescent="0.2">
      <c r="A48" s="80"/>
      <c r="B48" s="14" t="s">
        <v>98</v>
      </c>
      <c r="C48" s="14">
        <f>_xlfn.T.INV(1-$C$32/2,$C$35)</f>
        <v>1.8595480375308975</v>
      </c>
      <c r="H48" s="2"/>
      <c r="S48" s="6"/>
    </row>
    <row r="49" spans="1:19" x14ac:dyDescent="0.2">
      <c r="A49" s="5"/>
      <c r="H49" s="2"/>
      <c r="S49" s="6"/>
    </row>
    <row r="50" spans="1:19" x14ac:dyDescent="0.2">
      <c r="A50" s="104" t="s">
        <v>45</v>
      </c>
      <c r="B50" s="94"/>
      <c r="C50" s="103" t="s">
        <v>46</v>
      </c>
      <c r="D50" s="94">
        <f>$C$46-$C$48*$C$47</f>
        <v>16424.969745002094</v>
      </c>
      <c r="E50" s="95" t="s">
        <v>48</v>
      </c>
      <c r="F50" s="94">
        <f>$C$46+$C$47*$C$48</f>
        <v>18278.363588331234</v>
      </c>
      <c r="G50" s="94" t="s">
        <v>47</v>
      </c>
      <c r="H50" s="2"/>
      <c r="S50" s="6"/>
    </row>
    <row r="51" spans="1:19" x14ac:dyDescent="0.2">
      <c r="A51" s="81"/>
      <c r="B51" s="26"/>
      <c r="C51" s="26"/>
      <c r="D51" s="26"/>
      <c r="E51" s="26"/>
      <c r="F51" s="26"/>
      <c r="G51" s="26"/>
      <c r="H51" s="27"/>
      <c r="S51" s="6"/>
    </row>
    <row r="52" spans="1:19" x14ac:dyDescent="0.2">
      <c r="A52" s="5"/>
      <c r="S52" s="6"/>
    </row>
    <row r="53" spans="1:19" x14ac:dyDescent="0.2">
      <c r="A53" s="79"/>
      <c r="B53" s="23"/>
      <c r="C53" s="23"/>
      <c r="D53" s="23"/>
      <c r="E53" s="23"/>
      <c r="F53" s="23"/>
      <c r="G53" s="24"/>
      <c r="S53" s="6"/>
    </row>
    <row r="54" spans="1:19" x14ac:dyDescent="0.2">
      <c r="A54" s="5" t="s">
        <v>50</v>
      </c>
      <c r="G54" s="2"/>
      <c r="S54" s="6"/>
    </row>
    <row r="55" spans="1:19" x14ac:dyDescent="0.2">
      <c r="A55" s="5"/>
      <c r="D55" t="s">
        <v>44</v>
      </c>
      <c r="G55" s="2"/>
      <c r="S55" s="6"/>
    </row>
    <row r="56" spans="1:19" x14ac:dyDescent="0.2">
      <c r="A56" s="5"/>
      <c r="B56" s="14" t="s">
        <v>41</v>
      </c>
      <c r="C56" s="14">
        <f>'пункт 1'!$L$30</f>
        <v>100.45593675435128</v>
      </c>
      <c r="G56" s="2"/>
      <c r="S56" s="6"/>
    </row>
    <row r="57" spans="1:19" x14ac:dyDescent="0.2">
      <c r="A57" s="5"/>
      <c r="B57" s="14" t="s">
        <v>49</v>
      </c>
      <c r="C57" s="14">
        <f>E24</f>
        <v>0.10377998631079229</v>
      </c>
      <c r="D57">
        <f>F19/C20</f>
        <v>0.10377998631079229</v>
      </c>
      <c r="G57" s="2"/>
      <c r="S57" s="6"/>
    </row>
    <row r="58" spans="1:19" x14ac:dyDescent="0.2">
      <c r="A58" s="5"/>
      <c r="B58" s="14" t="s">
        <v>43</v>
      </c>
      <c r="C58" s="14">
        <f>SQRT(C57*C37)</f>
        <v>556.13182171138044</v>
      </c>
      <c r="D58">
        <f>SQRT(C57*C36/C35)</f>
        <v>556.13182171138044</v>
      </c>
      <c r="G58" s="2"/>
      <c r="S58" s="6"/>
    </row>
    <row r="59" spans="1:19" x14ac:dyDescent="0.2">
      <c r="A59" s="80"/>
      <c r="B59" s="14" t="s">
        <v>99</v>
      </c>
      <c r="C59" s="14">
        <f>_xlfn.T.INV(1-$C$32/2,$C$35)</f>
        <v>1.8595480375308975</v>
      </c>
      <c r="G59" s="2"/>
      <c r="S59" s="6"/>
    </row>
    <row r="60" spans="1:19" x14ac:dyDescent="0.2">
      <c r="A60" s="5"/>
      <c r="G60" s="2"/>
      <c r="S60" s="6"/>
    </row>
    <row r="61" spans="1:19" x14ac:dyDescent="0.2">
      <c r="A61" s="104" t="s">
        <v>45</v>
      </c>
      <c r="B61" s="94"/>
      <c r="C61" s="103" t="s">
        <v>46</v>
      </c>
      <c r="D61" s="94">
        <f>C56-C58*C59</f>
        <v>-933.69790091752907</v>
      </c>
      <c r="E61" s="95" t="s">
        <v>48</v>
      </c>
      <c r="F61" s="94">
        <f>C56+C58*C59</f>
        <v>1134.6097744262318</v>
      </c>
      <c r="G61" s="112" t="s">
        <v>47</v>
      </c>
      <c r="S61" s="6"/>
    </row>
    <row r="62" spans="1:19" x14ac:dyDescent="0.2">
      <c r="A62" s="81"/>
      <c r="B62" s="26"/>
      <c r="C62" s="26"/>
      <c r="D62" s="26"/>
      <c r="E62" s="26"/>
      <c r="F62" s="26"/>
      <c r="G62" s="27"/>
      <c r="S62" s="6"/>
    </row>
    <row r="63" spans="1:19" x14ac:dyDescent="0.2">
      <c r="A63" s="5"/>
      <c r="S63" s="6"/>
    </row>
    <row r="64" spans="1:19" x14ac:dyDescent="0.2">
      <c r="A64" s="5"/>
      <c r="S64" s="6"/>
    </row>
    <row r="65" spans="1:19" x14ac:dyDescent="0.2">
      <c r="A65" s="79"/>
      <c r="B65" s="23"/>
      <c r="C65" s="23"/>
      <c r="D65" s="23"/>
      <c r="E65" s="23"/>
      <c r="F65" s="23"/>
      <c r="G65" s="24"/>
      <c r="S65" s="6"/>
    </row>
    <row r="66" spans="1:19" x14ac:dyDescent="0.2">
      <c r="A66" s="5" t="s">
        <v>100</v>
      </c>
      <c r="G66" s="2"/>
      <c r="I66" s="22" t="s">
        <v>101</v>
      </c>
      <c r="J66" s="23"/>
      <c r="K66" s="23"/>
      <c r="L66" s="23"/>
      <c r="M66" s="23"/>
      <c r="N66" s="23"/>
      <c r="O66" s="24"/>
      <c r="S66" s="6"/>
    </row>
    <row r="67" spans="1:19" x14ac:dyDescent="0.2">
      <c r="A67" s="5"/>
      <c r="D67" t="s">
        <v>44</v>
      </c>
      <c r="G67" s="2"/>
      <c r="I67" s="1"/>
      <c r="L67" t="s">
        <v>44</v>
      </c>
      <c r="O67" s="2"/>
      <c r="S67" s="6"/>
    </row>
    <row r="68" spans="1:19" x14ac:dyDescent="0.2">
      <c r="A68" s="5"/>
      <c r="B68" s="14" t="s">
        <v>52</v>
      </c>
      <c r="C68" s="14">
        <f>'пункт 1'!$L$31</f>
        <v>164.13087423029731</v>
      </c>
      <c r="G68" s="2"/>
      <c r="I68" s="1"/>
      <c r="J68" s="14" t="s">
        <v>96</v>
      </c>
      <c r="K68" s="14">
        <f>'пункт 1'!N31</f>
        <v>799.29597696902772</v>
      </c>
      <c r="O68" s="2"/>
      <c r="S68" s="6"/>
    </row>
    <row r="69" spans="1:19" x14ac:dyDescent="0.2">
      <c r="A69" s="5"/>
      <c r="B69" s="14" t="s">
        <v>51</v>
      </c>
      <c r="C69" s="14">
        <f>D17</f>
        <v>1.3029153114336969E-3</v>
      </c>
      <c r="D69">
        <f>G20/C20</f>
        <v>1.3029153114336969E-3</v>
      </c>
      <c r="G69" s="2"/>
      <c r="I69" s="1"/>
      <c r="J69" s="14" t="s">
        <v>102</v>
      </c>
      <c r="K69" s="14">
        <f>E18</f>
        <v>7.7469430462245087E-3</v>
      </c>
      <c r="L69">
        <f>H21/C20</f>
        <v>7.7469430462245078E-3</v>
      </c>
      <c r="O69" s="2"/>
      <c r="S69" s="6"/>
    </row>
    <row r="70" spans="1:19" x14ac:dyDescent="0.2">
      <c r="A70" s="5"/>
      <c r="B70" s="14" t="s">
        <v>43</v>
      </c>
      <c r="C70" s="14">
        <f>SQRT(C69*C37)</f>
        <v>62.31305379255852</v>
      </c>
      <c r="D70">
        <f>SQRT(C69*C36/C35)</f>
        <v>62.31305379255852</v>
      </c>
      <c r="G70" s="2"/>
      <c r="I70" s="1"/>
      <c r="J70" s="14" t="s">
        <v>43</v>
      </c>
      <c r="K70" s="14">
        <f>SQRT(K69*C37)</f>
        <v>151.94489838415254</v>
      </c>
      <c r="L70">
        <f>SQRT(K69*C36/C35)</f>
        <v>151.94489838415254</v>
      </c>
      <c r="O70" s="2"/>
      <c r="S70" s="6"/>
    </row>
    <row r="71" spans="1:19" x14ac:dyDescent="0.2">
      <c r="A71" s="80"/>
      <c r="B71" s="14" t="s">
        <v>99</v>
      </c>
      <c r="C71" s="14">
        <f>_xlfn.T.INV(1-$C$32/2,$C$35)</f>
        <v>1.8595480375308975</v>
      </c>
      <c r="G71" s="2"/>
      <c r="I71" s="28"/>
      <c r="J71" s="14" t="s">
        <v>103</v>
      </c>
      <c r="K71" s="14">
        <f>_xlfn.T.INV(1-$C$32/2,$C$35)</f>
        <v>1.8595480375308975</v>
      </c>
      <c r="O71" s="2"/>
      <c r="S71" s="6"/>
    </row>
    <row r="72" spans="1:19" x14ac:dyDescent="0.2">
      <c r="A72" s="5"/>
      <c r="G72" s="2"/>
      <c r="I72" s="1"/>
      <c r="O72" s="2"/>
      <c r="S72" s="6"/>
    </row>
    <row r="73" spans="1:19" x14ac:dyDescent="0.2">
      <c r="A73" s="104" t="s">
        <v>45</v>
      </c>
      <c r="B73" s="94"/>
      <c r="C73" s="103" t="s">
        <v>46</v>
      </c>
      <c r="D73" s="94">
        <f>C68-C70*C71</f>
        <v>48.25675733778786</v>
      </c>
      <c r="E73" s="95" t="s">
        <v>48</v>
      </c>
      <c r="F73" s="94">
        <f>C68+C70*C71</f>
        <v>280.00499112280676</v>
      </c>
      <c r="G73" s="112" t="s">
        <v>47</v>
      </c>
      <c r="I73" s="113" t="s">
        <v>45</v>
      </c>
      <c r="J73" s="108"/>
      <c r="K73" s="109" t="s">
        <v>46</v>
      </c>
      <c r="L73" s="108">
        <f>K68-K70*K71</f>
        <v>516.74713936594526</v>
      </c>
      <c r="M73" s="110" t="s">
        <v>48</v>
      </c>
      <c r="N73" s="108">
        <f>K68+K70*K71</f>
        <v>1081.8448145721102</v>
      </c>
      <c r="O73" s="111" t="s">
        <v>47</v>
      </c>
      <c r="S73" s="6"/>
    </row>
    <row r="74" spans="1:19" x14ac:dyDescent="0.2">
      <c r="A74" s="81"/>
      <c r="B74" s="26"/>
      <c r="C74" s="26"/>
      <c r="D74" s="26"/>
      <c r="E74" s="26"/>
      <c r="F74" s="26"/>
      <c r="G74" s="27"/>
      <c r="S74" s="6"/>
    </row>
    <row r="75" spans="1:19" x14ac:dyDescent="0.2">
      <c r="A75" s="5"/>
      <c r="S75" s="6"/>
    </row>
    <row r="76" spans="1:19" x14ac:dyDescent="0.2">
      <c r="A76" s="5"/>
      <c r="S76" s="6"/>
    </row>
    <row r="77" spans="1:19" x14ac:dyDescent="0.2">
      <c r="A77" s="5"/>
      <c r="S77" s="6"/>
    </row>
    <row r="78" spans="1:19" x14ac:dyDescent="0.2">
      <c r="A78" s="79" t="s">
        <v>104</v>
      </c>
      <c r="B78" s="23"/>
      <c r="C78" s="23"/>
      <c r="D78" s="23"/>
      <c r="E78" s="23"/>
      <c r="F78" s="23"/>
      <c r="G78" s="24"/>
      <c r="S78" s="6"/>
    </row>
    <row r="79" spans="1:19" x14ac:dyDescent="0.2">
      <c r="A79" s="5"/>
      <c r="G79" s="2"/>
      <c r="S79" s="6"/>
    </row>
    <row r="80" spans="1:19" x14ac:dyDescent="0.2">
      <c r="A80" s="5"/>
      <c r="B80" s="14" t="s">
        <v>22</v>
      </c>
      <c r="C80" s="14">
        <f>C36</f>
        <v>23841406.353151981</v>
      </c>
      <c r="G80" s="2"/>
      <c r="S80" s="6"/>
    </row>
    <row r="81" spans="1:19" x14ac:dyDescent="0.2">
      <c r="A81" s="5"/>
      <c r="B81" s="14" t="s">
        <v>5</v>
      </c>
      <c r="C81" s="14">
        <f>_xlfn.CHISQ.INV.RT(1-C32/2,C35)</f>
        <v>2.7326367934996632</v>
      </c>
      <c r="G81" s="2"/>
      <c r="S81" s="6"/>
    </row>
    <row r="82" spans="1:19" x14ac:dyDescent="0.2">
      <c r="A82" s="5"/>
      <c r="B82" s="14" t="s">
        <v>5</v>
      </c>
      <c r="C82" s="14">
        <f>_xlfn.CHISQ.INV.RT(C32/2,C35)</f>
        <v>15.507313055865453</v>
      </c>
      <c r="G82" s="2"/>
      <c r="S82" s="6"/>
    </row>
    <row r="83" spans="1:19" x14ac:dyDescent="0.2">
      <c r="A83" s="80"/>
      <c r="B83" s="14"/>
      <c r="C83" s="14"/>
      <c r="G83" s="2"/>
      <c r="S83" s="6"/>
    </row>
    <row r="84" spans="1:19" x14ac:dyDescent="0.2">
      <c r="A84" s="5"/>
      <c r="G84" s="2"/>
      <c r="S84" s="6"/>
    </row>
    <row r="85" spans="1:19" x14ac:dyDescent="0.2">
      <c r="A85" s="107" t="s">
        <v>45</v>
      </c>
      <c r="B85" s="108"/>
      <c r="C85" s="109" t="s">
        <v>46</v>
      </c>
      <c r="D85" s="108">
        <f>C80/C82</f>
        <v>1537429.8737158892</v>
      </c>
      <c r="E85" s="110" t="s">
        <v>48</v>
      </c>
      <c r="F85" s="108">
        <f>C80/C81</f>
        <v>8724689.0658375826</v>
      </c>
      <c r="G85" s="111" t="s">
        <v>47</v>
      </c>
      <c r="S85" s="6"/>
    </row>
    <row r="86" spans="1:19" x14ac:dyDescent="0.2">
      <c r="A86" s="5"/>
      <c r="S86" s="6"/>
    </row>
    <row r="87" spans="1:19" ht="17" thickBot="1" x14ac:dyDescent="0.25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9"/>
    </row>
  </sheetData>
  <mergeCells count="6">
    <mergeCell ref="E19:E21"/>
    <mergeCell ref="B5:B8"/>
    <mergeCell ref="B9:B12"/>
    <mergeCell ref="B16:B18"/>
    <mergeCell ref="B23:C26"/>
    <mergeCell ref="B13:B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62952-98C6-784E-9375-3ADDD9851D28}">
  <dimension ref="A1:S98"/>
  <sheetViews>
    <sheetView topLeftCell="A74" zoomScale="125" zoomScaleNormal="106" workbookViewId="0">
      <selection activeCell="D80" sqref="D80"/>
    </sheetView>
  </sheetViews>
  <sheetFormatPr baseColWidth="10" defaultRowHeight="16" x14ac:dyDescent="0.2"/>
  <cols>
    <col min="1" max="1" width="12.83203125" customWidth="1"/>
    <col min="2" max="2" width="12.6640625" bestFit="1" customWidth="1"/>
    <col min="3" max="4" width="11.1640625" bestFit="1" customWidth="1"/>
    <col min="5" max="5" width="11" bestFit="1" customWidth="1"/>
    <col min="6" max="6" width="12.83203125" bestFit="1" customWidth="1"/>
    <col min="7" max="7" width="11" bestFit="1" customWidth="1"/>
    <col min="11" max="11" width="13" bestFit="1" customWidth="1"/>
    <col min="12" max="13" width="11.1640625" bestFit="1" customWidth="1"/>
  </cols>
  <sheetData>
    <row r="1" spans="1:19" x14ac:dyDescent="0.2">
      <c r="A1" s="1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4"/>
    </row>
    <row r="2" spans="1:19" ht="17" thickBot="1" x14ac:dyDescent="0.25">
      <c r="A2" s="5"/>
      <c r="S2" s="6"/>
    </row>
    <row r="3" spans="1:19" x14ac:dyDescent="0.2">
      <c r="A3" s="13"/>
      <c r="B3" s="3"/>
      <c r="C3" s="3"/>
      <c r="D3" s="3"/>
      <c r="E3" s="3"/>
      <c r="F3" s="3"/>
      <c r="G3" s="4"/>
      <c r="S3" s="6"/>
    </row>
    <row r="4" spans="1:19" x14ac:dyDescent="0.2">
      <c r="A4" s="5"/>
      <c r="B4" t="s">
        <v>53</v>
      </c>
      <c r="G4" s="6"/>
      <c r="S4" s="6"/>
    </row>
    <row r="5" spans="1:19" x14ac:dyDescent="0.2">
      <c r="A5" s="5"/>
      <c r="G5" s="6"/>
      <c r="S5" s="6"/>
    </row>
    <row r="6" spans="1:19" x14ac:dyDescent="0.2">
      <c r="A6" s="37" t="s">
        <v>35</v>
      </c>
      <c r="B6" s="14">
        <v>0.05</v>
      </c>
      <c r="G6" s="6"/>
      <c r="S6" s="6"/>
    </row>
    <row r="7" spans="1:19" x14ac:dyDescent="0.2">
      <c r="A7" s="38" t="s">
        <v>4</v>
      </c>
      <c r="B7" s="14">
        <f>'пункт 1'!L25</f>
        <v>12</v>
      </c>
      <c r="G7" s="6"/>
      <c r="S7" s="6"/>
    </row>
    <row r="8" spans="1:19" x14ac:dyDescent="0.2">
      <c r="A8" s="38" t="s">
        <v>3</v>
      </c>
      <c r="B8" s="14">
        <f>'пункт 1'!L24</f>
        <v>3</v>
      </c>
      <c r="G8" s="6"/>
      <c r="S8" s="6"/>
    </row>
    <row r="9" spans="1:19" x14ac:dyDescent="0.2">
      <c r="A9" s="38" t="s">
        <v>54</v>
      </c>
      <c r="B9" s="14">
        <f>'пункт 3, 5, 6'!B7-'пункт 3, 5, 6'!B8-1</f>
        <v>8</v>
      </c>
      <c r="G9" s="6"/>
      <c r="S9" s="6"/>
    </row>
    <row r="10" spans="1:19" x14ac:dyDescent="0.2">
      <c r="A10" s="38" t="s">
        <v>42</v>
      </c>
      <c r="B10" s="14">
        <f>'пункт 1'!L29</f>
        <v>17351.666666666664</v>
      </c>
      <c r="G10" s="6"/>
      <c r="S10" s="6"/>
    </row>
    <row r="11" spans="1:19" x14ac:dyDescent="0.2">
      <c r="A11" s="38" t="s">
        <v>22</v>
      </c>
      <c r="B11" s="14">
        <f>'пункт 1'!L32</f>
        <v>23841406.353151981</v>
      </c>
      <c r="G11" s="6"/>
      <c r="S11" s="6"/>
    </row>
    <row r="12" spans="1:19" x14ac:dyDescent="0.2">
      <c r="A12" s="38" t="s">
        <v>56</v>
      </c>
      <c r="B12" s="14">
        <f>SQRT(B11/B9)</f>
        <v>1726.3185668189976</v>
      </c>
      <c r="G12" s="6"/>
      <c r="S12" s="6"/>
    </row>
    <row r="13" spans="1:19" x14ac:dyDescent="0.2">
      <c r="A13" s="38" t="s">
        <v>58</v>
      </c>
      <c r="B13" s="14">
        <f>SQRT(B7)*B10/B12</f>
        <v>34.818565750636552</v>
      </c>
      <c r="G13" s="6"/>
      <c r="S13" s="6"/>
    </row>
    <row r="14" spans="1:19" x14ac:dyDescent="0.2">
      <c r="A14" s="105" t="s">
        <v>110</v>
      </c>
      <c r="B14" s="14">
        <f>_xlfn.T.INV(1-B6/2,B9)</f>
        <v>2.3060041352041662</v>
      </c>
      <c r="G14" s="6"/>
      <c r="S14" s="6"/>
    </row>
    <row r="15" spans="1:19" x14ac:dyDescent="0.2">
      <c r="A15" s="5"/>
      <c r="G15" s="6"/>
      <c r="S15" s="6"/>
    </row>
    <row r="16" spans="1:19" x14ac:dyDescent="0.2">
      <c r="A16" s="104" t="s">
        <v>59</v>
      </c>
      <c r="B16" s="94">
        <f>ABS(B13)</f>
        <v>34.818565750636552</v>
      </c>
      <c r="C16" s="95" t="str">
        <f>IF(B16&gt;D16,"&gt;", "&lt;=")</f>
        <v>&gt;</v>
      </c>
      <c r="D16" s="94">
        <f>B14</f>
        <v>2.3060041352041662</v>
      </c>
      <c r="E16" s="106" t="s">
        <v>110</v>
      </c>
      <c r="G16" s="6"/>
      <c r="S16" s="6"/>
    </row>
    <row r="17" spans="1:19" x14ac:dyDescent="0.2">
      <c r="A17" s="5"/>
      <c r="G17" s="6"/>
      <c r="S17" s="6"/>
    </row>
    <row r="18" spans="1:19" x14ac:dyDescent="0.2">
      <c r="A18" s="5"/>
      <c r="B18" s="29"/>
      <c r="C18" s="29" t="str">
        <f>IF(B16&gt;D16,"Відхиляємо Н0", "Немає достатніх підстав у відхиленні гіпотези Н0")</f>
        <v>Відхиляємо Н0</v>
      </c>
      <c r="D18" s="29"/>
      <c r="G18" s="6"/>
      <c r="S18" s="6"/>
    </row>
    <row r="19" spans="1:19" ht="17" thickBot="1" x14ac:dyDescent="0.25">
      <c r="A19" s="7"/>
      <c r="B19" s="8"/>
      <c r="C19" s="8"/>
      <c r="D19" s="8"/>
      <c r="E19" s="8"/>
      <c r="F19" s="8"/>
      <c r="G19" s="9"/>
      <c r="S19" s="6"/>
    </row>
    <row r="20" spans="1:19" ht="17" thickBot="1" x14ac:dyDescent="0.25">
      <c r="A20" s="5"/>
      <c r="S20" s="6"/>
    </row>
    <row r="21" spans="1:19" x14ac:dyDescent="0.2">
      <c r="A21" s="13"/>
      <c r="B21" s="3"/>
      <c r="C21" s="3"/>
      <c r="D21" s="3"/>
      <c r="E21" s="3"/>
      <c r="F21" s="3"/>
      <c r="G21" s="4"/>
      <c r="S21" s="6"/>
    </row>
    <row r="22" spans="1:19" x14ac:dyDescent="0.2">
      <c r="A22" s="5"/>
      <c r="G22" s="6"/>
      <c r="S22" s="6"/>
    </row>
    <row r="23" spans="1:19" x14ac:dyDescent="0.2">
      <c r="A23" s="5"/>
      <c r="B23" t="s">
        <v>63</v>
      </c>
      <c r="G23" s="6"/>
      <c r="S23" s="6"/>
    </row>
    <row r="24" spans="1:19" x14ac:dyDescent="0.2">
      <c r="A24" s="5"/>
      <c r="G24" s="6"/>
      <c r="S24" s="6"/>
    </row>
    <row r="25" spans="1:19" x14ac:dyDescent="0.2">
      <c r="A25" s="37" t="s">
        <v>35</v>
      </c>
      <c r="B25" s="14">
        <f>B6</f>
        <v>0.05</v>
      </c>
      <c r="G25" s="6"/>
      <c r="S25" s="6"/>
    </row>
    <row r="26" spans="1:19" x14ac:dyDescent="0.2">
      <c r="A26" s="38" t="s">
        <v>54</v>
      </c>
      <c r="B26" s="14">
        <f>B9</f>
        <v>8</v>
      </c>
      <c r="G26" s="6"/>
      <c r="S26" s="6"/>
    </row>
    <row r="27" spans="1:19" x14ac:dyDescent="0.2">
      <c r="A27" s="38" t="s">
        <v>41</v>
      </c>
      <c r="B27" s="14">
        <f>'пункт 1'!L30</f>
        <v>100.45593675435128</v>
      </c>
      <c r="G27" s="6"/>
      <c r="S27" s="6"/>
    </row>
    <row r="28" spans="1:19" x14ac:dyDescent="0.2">
      <c r="A28" s="38" t="s">
        <v>61</v>
      </c>
      <c r="B28" s="14">
        <f>B11</f>
        <v>23841406.353151981</v>
      </c>
      <c r="G28" s="6"/>
      <c r="S28" s="6"/>
    </row>
    <row r="29" spans="1:19" x14ac:dyDescent="0.2">
      <c r="A29" s="38" t="s">
        <v>60</v>
      </c>
      <c r="B29" s="14">
        <f>'пункт 2,4'!C16</f>
        <v>0.10377998631079229</v>
      </c>
      <c r="G29" s="6"/>
      <c r="S29" s="6"/>
    </row>
    <row r="30" spans="1:19" x14ac:dyDescent="0.2">
      <c r="A30" s="38" t="s">
        <v>56</v>
      </c>
      <c r="B30" s="14">
        <f>SQRT(B29*B28/B26)</f>
        <v>556.13182171138044</v>
      </c>
      <c r="G30" s="6"/>
      <c r="S30" s="6"/>
    </row>
    <row r="31" spans="1:19" x14ac:dyDescent="0.2">
      <c r="A31" s="38" t="s">
        <v>58</v>
      </c>
      <c r="B31" s="14">
        <f>B27/B30</f>
        <v>0.18063331899480048</v>
      </c>
      <c r="G31" s="6"/>
      <c r="S31" s="6"/>
    </row>
    <row r="32" spans="1:19" x14ac:dyDescent="0.2">
      <c r="A32" s="105" t="s">
        <v>110</v>
      </c>
      <c r="B32">
        <f>B14</f>
        <v>2.3060041352041662</v>
      </c>
      <c r="G32" s="6"/>
      <c r="S32" s="6"/>
    </row>
    <row r="33" spans="1:19" x14ac:dyDescent="0.2">
      <c r="A33" s="5"/>
      <c r="G33" s="6"/>
      <c r="S33" s="6"/>
    </row>
    <row r="34" spans="1:19" x14ac:dyDescent="0.2">
      <c r="A34" s="5"/>
      <c r="G34" s="6"/>
      <c r="S34" s="6"/>
    </row>
    <row r="35" spans="1:19" x14ac:dyDescent="0.2">
      <c r="A35" s="104" t="s">
        <v>59</v>
      </c>
      <c r="B35" s="94">
        <f>ABS(B31)</f>
        <v>0.18063331899480048</v>
      </c>
      <c r="C35" s="95" t="str">
        <f>IF(B35&gt;D35,"&gt;", "&lt;=")</f>
        <v>&lt;=</v>
      </c>
      <c r="D35" s="94">
        <f>B32</f>
        <v>2.3060041352041662</v>
      </c>
      <c r="E35" s="106" t="s">
        <v>110</v>
      </c>
      <c r="G35" s="6"/>
      <c r="S35" s="6"/>
    </row>
    <row r="36" spans="1:19" x14ac:dyDescent="0.2">
      <c r="A36" s="5"/>
      <c r="G36" s="6"/>
      <c r="S36" s="6"/>
    </row>
    <row r="37" spans="1:19" x14ac:dyDescent="0.2">
      <c r="A37" s="5"/>
      <c r="B37" s="132"/>
      <c r="C37" s="132" t="str">
        <f>IF(B35&gt;D35,"Відхиляємо Н0", "Немає достатніх підстав у відхиленні гіпотези Н0")</f>
        <v>Немає достатніх підстав у відхиленні гіпотези Н0</v>
      </c>
      <c r="D37" s="132"/>
      <c r="E37" s="132"/>
      <c r="F37" s="132"/>
      <c r="G37" s="6"/>
      <c r="S37" s="6"/>
    </row>
    <row r="38" spans="1:19" ht="17" thickBot="1" x14ac:dyDescent="0.25">
      <c r="A38" s="7"/>
      <c r="B38" s="8"/>
      <c r="C38" s="8"/>
      <c r="D38" s="8"/>
      <c r="E38" s="8"/>
      <c r="F38" s="8"/>
      <c r="G38" s="9"/>
      <c r="S38" s="6"/>
    </row>
    <row r="39" spans="1:19" ht="17" thickBot="1" x14ac:dyDescent="0.25">
      <c r="A39" s="5"/>
      <c r="S39" s="6"/>
    </row>
    <row r="40" spans="1:19" x14ac:dyDescent="0.2">
      <c r="A40" s="13"/>
      <c r="B40" s="3"/>
      <c r="C40" s="3"/>
      <c r="D40" s="3"/>
      <c r="E40" s="3"/>
      <c r="F40" s="3"/>
      <c r="G40" s="4"/>
      <c r="J40" s="13"/>
      <c r="K40" s="3"/>
      <c r="L40" s="3"/>
      <c r="M40" s="3"/>
      <c r="N40" s="3"/>
      <c r="O40" s="3"/>
      <c r="P40" s="4"/>
      <c r="S40" s="6"/>
    </row>
    <row r="41" spans="1:19" x14ac:dyDescent="0.2">
      <c r="A41" s="5"/>
      <c r="G41" s="6"/>
      <c r="J41" s="5"/>
      <c r="P41" s="6"/>
      <c r="S41" s="6"/>
    </row>
    <row r="42" spans="1:19" x14ac:dyDescent="0.2">
      <c r="A42" s="5"/>
      <c r="B42" t="s">
        <v>64</v>
      </c>
      <c r="G42" s="6"/>
      <c r="J42" s="5"/>
      <c r="K42" t="s">
        <v>64</v>
      </c>
      <c r="P42" s="6"/>
      <c r="S42" s="6"/>
    </row>
    <row r="43" spans="1:19" x14ac:dyDescent="0.2">
      <c r="A43" s="5"/>
      <c r="G43" s="6"/>
      <c r="J43" s="5"/>
      <c r="O43" t="s">
        <v>44</v>
      </c>
      <c r="P43" s="6"/>
      <c r="S43" s="6"/>
    </row>
    <row r="44" spans="1:19" x14ac:dyDescent="0.2">
      <c r="A44" s="37" t="s">
        <v>35</v>
      </c>
      <c r="B44" s="39">
        <v>0.1</v>
      </c>
      <c r="G44" s="6"/>
      <c r="J44" s="37" t="s">
        <v>35</v>
      </c>
      <c r="K44" s="39">
        <v>0.1</v>
      </c>
      <c r="P44" s="6"/>
      <c r="S44" s="6"/>
    </row>
    <row r="45" spans="1:19" x14ac:dyDescent="0.2">
      <c r="A45" s="38" t="s">
        <v>54</v>
      </c>
      <c r="B45" s="14">
        <f>B26</f>
        <v>8</v>
      </c>
      <c r="G45" s="6"/>
      <c r="J45" s="38" t="s">
        <v>54</v>
      </c>
      <c r="K45" s="14">
        <f>B45</f>
        <v>8</v>
      </c>
      <c r="P45" s="6"/>
      <c r="S45" s="6"/>
    </row>
    <row r="46" spans="1:19" x14ac:dyDescent="0.2">
      <c r="A46" s="38" t="s">
        <v>52</v>
      </c>
      <c r="B46" s="14">
        <f>'пункт 1'!L31</f>
        <v>164.13087423029731</v>
      </c>
      <c r="G46" s="6"/>
      <c r="J46" s="38" t="s">
        <v>52</v>
      </c>
      <c r="K46" s="14">
        <f>'пункт 1'!N31</f>
        <v>799.29597696902772</v>
      </c>
      <c r="P46" s="6"/>
      <c r="S46" s="6"/>
    </row>
    <row r="47" spans="1:19" x14ac:dyDescent="0.2">
      <c r="A47" s="38" t="s">
        <v>61</v>
      </c>
      <c r="B47" s="14">
        <f>B11</f>
        <v>23841406.353151981</v>
      </c>
      <c r="G47" s="6"/>
      <c r="J47" s="38" t="s">
        <v>61</v>
      </c>
      <c r="K47" s="14">
        <f>B47</f>
        <v>23841406.353151981</v>
      </c>
      <c r="L47" t="s">
        <v>57</v>
      </c>
      <c r="P47" s="6"/>
      <c r="S47" s="6"/>
    </row>
    <row r="48" spans="1:19" x14ac:dyDescent="0.2">
      <c r="A48" s="38" t="s">
        <v>62</v>
      </c>
      <c r="B48" s="14">
        <f>'пункт 2,4'!G20</f>
        <v>3214.2500000000009</v>
      </c>
      <c r="G48" s="6"/>
      <c r="J48" s="38" t="s">
        <v>62</v>
      </c>
      <c r="K48" s="14">
        <f>'пункт 2,4'!H21</f>
        <v>19111.458333333339</v>
      </c>
      <c r="P48" s="6"/>
      <c r="S48" s="6"/>
    </row>
    <row r="49" spans="1:19" x14ac:dyDescent="0.2">
      <c r="A49" s="38" t="s">
        <v>31</v>
      </c>
      <c r="B49" s="14">
        <f>'пункт 2,4'!C20</f>
        <v>2466967.7083333349</v>
      </c>
      <c r="G49" s="6"/>
      <c r="J49" s="38" t="s">
        <v>31</v>
      </c>
      <c r="K49" s="14">
        <f>B49</f>
        <v>2466967.7083333349</v>
      </c>
      <c r="P49" s="6"/>
      <c r="S49" s="6"/>
    </row>
    <row r="50" spans="1:19" x14ac:dyDescent="0.2">
      <c r="A50" s="38" t="s">
        <v>56</v>
      </c>
      <c r="B50" s="14">
        <f>SQRT(B48*B47/B45)</f>
        <v>97872.519362318184</v>
      </c>
      <c r="G50" s="6"/>
      <c r="J50" s="38" t="s">
        <v>56</v>
      </c>
      <c r="K50" s="14">
        <f>SQRT(K48*K47/K45)</f>
        <v>238653.52609125976</v>
      </c>
      <c r="P50" s="6"/>
      <c r="S50" s="6"/>
    </row>
    <row r="51" spans="1:19" x14ac:dyDescent="0.2">
      <c r="A51" s="38" t="s">
        <v>58</v>
      </c>
      <c r="B51" s="14">
        <f>SQRT(B49)*B46/B50</f>
        <v>2.6339725665940312</v>
      </c>
      <c r="C51">
        <f>B46/SQRT(B48*'пункт 1'!L33/B49)</f>
        <v>2.6339725665940312</v>
      </c>
      <c r="G51" s="6"/>
      <c r="J51" s="38" t="s">
        <v>58</v>
      </c>
      <c r="K51" s="14">
        <f>SQRT(K49)*K46/K50</f>
        <v>5.2604331271999607</v>
      </c>
      <c r="L51">
        <f>K46/SQRT(K48*'пункт 1'!L33/K49)</f>
        <v>5.2604331271999598</v>
      </c>
      <c r="P51" s="6"/>
      <c r="S51" s="6"/>
    </row>
    <row r="52" spans="1:19" x14ac:dyDescent="0.2">
      <c r="A52" s="105" t="s">
        <v>110</v>
      </c>
      <c r="B52">
        <f>_xlfn.T.INV.2T(B44,B26)</f>
        <v>1.8595480375308981</v>
      </c>
      <c r="C52">
        <f>_xlfn.T.INV(1-B44/2,B45)</f>
        <v>1.8595480375308975</v>
      </c>
      <c r="G52" s="6"/>
      <c r="J52" s="105" t="s">
        <v>110</v>
      </c>
      <c r="K52">
        <f>_xlfn.T.INV.2T(K44,B26)</f>
        <v>1.8595480375308981</v>
      </c>
      <c r="L52">
        <f>_xlfn.T.INV(1-K44/2,K45)</f>
        <v>1.8595480375308975</v>
      </c>
      <c r="P52" s="6"/>
      <c r="S52" s="6"/>
    </row>
    <row r="53" spans="1:19" x14ac:dyDescent="0.2">
      <c r="A53" s="5"/>
      <c r="G53" s="6"/>
      <c r="J53" s="5"/>
      <c r="P53" s="6"/>
      <c r="S53" s="6"/>
    </row>
    <row r="54" spans="1:19" x14ac:dyDescent="0.2">
      <c r="A54" s="5"/>
      <c r="G54" s="6"/>
      <c r="J54" s="5"/>
      <c r="P54" s="6"/>
      <c r="S54" s="6"/>
    </row>
    <row r="55" spans="1:19" x14ac:dyDescent="0.2">
      <c r="A55" s="104" t="s">
        <v>59</v>
      </c>
      <c r="B55" s="94">
        <f>ABS(B51)</f>
        <v>2.6339725665940312</v>
      </c>
      <c r="C55" s="95" t="str">
        <f>IF(B55&gt;D55,"&gt;", "&lt;=")</f>
        <v>&gt;</v>
      </c>
      <c r="D55" s="94">
        <f>B52</f>
        <v>1.8595480375308981</v>
      </c>
      <c r="E55" s="106" t="s">
        <v>110</v>
      </c>
      <c r="G55" s="6"/>
      <c r="J55" s="104" t="s">
        <v>59</v>
      </c>
      <c r="K55" s="94">
        <f>ABS(K51)</f>
        <v>5.2604331271999607</v>
      </c>
      <c r="L55" s="95" t="str">
        <f>IF(K55&gt;M55,"&gt;", "&lt;=")</f>
        <v>&gt;</v>
      </c>
      <c r="M55" s="94">
        <f>K52</f>
        <v>1.8595480375308981</v>
      </c>
      <c r="N55" s="106" t="s">
        <v>110</v>
      </c>
      <c r="P55" s="6"/>
      <c r="S55" s="6"/>
    </row>
    <row r="56" spans="1:19" x14ac:dyDescent="0.2">
      <c r="A56" s="5"/>
      <c r="G56" s="6"/>
      <c r="J56" s="5"/>
      <c r="P56" s="6"/>
      <c r="S56" s="6"/>
    </row>
    <row r="57" spans="1:19" x14ac:dyDescent="0.2">
      <c r="A57" s="5"/>
      <c r="B57" s="29"/>
      <c r="C57" s="29" t="str">
        <f>IF(B55&gt;D55,"Відхиляємо Н0", "Немає достатніх підстав у відхиленні гіпотези Н0")</f>
        <v>Відхиляємо Н0</v>
      </c>
      <c r="D57" s="29"/>
      <c r="E57" s="29"/>
      <c r="F57" s="29"/>
      <c r="G57" s="6"/>
      <c r="J57" s="5"/>
      <c r="K57" s="29"/>
      <c r="L57" s="29" t="str">
        <f>IF(K55&gt;M55,"Відхиляємо Н0", "Немає достатніх підстав у відхиленні гіпотези Н0")</f>
        <v>Відхиляємо Н0</v>
      </c>
      <c r="M57" s="29"/>
      <c r="N57" s="29"/>
      <c r="O57" s="29"/>
      <c r="P57" s="6"/>
      <c r="S57" s="6"/>
    </row>
    <row r="58" spans="1:19" x14ac:dyDescent="0.2">
      <c r="A58" s="5"/>
      <c r="G58" s="6"/>
      <c r="J58" s="5"/>
      <c r="P58" s="6"/>
      <c r="S58" s="6"/>
    </row>
    <row r="59" spans="1:19" ht="17" thickBot="1" x14ac:dyDescent="0.25">
      <c r="A59" s="7"/>
      <c r="B59" s="8"/>
      <c r="C59" s="8"/>
      <c r="D59" s="8"/>
      <c r="E59" s="8"/>
      <c r="F59" s="8"/>
      <c r="G59" s="9"/>
      <c r="J59" s="7"/>
      <c r="K59" s="8"/>
      <c r="L59" s="8"/>
      <c r="M59" s="8"/>
      <c r="N59" s="8"/>
      <c r="O59" s="8"/>
      <c r="P59" s="9"/>
      <c r="S59" s="6"/>
    </row>
    <row r="60" spans="1:19" ht="17" thickBot="1" x14ac:dyDescent="0.25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9"/>
    </row>
    <row r="65" spans="1:8" x14ac:dyDescent="0.2">
      <c r="A65" s="37" t="s">
        <v>35</v>
      </c>
      <c r="B65" s="39">
        <v>0.5</v>
      </c>
    </row>
    <row r="66" spans="1:8" x14ac:dyDescent="0.2">
      <c r="A66" s="37" t="s">
        <v>65</v>
      </c>
      <c r="B66" s="39">
        <f>0.6</f>
        <v>0.6</v>
      </c>
    </row>
    <row r="67" spans="1:8" x14ac:dyDescent="0.2">
      <c r="A67" s="38" t="s">
        <v>54</v>
      </c>
      <c r="B67" s="14">
        <f>B45</f>
        <v>8</v>
      </c>
    </row>
    <row r="68" spans="1:8" x14ac:dyDescent="0.2">
      <c r="A68" s="38" t="s">
        <v>61</v>
      </c>
      <c r="B68" s="14">
        <f>B47</f>
        <v>23841406.353151981</v>
      </c>
    </row>
    <row r="69" spans="1:8" x14ac:dyDescent="0.2">
      <c r="A69" s="38" t="s">
        <v>105</v>
      </c>
      <c r="B69" s="14">
        <f>B68/B66</f>
        <v>39735677.2552533</v>
      </c>
    </row>
    <row r="70" spans="1:8" x14ac:dyDescent="0.2">
      <c r="A70" s="38" t="s">
        <v>106</v>
      </c>
      <c r="B70">
        <f>_xlfn.CHISQ.INV.RT(1-B65/2,B67)</f>
        <v>5.070640423800187</v>
      </c>
    </row>
    <row r="71" spans="1:8" x14ac:dyDescent="0.2">
      <c r="A71" s="38" t="s">
        <v>107</v>
      </c>
      <c r="B71">
        <f>_xlfn.CHISQ.INV.RT(B65/2,B67)</f>
        <v>10.21885497024676</v>
      </c>
    </row>
    <row r="74" spans="1:8" x14ac:dyDescent="0.2">
      <c r="A74" s="5"/>
      <c r="B74" s="40" t="s">
        <v>66</v>
      </c>
      <c r="C74" s="41">
        <f>B69</f>
        <v>39735677.2552533</v>
      </c>
      <c r="D74" s="40" t="str">
        <f>IF(C74&gt;E74,"&gt;", "&lt;")</f>
        <v>&gt;</v>
      </c>
      <c r="E74" s="40">
        <f>B70</f>
        <v>5.070640423800187</v>
      </c>
      <c r="F74" s="40" t="s">
        <v>67</v>
      </c>
    </row>
    <row r="75" spans="1:8" x14ac:dyDescent="0.2">
      <c r="B75" s="42" t="s">
        <v>66</v>
      </c>
      <c r="C75" s="42">
        <f>B69</f>
        <v>39735677.2552533</v>
      </c>
      <c r="D75" s="42" t="str">
        <f>IF(C75&gt;E75,"&gt;", "&lt;=")</f>
        <v>&gt;</v>
      </c>
      <c r="E75" s="42">
        <f>B71</f>
        <v>10.21885497024676</v>
      </c>
      <c r="F75" s="42" t="s">
        <v>68</v>
      </c>
      <c r="H75" s="20" t="s">
        <v>69</v>
      </c>
    </row>
    <row r="81" spans="1:7" x14ac:dyDescent="0.2">
      <c r="A81" s="14" t="s">
        <v>35</v>
      </c>
      <c r="B81" s="14">
        <v>0.05</v>
      </c>
    </row>
    <row r="82" spans="1:7" x14ac:dyDescent="0.2">
      <c r="A82" s="14" t="s">
        <v>70</v>
      </c>
      <c r="B82" s="39">
        <v>50</v>
      </c>
      <c r="E82" s="1">
        <f>'пункт 2,4'!C16</f>
        <v>0.10377998631079229</v>
      </c>
      <c r="F82" s="1">
        <f>'пункт 2,4'!D16</f>
        <v>-8.8180116531386115E-3</v>
      </c>
      <c r="G82" s="1">
        <f>'пункт 2,4'!E16</f>
        <v>2.0601370863099853E-3</v>
      </c>
    </row>
    <row r="83" spans="1:7" x14ac:dyDescent="0.2">
      <c r="A83" s="14" t="s">
        <v>71</v>
      </c>
      <c r="B83" s="39">
        <v>2</v>
      </c>
      <c r="C83" s="29" t="s">
        <v>108</v>
      </c>
      <c r="D83" s="29">
        <v>15</v>
      </c>
      <c r="E83" s="1">
        <f>'пункт 2,4'!C17</f>
        <v>-8.8180116531386115E-3</v>
      </c>
      <c r="F83" s="1">
        <f>'пункт 2,4'!D17</f>
        <v>1.3029153114336969E-3</v>
      </c>
      <c r="G83" s="1">
        <f>'пункт 2,4'!E17</f>
        <v>-7.7558102072846616E-4</v>
      </c>
    </row>
    <row r="84" spans="1:7" x14ac:dyDescent="0.2">
      <c r="A84" s="14" t="s">
        <v>36</v>
      </c>
      <c r="B84" s="14">
        <f>B7</f>
        <v>12</v>
      </c>
      <c r="C84" t="s">
        <v>95</v>
      </c>
      <c r="D84">
        <f>'пункт 1'!N27</f>
        <v>3.75</v>
      </c>
      <c r="E84" s="1">
        <f>'пункт 2,4'!C18</f>
        <v>2.0601370863099857E-3</v>
      </c>
      <c r="F84" s="1">
        <f>'пункт 2,4'!D18</f>
        <v>-7.7558102072846616E-4</v>
      </c>
      <c r="G84" s="1">
        <f>'пункт 2,4'!E18</f>
        <v>7.7469430462245087E-3</v>
      </c>
    </row>
    <row r="85" spans="1:7" x14ac:dyDescent="0.2">
      <c r="A85" s="14" t="s">
        <v>54</v>
      </c>
      <c r="B85" s="14">
        <f>B9</f>
        <v>8</v>
      </c>
    </row>
    <row r="86" spans="1:7" x14ac:dyDescent="0.2">
      <c r="A86" s="14" t="s">
        <v>72</v>
      </c>
      <c r="B86" s="14">
        <f>B68</f>
        <v>23841406.353151981</v>
      </c>
      <c r="D86" t="s">
        <v>73</v>
      </c>
      <c r="E86">
        <f>B82-B87</f>
        <v>48.416666666666664</v>
      </c>
    </row>
    <row r="87" spans="1:7" x14ac:dyDescent="0.2">
      <c r="A87" s="18" t="s">
        <v>16</v>
      </c>
      <c r="B87" s="14">
        <f>'пункт 1'!L26</f>
        <v>1.5833333333333333</v>
      </c>
      <c r="D87" t="s">
        <v>74</v>
      </c>
      <c r="E87">
        <f>B83-B88</f>
        <v>-63.416666666666671</v>
      </c>
    </row>
    <row r="88" spans="1:7" x14ac:dyDescent="0.2">
      <c r="A88" s="18" t="s">
        <v>17</v>
      </c>
      <c r="B88" s="14">
        <f>'пункт 1'!L27</f>
        <v>65.416666666666671</v>
      </c>
      <c r="D88" t="s">
        <v>109</v>
      </c>
      <c r="E88">
        <f>D83-D84</f>
        <v>11.25</v>
      </c>
    </row>
    <row r="89" spans="1:7" x14ac:dyDescent="0.2">
      <c r="A89" s="14" t="s">
        <v>75</v>
      </c>
      <c r="B89" s="14">
        <f>E82*E86^2+2*F82*E86*E87+F83*E87^2</f>
        <v>302.66826776243659</v>
      </c>
    </row>
    <row r="90" spans="1:7" x14ac:dyDescent="0.2">
      <c r="A90" s="19" t="s">
        <v>25</v>
      </c>
      <c r="B90" s="49">
        <f>'пункт 1'!L29</f>
        <v>17351.666666666664</v>
      </c>
    </row>
    <row r="91" spans="1:7" x14ac:dyDescent="0.2">
      <c r="A91" s="19" t="s">
        <v>26</v>
      </c>
      <c r="B91" s="49">
        <f>'пункт 1'!L30</f>
        <v>100.45593675435128</v>
      </c>
    </row>
    <row r="92" spans="1:7" x14ac:dyDescent="0.2">
      <c r="A92" s="19" t="s">
        <v>27</v>
      </c>
      <c r="B92" s="49">
        <f>'пункт 1'!L31</f>
        <v>164.13087423029731</v>
      </c>
      <c r="C92" t="s">
        <v>96</v>
      </c>
      <c r="D92">
        <f>'пункт 1'!N31</f>
        <v>799.29597696902772</v>
      </c>
    </row>
    <row r="93" spans="1:7" x14ac:dyDescent="0.2">
      <c r="A93" s="50" t="s">
        <v>76</v>
      </c>
      <c r="B93" s="50">
        <f>SQRT(B86*(1/B84+B89)/B85)</f>
        <v>30037.526416533583</v>
      </c>
    </row>
    <row r="94" spans="1:7" x14ac:dyDescent="0.2">
      <c r="A94" s="50" t="s">
        <v>77</v>
      </c>
      <c r="B94" s="50">
        <f>B90+B91*E86+B92*E87+E88*D92</f>
        <v>20798.855071320046</v>
      </c>
    </row>
    <row r="95" spans="1:7" x14ac:dyDescent="0.2">
      <c r="A95" s="38" t="s">
        <v>55</v>
      </c>
      <c r="B95" s="51">
        <f>B52</f>
        <v>1.8595480375308981</v>
      </c>
    </row>
    <row r="98" spans="1:7" x14ac:dyDescent="0.2">
      <c r="A98" s="102" t="s">
        <v>45</v>
      </c>
      <c r="B98" s="94"/>
      <c r="C98" s="103" t="s">
        <v>46</v>
      </c>
      <c r="D98" s="94">
        <f>B94-B95*B93</f>
        <v>-35057.368228827487</v>
      </c>
      <c r="E98" s="95" t="s">
        <v>48</v>
      </c>
      <c r="F98" s="94">
        <f>B94+B95*B93</f>
        <v>76655.078371467578</v>
      </c>
      <c r="G98" s="94" t="s">
        <v>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226A-F214-AF45-9E52-BE7659D9FA31}">
  <dimension ref="A1:I25"/>
  <sheetViews>
    <sheetView zoomScaleNormal="69" workbookViewId="0">
      <selection activeCell="E11" sqref="E11"/>
    </sheetView>
  </sheetViews>
  <sheetFormatPr baseColWidth="10" defaultRowHeight="16" x14ac:dyDescent="0.2"/>
  <cols>
    <col min="2" max="2" width="14.6640625" customWidth="1"/>
    <col min="6" max="6" width="13.6640625" customWidth="1"/>
  </cols>
  <sheetData>
    <row r="1" spans="1:9" ht="18" x14ac:dyDescent="0.2">
      <c r="A1" s="52"/>
    </row>
    <row r="2" spans="1:9" x14ac:dyDescent="0.2">
      <c r="B2" s="37" t="s">
        <v>35</v>
      </c>
      <c r="C2">
        <v>0.05</v>
      </c>
    </row>
    <row r="3" spans="1:9" x14ac:dyDescent="0.2">
      <c r="B3" s="14" t="s">
        <v>4</v>
      </c>
      <c r="C3" s="14">
        <f>'пункт 3, 5, 6'!B7</f>
        <v>12</v>
      </c>
    </row>
    <row r="4" spans="1:9" x14ac:dyDescent="0.2">
      <c r="B4" s="14" t="s">
        <v>86</v>
      </c>
      <c r="C4" s="14">
        <f>'пункт 3, 5, 6'!B8</f>
        <v>3</v>
      </c>
    </row>
    <row r="5" spans="1:9" x14ac:dyDescent="0.2">
      <c r="B5" s="14" t="s">
        <v>61</v>
      </c>
      <c r="C5" s="14">
        <f>'пункт 3, 5, 6'!B11</f>
        <v>23841406.353151981</v>
      </c>
    </row>
    <row r="6" spans="1:9" ht="18" customHeight="1" x14ac:dyDescent="0.2">
      <c r="B6" s="14" t="s">
        <v>87</v>
      </c>
      <c r="C6" s="55">
        <f>SUM('пункт 1'!D18:D29)</f>
        <v>208220</v>
      </c>
    </row>
    <row r="7" spans="1:9" x14ac:dyDescent="0.2">
      <c r="B7" s="14" t="s">
        <v>88</v>
      </c>
      <c r="C7" s="14">
        <f>SUMSQ('пункт 1'!D18:D29)</f>
        <v>3828164400</v>
      </c>
      <c r="I7" s="29" t="s">
        <v>78</v>
      </c>
    </row>
    <row r="8" spans="1:9" ht="18" customHeight="1" x14ac:dyDescent="0.2"/>
    <row r="11" spans="1:9" ht="51" x14ac:dyDescent="0.2">
      <c r="B11" s="14"/>
      <c r="C11" s="53" t="s">
        <v>79</v>
      </c>
      <c r="D11" s="53" t="s">
        <v>80</v>
      </c>
      <c r="E11" s="53" t="s">
        <v>81</v>
      </c>
      <c r="F11" s="54" t="s">
        <v>82</v>
      </c>
    </row>
    <row r="12" spans="1:9" ht="34" x14ac:dyDescent="0.2">
      <c r="B12" s="54" t="s">
        <v>83</v>
      </c>
      <c r="C12" s="56">
        <f>C3-C4-1</f>
        <v>8</v>
      </c>
      <c r="D12" s="56">
        <f>C5</f>
        <v>23841406.353151981</v>
      </c>
      <c r="E12" s="56">
        <f>D12/C12</f>
        <v>2980175.7941439976</v>
      </c>
      <c r="F12" s="98">
        <f>E14/E12</f>
        <v>21.403542780880258</v>
      </c>
      <c r="G12" s="99" t="str">
        <f>IF(F12&gt;H12,"&gt;", "&lt;=")</f>
        <v>&gt;</v>
      </c>
      <c r="H12" s="100">
        <f>_xlfn.F.INV.RT(C2,C14,C12)</f>
        <v>4.0661805513511613</v>
      </c>
      <c r="I12" s="59" t="s">
        <v>89</v>
      </c>
    </row>
    <row r="13" spans="1:9" ht="33" customHeight="1" x14ac:dyDescent="0.2">
      <c r="B13" s="54" t="s">
        <v>84</v>
      </c>
      <c r="C13" s="56">
        <f>C3-1</f>
        <v>11</v>
      </c>
      <c r="D13" s="56">
        <f>C7-C6^2/C3</f>
        <v>215200366.66666651</v>
      </c>
      <c r="E13" s="58"/>
      <c r="F13" s="57"/>
      <c r="G13" s="101" t="str">
        <f>IF(F12&gt;H12,"Відхиляємо", "Немає достатніх підстав")</f>
        <v>Відхиляємо</v>
      </c>
    </row>
    <row r="14" spans="1:9" ht="34" x14ac:dyDescent="0.2">
      <c r="B14" s="54" t="s">
        <v>85</v>
      </c>
      <c r="C14" s="56">
        <f>C4</f>
        <v>3</v>
      </c>
      <c r="D14" s="56">
        <f>D13-D12</f>
        <v>191358960.31351453</v>
      </c>
      <c r="E14" s="56">
        <f t="shared" ref="E14" si="0">D14/C14</f>
        <v>63786320.104504846</v>
      </c>
      <c r="F14" s="57"/>
    </row>
    <row r="18" spans="1:5" ht="18" x14ac:dyDescent="0.2">
      <c r="A18" s="52"/>
    </row>
    <row r="22" spans="1:5" x14ac:dyDescent="0.2">
      <c r="B22" s="94" t="s">
        <v>90</v>
      </c>
      <c r="C22" s="94">
        <f>1-D12/D13</f>
        <v>0.88921298452023079</v>
      </c>
    </row>
    <row r="25" spans="1:5" x14ac:dyDescent="0.2">
      <c r="B25" s="95" t="s">
        <v>91</v>
      </c>
      <c r="C25" s="96">
        <f>C22</f>
        <v>0.88921298452023079</v>
      </c>
      <c r="D25" s="97" t="s">
        <v>92</v>
      </c>
      <c r="E25" s="97"/>
    </row>
  </sheetData>
  <mergeCells count="1">
    <mergeCell ref="D25:E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пункт 1</vt:lpstr>
      <vt:lpstr>пункт 2,4</vt:lpstr>
      <vt:lpstr>пункт 3, 5, 6</vt:lpstr>
      <vt:lpstr>пункт 7-8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Nataliia Kravchuk</dc:creator>
  <cp:lastModifiedBy>Nataliia Kravchuk</cp:lastModifiedBy>
  <dcterms:created xsi:type="dcterms:W3CDTF">2024-05-24T22:17:42Z</dcterms:created>
  <dcterms:modified xsi:type="dcterms:W3CDTF">2024-05-26T10:56:07Z</dcterms:modified>
</cp:coreProperties>
</file>