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 sheetId="1" r:id="rId4"/>
    <sheet state="visible" name="Source &gt;&gt;" sheetId="2" r:id="rId5"/>
    <sheet state="visible" name="source-upstream" sheetId="3" r:id="rId6"/>
    <sheet state="visible" name="source-downstream" sheetId="4" r:id="rId7"/>
    <sheet state="visible" name="Data input &gt;&gt;" sheetId="5" r:id="rId8"/>
    <sheet state="visible" name="node-master" sheetId="6" r:id="rId9"/>
    <sheet state="visible" name="link-upstream" sheetId="7" r:id="rId10"/>
    <sheet state="hidden" name="node-RE" sheetId="8" r:id="rId11"/>
    <sheet state="hidden" name="node-non-RE" sheetId="9" r:id="rId12"/>
    <sheet state="visible" name="link-downstream" sheetId="10" r:id="rId13"/>
    <sheet state="visible" name="meta-link-question-map" sheetId="11" r:id="rId14"/>
    <sheet state="visible" name="schema-essential-wrrr-services" sheetId="12" r:id="rId15"/>
    <sheet state="visible" name="schema-rv-services" sheetId="13" r:id="rId16"/>
    <sheet state="visible" name="schema-yn" sheetId="14" r:id="rId17"/>
    <sheet state="visible" name="schema-frequency" sheetId="15" r:id="rId18"/>
    <sheet state="visible" name="schema-resilience-options" sheetId="16" r:id="rId19"/>
    <sheet state="visible" name="schema-geographic-dependency" sheetId="17" r:id="rId20"/>
    <sheet state="visible" name="Supporting &gt;&gt;" sheetId="18" r:id="rId21"/>
    <sheet state="visible" name="data-cleansing-maps" sheetId="19" r:id="rId22"/>
    <sheet state="visible" name="analysis _non-RE-nodes" sheetId="20" r:id="rId23"/>
    <sheet state="visible" name="analysis_reported_services" sheetId="21" r:id="rId24"/>
    <sheet state="visible" name="analysis-rv-services" sheetId="22" r:id="rId25"/>
  </sheets>
  <definedNames>
    <definedName name="FREQUENCY_MAP">'data-cleansing-maps'!$B$5:$D$22</definedName>
    <definedName name="YN_MAP">'data-cleansing-maps'!$F$5:$H$10</definedName>
    <definedName name="RESILIENCE_OPTION_MAP">'data-cleansing-maps'!$J$5:$L$10</definedName>
    <definedName hidden="1" localSheetId="2" name="_xlnm._FilterDatabase">'source-upstream'!$A$1:$N$285</definedName>
    <definedName hidden="1" localSheetId="3" name="_xlnm._FilterDatabase">'source-downstream'!$A$1:$N$83</definedName>
    <definedName hidden="1" localSheetId="6" name="_xlnm._FilterDatabase">'link-upstream'!$A$1:$N$285</definedName>
    <definedName hidden="1" localSheetId="9" name="_xlnm._FilterDatabase">'link-downstream'!$A$1:$N$83</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Unique identifier used for the node . . For convenience, it is a 'slugified' version of the name field that removes spaces and special characters (required when setting identifiers in code/script). 
This id is used in the link tables to accurately reference the node</t>
      </text>
    </comment>
    <comment authorId="0" ref="B1">
      <text>
        <t xml:space="preserve">Full name of responsible entities. For convenience, the 'id' field is a a </t>
      </text>
    </comment>
    <comment authorId="0" ref="C1">
      <text>
        <t xml:space="preserve">This is expected to be the identical to, or a cleaned up variant of the 'name' field (e.g. shortening a legal name by removing Pty. Ltd. etc.)</t>
      </text>
    </comment>
    <comment authorId="0" ref="E1">
      <text>
        <t xml:space="preserve">This can be used as an optional abbreviated name that may be useful for shortening labels on nodes where appropriate, if there is high information density in a visualisation view. Example here is by initials however this shoudl be done manually with real names</t>
      </text>
    </comment>
    <comment authorId="0" ref="F1">
      <text>
        <t xml:space="preserve">An 'array' of ids matched to the schema 'tbl-essential-waste-services' . This is the preffered way to tage Responsible Entitites with their essential waste services</t>
      </text>
    </comment>
    <comment authorId="0" ref="H1">
      <text>
        <t xml:space="preserve">Free text field that can be used as a description</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Full name of responsible entities. For convenience, the 'id' field is a a </t>
      </text>
    </comment>
    <comment authorId="0" ref="B1">
      <text>
        <t xml:space="preserve">Unique identifier used for the node . . For convenience, it is a 'slugified' version of the name field that removes spaces and special characters (required when setting identifiers in code/script). 
This id is used in the link tables to accurately reference the node</t>
      </text>
    </comment>
    <comment authorId="0" ref="C1">
      <text>
        <t xml:space="preserve">This is expected to be the identical to, or a cleaned up variant of the 'name' field (e.g. shortening a legal name by removing Pty. Ltd. etc.)</t>
      </text>
    </comment>
    <comment authorId="0" ref="D1">
      <text>
        <t xml:space="preserve">This can be used as an optional abbreviated name that may be useful for shortening labels on nodes where appropriate, if there is high information density in a visualisation view. Example here is by initials however this shoudl be done manually with real names</t>
      </text>
    </comment>
    <comment authorId="0" ref="E1">
      <text>
        <t xml:space="preserve">Free text field that can be used as a description</t>
      </text>
    </comment>
    <comment authorId="0" ref="M1">
      <text>
        <t xml:space="preserve">An 'array' of ids matched to the schema 'tbl-essential-waste-services' . This is the preffered way to tage Responsible Entitites with their essential waste services</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Full name of responsible entities. For convenience, the 'id' field is a a 'slugified' version of the name field that removes spaces and special characters (required when setting identifiers in code/script)</t>
      </text>
    </comment>
    <comment authorId="0" ref="B1">
      <text>
        <t xml:space="preserve">field-description</t>
      </text>
    </comment>
    <comment authorId="0" ref="C1">
      <text>
        <t xml:space="preserve">This is expected to be the identical to, or a cleaned up variant of the 'name' field (e.g. shortening a legal name by removing Pty. Ltd. etc.)</t>
      </text>
    </comment>
    <comment authorId="0" ref="D1">
      <text>
        <t xml:space="preserve">This can be used as an optional abbreviated name that may be useful for shortening labels on nodes where appropriate, if there is high information density in a visualisation view. Example here is by initials however this shoudl be done manually with real names</t>
      </text>
    </comment>
    <comment authorId="0" ref="E1">
      <text>
        <t xml:space="preserve">Free text field that can be used as a description</t>
      </text>
    </comment>
    <comment authorId="0" ref="M1">
      <text>
        <t xml:space="preserve">An 'array' of ids matched to the schema 'tbl-essential-waste-services' . This is the preffered way to tage Responsible Entitites with their essential waste services</t>
      </text>
    </comment>
  </commentList>
</comments>
</file>

<file path=xl/sharedStrings.xml><?xml version="1.0" encoding="utf-8"?>
<sst xmlns="http://schemas.openxmlformats.org/spreadsheetml/2006/main" count="6754" uniqueCount="988">
  <si>
    <t xml:space="preserve">WRRR Service Interdependency Map: </t>
  </si>
  <si>
    <t>Data Input Model</t>
  </si>
  <si>
    <r>
      <rPr>
        <rFont val="Roboto"/>
        <color theme="1"/>
        <sz val="8.0"/>
      </rPr>
      <t xml:space="preserve">This spreadsheet contains data transformations and tables for data schema and meta information that support the 'shaping' or 'wrangling' of source (DEECA aggregated RERCC plan) data, into structured data tables that can be loaded to a data visualisation tool.
Documention has been added on the "Source &gt;&gt;" , "Data input &gt;&gt;" and "Supporting &gt;&gt;" tabs, which correspond to sets of relvant tables
</t>
    </r>
    <r>
      <rPr>
        <rFont val="Roboto"/>
        <b/>
        <color theme="1"/>
        <sz val="8.0"/>
      </rPr>
      <t xml:space="preserve">Importantly the "Data input &gt;&gt;' tables (10) are those that are proposed to be loaded into the Services Map tool </t>
    </r>
  </si>
  <si>
    <t>P</t>
  </si>
  <si>
    <t>Source data</t>
  </si>
  <si>
    <r>
      <rPr>
        <rFont val="Roboto"/>
        <color theme="1"/>
      </rPr>
      <t xml:space="preserve">These tables are direct copies of tables provided y DEECA in the spreadsheet </t>
    </r>
    <r>
      <rPr>
        <rFont val="Roboto"/>
        <b/>
        <color theme="1"/>
      </rPr>
      <t>Upstream_Downstream from RERCC Risk Registers for data visualisation 2024.xlsx"</t>
    </r>
  </si>
  <si>
    <t>GSheet tab name</t>
  </si>
  <si>
    <t>Excel tab name</t>
  </si>
  <si>
    <t>source-upstream</t>
  </si>
  <si>
    <t>2024 Upstream lists2</t>
  </si>
  <si>
    <t>2024 Downstream lists2</t>
  </si>
  <si>
    <t>Changes</t>
  </si>
  <si>
    <t>Amendments/changes to source data are highlighted with yellow cells. 
These only relate to 'alternative supplier' information and create (JSON formatted) arrays of alternative suppliers, using their 'id' as per the node-master table</t>
  </si>
  <si>
    <t>Responsible entity</t>
  </si>
  <si>
    <t>Upstream supplier (mandatory)</t>
  </si>
  <si>
    <t>Frequency (mandatory)</t>
  </si>
  <si>
    <t>Service provided</t>
  </si>
  <si>
    <t>Is the upstream supplier specialised?</t>
  </si>
  <si>
    <t>Single point of failure?</t>
  </si>
  <si>
    <t>Could the RE still operate if this vendor failed?</t>
  </si>
  <si>
    <t>What allows the RE to continue operation should the vendor fail?</t>
  </si>
  <si>
    <t>Who are the alternative suppliers?</t>
  </si>
  <si>
    <t>RE Comments</t>
  </si>
  <si>
    <t>RV assessment of potential single point of failure</t>
  </si>
  <si>
    <t>RV comments on the information supplied</t>
  </si>
  <si>
    <t>RV supplier service categorisation</t>
  </si>
  <si>
    <t>RERCC Plan Year Upstream</t>
  </si>
  <si>
    <t>Blue Lyrebird</t>
  </si>
  <si>
    <t>Blue Dingo</t>
  </si>
  <si>
    <t>Ongoing</t>
  </si>
  <si>
    <t>Transport - C &amp; D</t>
  </si>
  <si>
    <t>No</t>
  </si>
  <si>
    <t>Yes</t>
  </si>
  <si>
    <t>Alternative supplier</t>
  </si>
  <si>
    <t>Not provided</t>
  </si>
  <si>
    <t>Alternative suppliers for the provision of C&amp;D waste and for the provision of transport services available Sufficiently large amounts of stored C&amp;D waste that can be processed without new material coming to site</t>
  </si>
  <si>
    <t>Transport</t>
  </si>
  <si>
    <t>Tiny Fairy Penguin</t>
  </si>
  <si>
    <t>Fuzzy Fairy Penguin</t>
  </si>
  <si>
    <t>Red Tree Kangaroo</t>
  </si>
  <si>
    <t>Clever Emu</t>
  </si>
  <si>
    <t>Shy Bilby</t>
  </si>
  <si>
    <t>Shy Platypus</t>
  </si>
  <si>
    <t>Spotted Thorny Devil</t>
  </si>
  <si>
    <t>Yellow Australian Magpie</t>
  </si>
  <si>
    <t>Transport - Glass waste</t>
  </si>
  <si>
    <t>Alternative suppliers for the provision of glass waste and for the provision of transport services available 
 Sufficiently large amounts of stored glass waste that can be processed without new material coming to site</t>
  </si>
  <si>
    <t>Fuzzy Sugar Glider</t>
  </si>
  <si>
    <t>Spotted Bandicoot</t>
  </si>
  <si>
    <t>Wild Thorny Devil</t>
  </si>
  <si>
    <t>Giant Thorny Devil</t>
  </si>
  <si>
    <t>Striped Quokka</t>
  </si>
  <si>
    <t>Wild Numbat</t>
  </si>
  <si>
    <t>Clever Frilled Neck Lizard</t>
  </si>
  <si>
    <t>Clever Tree Kangaroo</t>
  </si>
  <si>
    <t>Stockpiling</t>
  </si>
  <si>
    <t>Extensive network of alternative suppliers</t>
  </si>
  <si>
    <t>Fuzzy Redback Spider</t>
  </si>
  <si>
    <t>Lazy Tree Kangaroo</t>
  </si>
  <si>
    <t>Yellow Cockatoo</t>
  </si>
  <si>
    <t>Shy Koala</t>
  </si>
  <si>
    <t>Giant Rosella</t>
  </si>
  <si>
    <t>Happy Quokka</t>
  </si>
  <si>
    <t>Lazy Perentie</t>
  </si>
  <si>
    <t>Red Tasmanian Devil</t>
  </si>
  <si>
    <t>Yellow Echidna</t>
  </si>
  <si>
    <t>Happy Rosella</t>
  </si>
  <si>
    <t>Lazy Bilby</t>
  </si>
  <si>
    <t>Spotted Fairy Penguin</t>
  </si>
  <si>
    <t>Regular intervals</t>
  </si>
  <si>
    <t>Inventory supply</t>
  </si>
  <si>
    <t>Short term impact to meet customer demand</t>
  </si>
  <si>
    <t>Components</t>
  </si>
  <si>
    <t>Yellow Thorny Devil</t>
  </si>
  <si>
    <t>Noisy Australian Magpie</t>
  </si>
  <si>
    <t>Spotted Sugar Glider</t>
  </si>
  <si>
    <t>Green Rosella</t>
  </si>
  <si>
    <t>Green Platypus</t>
  </si>
  <si>
    <t>Yellow Wombat</t>
  </si>
  <si>
    <t>Noisy Cockatoo</t>
  </si>
  <si>
    <t>Fuzzy Echidna</t>
  </si>
  <si>
    <t>Fuzzy Goanna</t>
  </si>
  <si>
    <t>Red Fairy Penguin</t>
  </si>
  <si>
    <t>Red Numbat</t>
  </si>
  <si>
    <t>Daily</t>
  </si>
  <si>
    <t>FOGO supply</t>
  </si>
  <si>
    <t>Short term stockpiling</t>
  </si>
  <si>
    <t>Feedstock</t>
  </si>
  <si>
    <t>Fuzzy Perentie</t>
  </si>
  <si>
    <t>Lazy Cockatoo</t>
  </si>
  <si>
    <t>No comments provided</t>
  </si>
  <si>
    <t>Shy Australian Magpie</t>
  </si>
  <si>
    <t>As required</t>
  </si>
  <si>
    <t>Emergency power supply</t>
  </si>
  <si>
    <t>Plant and Equipment</t>
  </si>
  <si>
    <t>Sleepy Lyrebird</t>
  </si>
  <si>
    <t>Temporary crushing plant</t>
  </si>
  <si>
    <t>Silent Sugar Glider</t>
  </si>
  <si>
    <t>Shy Possum</t>
  </si>
  <si>
    <t>Emergency repairs</t>
  </si>
  <si>
    <t>Repairs and maintenance</t>
  </si>
  <si>
    <t>Golden Australian Magpie</t>
  </si>
  <si>
    <t>Sleepy Sugar Glider</t>
  </si>
  <si>
    <t>Asbestos removal</t>
  </si>
  <si>
    <t>Asbestos</t>
  </si>
  <si>
    <t>Shy Cockatoo</t>
  </si>
  <si>
    <t>Striped Tasmanian Devil</t>
  </si>
  <si>
    <t>Lazy Blue-tongue Skink</t>
  </si>
  <si>
    <t>Water supply</t>
  </si>
  <si>
    <t>Water</t>
  </si>
  <si>
    <t>Sleepy Cassowary</t>
  </si>
  <si>
    <t>Electricity</t>
  </si>
  <si>
    <t>Power</t>
  </si>
  <si>
    <t>Swift Bush Stone-curlew</t>
  </si>
  <si>
    <t>Fuzzy Lyrebird</t>
  </si>
  <si>
    <t>Disposal of masonry, brick, concrete, steel and asphalt materials</t>
  </si>
  <si>
    <t>Shy Quokka</t>
  </si>
  <si>
    <t>Not Provided</t>
  </si>
  <si>
    <t>Golden Possum</t>
  </si>
  <si>
    <t>Yellow Fairy Penguin</t>
  </si>
  <si>
    <t>Public drop off location</t>
  </si>
  <si>
    <t>Possible short term down time. Alternative business processes until supply is resumed</t>
  </si>
  <si>
    <t>Fuzzy Wombat</t>
  </si>
  <si>
    <t>Noisy Bilby</t>
  </si>
  <si>
    <t>Clever Sugar Glider</t>
  </si>
  <si>
    <t>Tiny Numbat</t>
  </si>
  <si>
    <t>Noisy Perentie</t>
  </si>
  <si>
    <t>Blue Koala</t>
  </si>
  <si>
    <t>Clever Blue-tongue Skink</t>
  </si>
  <si>
    <t>Lazy Lyrebird</t>
  </si>
  <si>
    <t>Spotted Possum</t>
  </si>
  <si>
    <t>Transport - feedstock</t>
  </si>
  <si>
    <t>Impact of disruption - Materials cannot be received on site</t>
  </si>
  <si>
    <t>Golden Kookaburra</t>
  </si>
  <si>
    <t>Sleepy Tree Kangaroo</t>
  </si>
  <si>
    <t>Swift Lyrebird</t>
  </si>
  <si>
    <t>Impact of disruption - cessation of major volumes of hazardous waste on site</t>
  </si>
  <si>
    <t>Lazy Fairy Penguin</t>
  </si>
  <si>
    <t>Landfill operators</t>
  </si>
  <si>
    <t>Operators of key equipment/activities. Effect of impact or disruption described by RE as: 
 '- Materials cannot be received 
 '- Waste compactors (1) to reach desired compactionon ratio. One spare compactor on site
 '- Bulldozer to push up waste for the compactor to process – one required to operate the tip face. One spare bulldozer on site.
 '- Cover: soil or other material used to cover the waste - all waste needs to be covered by end of day as per the EPA licence conditions.
 '- Requires 2 articulated dump trucks and excavator transporting site derived material each day</t>
  </si>
  <si>
    <t>This sounds like landfill site is owned by one party the operations are outsourced to another party which makes the third party, Grosvenor Lodge, a single point of failure.</t>
  </si>
  <si>
    <t>Waste service-disposal</t>
  </si>
  <si>
    <t>Shy Echidna</t>
  </si>
  <si>
    <t>Annual</t>
  </si>
  <si>
    <t>Weighbridge Callibration</t>
  </si>
  <si>
    <t>Impact of disruption - Inaccuracies in reading quantities of inbound material (too high or too low)</t>
  </si>
  <si>
    <t>Green Dingo</t>
  </si>
  <si>
    <t>Unclear from RERCC Plan</t>
  </si>
  <si>
    <t>In addiion to financial implicatons, fines and/or other enforcement actviies, can impact relationship with existing and future clients</t>
  </si>
  <si>
    <t>Regulator</t>
  </si>
  <si>
    <t>Yellow Frilled Neck Lizard</t>
  </si>
  <si>
    <t>Golden Frilled Neck Lizard</t>
  </si>
  <si>
    <t>Triennial</t>
  </si>
  <si>
    <t>EPA Licence requirement</t>
  </si>
  <si>
    <t>Consultant services</t>
  </si>
  <si>
    <t>Lazy Sugar Glider</t>
  </si>
  <si>
    <t>Operating licence and compliance</t>
  </si>
  <si>
    <t>Brave Quokka</t>
  </si>
  <si>
    <t>Monthly</t>
  </si>
  <si>
    <t>Environmental Consulting</t>
  </si>
  <si>
    <t>Alternative supplier not specified - it may be Core Environmental</t>
  </si>
  <si>
    <t>Giant Cockatoo</t>
  </si>
  <si>
    <t>Quarterly</t>
  </si>
  <si>
    <t>Alternative supplier not specified - it may be Bajwa Enviro</t>
  </si>
  <si>
    <t>Blue Goanna</t>
  </si>
  <si>
    <t>Ad Hoc</t>
  </si>
  <si>
    <t>Alternative supplier not specified - it may be Bajwa Enviro or Core Envrionmental</t>
  </si>
  <si>
    <t>Green Bandicoot</t>
  </si>
  <si>
    <t>IT Services</t>
  </si>
  <si>
    <t>Alternative supplier not specified</t>
  </si>
  <si>
    <t>Techonology</t>
  </si>
  <si>
    <t>Red Thorny Devil</t>
  </si>
  <si>
    <t>Waste Management System</t>
  </si>
  <si>
    <t>Manual processes</t>
  </si>
  <si>
    <t>Carry out transactions manually during any downtime.</t>
  </si>
  <si>
    <t>Wild Fairy Penguin</t>
  </si>
  <si>
    <t>Construction works</t>
  </si>
  <si>
    <t>Alternative contractors in the market</t>
  </si>
  <si>
    <t>Plant and equipment</t>
  </si>
  <si>
    <t>Noisy Tree Kangaroo</t>
  </si>
  <si>
    <t>Earthmoving machinery maintenance and repairs</t>
  </si>
  <si>
    <t>Blue Perentie</t>
  </si>
  <si>
    <t>Laboratory analysis</t>
  </si>
  <si>
    <t>Alternative laboratories</t>
  </si>
  <si>
    <t>Weekly</t>
  </si>
  <si>
    <t>Feedstock supply</t>
  </si>
  <si>
    <t>Swift Sugar Glider</t>
  </si>
  <si>
    <t>Yellow Blue-tongue Skink</t>
  </si>
  <si>
    <t>Waste collection</t>
  </si>
  <si>
    <t>Noisy Sugar Glider</t>
  </si>
  <si>
    <t>Green Wombat</t>
  </si>
  <si>
    <t>Red Bush Stone-curlew</t>
  </si>
  <si>
    <t>Swift Platypus</t>
  </si>
  <si>
    <t>Blue Echidna</t>
  </si>
  <si>
    <t>Golden Kangaroo</t>
  </si>
  <si>
    <t>Blue Numbat</t>
  </si>
  <si>
    <t>Swift Emu</t>
  </si>
  <si>
    <t>Tiny Dingo</t>
  </si>
  <si>
    <t>Brave Sugar Glider</t>
  </si>
  <si>
    <t>Golden Echidna</t>
  </si>
  <si>
    <t>Noisy Dingo</t>
  </si>
  <si>
    <t>Fuzzy Cassowary</t>
  </si>
  <si>
    <t>Collection</t>
  </si>
  <si>
    <t>Could operate at reduced levels with alternative transport operators. Other vendors available &amp;
 assets may be purchased and towed by others</t>
  </si>
  <si>
    <t>Golden Koala</t>
  </si>
  <si>
    <t>["silent-rosella"]</t>
  </si>
  <si>
    <t>Collects shred/HM from Sims Metal and Norstar</t>
  </si>
  <si>
    <t>["striped-frilled-neck-lizard"]</t>
  </si>
  <si>
    <t>Striped Frilled Neck Lizard</t>
  </si>
  <si>
    <t>Feedstock - shred</t>
  </si>
  <si>
    <t>["importers"]</t>
  </si>
  <si>
    <t>Silent Rosella</t>
  </si>
  <si>
    <t>Noisy Quokka</t>
  </si>
  <si>
    <t>Red Koala</t>
  </si>
  <si>
    <t>Fuel</t>
  </si>
  <si>
    <t>Various Noisy Quokka 
  sites have access to an onsite Transtank of fuel however should the supply be unavailable the Transtank wouldn’t be refilled by the supplier. If all fuel was restricted due to a depletion we are entirely reliant upon the government providing priority access as an essential service.</t>
  </si>
  <si>
    <t>Partially</t>
  </si>
  <si>
    <t>Golden Perentie</t>
  </si>
  <si>
    <t>Vehicle maintenance and repairs</t>
  </si>
  <si>
    <t>Alternative Suppliers</t>
  </si>
  <si>
    <t>Noisy Quokka 
  have access to mechanics employed internally and a network of external mechanics that specialise in heavy vehicles. However for larger repairs and maintenance external mechanics are relied upon. Should there be a decrease in heavy vehicle mechanics available this would have impact upon our ability to operate. 
 Alternate external mechanics and a variety of heavy vehicle mechanics employed across the country.</t>
  </si>
  <si>
    <t>Striped Australian Magpie</t>
  </si>
  <si>
    <t>Alternate external mechanics and a variety of heavy vehicle mechanics employed across the country.</t>
  </si>
  <si>
    <t>Brave Bilby</t>
  </si>
  <si>
    <t>Vehicle consumables i.e. oils, lubricants etc</t>
  </si>
  <si>
    <t>["noisy-quokka"]</t>
  </si>
  <si>
    <t>There are a variety of manufacturers and suppliers available to provide the required consumables however if there was a depletion event the fleet would not be able to operate where the consumable levels were low.</t>
  </si>
  <si>
    <t>Wild Koala</t>
  </si>
  <si>
    <t>Disposal facilities, subcontractor services</t>
  </si>
  <si>
    <t>Where the major disposalfacilities were permanently closed or closed for a large period of time this would prevent the appropriate disposal of waste and therefore prevent waste collections without appropriate outlet.
 Alternate waste management companies and disposal locations. Interstate disposal locations. Various JJ’s sites have the ability to storage and aggregate certain waste types.</t>
  </si>
  <si>
    <t>Spotted Koala</t>
  </si>
  <si>
    <t>Wild Possum</t>
  </si>
  <si>
    <t>Red Lyrebird</t>
  </si>
  <si>
    <t>Landfill gas management</t>
  </si>
  <si>
    <t>Landfill A</t>
  </si>
  <si>
    <t>Gas</t>
  </si>
  <si>
    <t>Landfill B</t>
  </si>
  <si>
    <t>Landfill C</t>
  </si>
  <si>
    <t>Landfill D</t>
  </si>
  <si>
    <t>Landfill E</t>
  </si>
  <si>
    <t>Landfill F and Landfill H</t>
  </si>
  <si>
    <t>Landfill G and Landfill H</t>
  </si>
  <si>
    <t>Lazy Kangaroo</t>
  </si>
  <si>
    <t>Landfill I</t>
  </si>
  <si>
    <t>Refuse Disposal Facility A</t>
  </si>
  <si>
    <t>Red Possum</t>
  </si>
  <si>
    <t>Alternative waste transporters</t>
  </si>
  <si>
    <t>Blue Sugar Glider</t>
  </si>
  <si>
    <t>Transfer station</t>
  </si>
  <si>
    <t>Alternative waste producers</t>
  </si>
  <si>
    <t>Red Possum documented supplier as a single point yet noted there are alternatives</t>
  </si>
  <si>
    <t>Waste service-collection</t>
  </si>
  <si>
    <t>Fuzzy Wallaby</t>
  </si>
  <si>
    <t>Waste generation</t>
  </si>
  <si>
    <t>Waste service-generation</t>
  </si>
  <si>
    <t>Ceased</t>
  </si>
  <si>
    <t>Transporting of medium to major quantities of materials in bulk</t>
  </si>
  <si>
    <t>Maintenance and replacement of utilities, equipment, parts for the ongoing operation of vehicles and plant.</t>
  </si>
  <si>
    <t>Fuzzy Kangaroo</t>
  </si>
  <si>
    <t>Maintenance and replacement of utilities, equioment, parts for the ongoing operation of vehicoles and plant.</t>
  </si>
  <si>
    <t>Sleepy Possum</t>
  </si>
  <si>
    <t>Striped Echidna</t>
  </si>
  <si>
    <t>Blue Tasmanian Devil</t>
  </si>
  <si>
    <t>Striped Bush Stone-curlew</t>
  </si>
  <si>
    <t>Red Frilled Neck Lizard</t>
  </si>
  <si>
    <t>HSE</t>
  </si>
  <si>
    <t>Yellow Platypus</t>
  </si>
  <si>
    <t>Brave Kookaburra</t>
  </si>
  <si>
    <t>Green Tasmanian Devil</t>
  </si>
  <si>
    <t>Golden Fairy Penguin</t>
  </si>
  <si>
    <t>Clever Perentie</t>
  </si>
  <si>
    <t>Sleepy Bandicoot</t>
  </si>
  <si>
    <t>Blue Wallaby</t>
  </si>
  <si>
    <t>Blue Fairy Penguin</t>
  </si>
  <si>
    <t>Brave Perentie</t>
  </si>
  <si>
    <t>Lazy Goanna</t>
  </si>
  <si>
    <t>Fuzzy Platypus</t>
  </si>
  <si>
    <t>Wild Dingo</t>
  </si>
  <si>
    <t>Sleepy Platypus</t>
  </si>
  <si>
    <t>Giant Blue-tongue Skink</t>
  </si>
  <si>
    <t>Yellow Redback Spider</t>
  </si>
  <si>
    <t>Spotted Cockatoo</t>
  </si>
  <si>
    <t>Happy Perentie</t>
  </si>
  <si>
    <t>Swift Blue-tongue Skink</t>
  </si>
  <si>
    <t>Tiny Goanna</t>
  </si>
  <si>
    <t>Giant Bush Stone-curlew</t>
  </si>
  <si>
    <t>4PL</t>
  </si>
  <si>
    <t>Not advised in the plan</t>
  </si>
  <si>
    <t>Noisy Kookaburra</t>
  </si>
  <si>
    <t>Cleaning</t>
  </si>
  <si>
    <t>Possible short term down time. (48hr)</t>
  </si>
  <si>
    <t>Striped Bandicoot</t>
  </si>
  <si>
    <t>Technology maintenance</t>
  </si>
  <si>
    <t>In-house management</t>
  </si>
  <si>
    <t>Blue Thorny Devil</t>
  </si>
  <si>
    <t>Technology</t>
  </si>
  <si>
    <t>In-house management possible short term downtime (24h) due to time differences (specialised support from Denmark); however, responsible entity can set up
 pop-up collections to receive and verify containers</t>
  </si>
  <si>
    <t>Golden Lyrebird</t>
  </si>
  <si>
    <t>Cash Redemption terminals (CRT)</t>
  </si>
  <si>
    <t>Alternative business processes (manual cash handling)</t>
  </si>
  <si>
    <t>Recycling facilities (Hallam CSF &amp; Dandenong GBP)</t>
  </si>
  <si>
    <t>Alternative facilities within, and beyond, Re.Cycle Operations network.</t>
  </si>
  <si>
    <t>Shy Numbat</t>
  </si>
  <si>
    <t>Noisy Possum</t>
  </si>
  <si>
    <t>BC Strategy</t>
  </si>
  <si>
    <t>Only basic operations would be performed</t>
  </si>
  <si>
    <t>Wild Blue-tongue Skink</t>
  </si>
  <si>
    <t>Contamination clean up</t>
  </si>
  <si>
    <t>Happy Frilled Neck Lizard</t>
  </si>
  <si>
    <t>Maintenance</t>
  </si>
  <si>
    <t>Wild Quokka</t>
  </si>
  <si>
    <t>Containers</t>
  </si>
  <si>
    <t>Striped Koala</t>
  </si>
  <si>
    <t>Freight Management</t>
  </si>
  <si>
    <t>possible short term down time</t>
  </si>
  <si>
    <t>Giant Dingo</t>
  </si>
  <si>
    <t>Sleepy Wombat</t>
  </si>
  <si>
    <t>ERP System Provider</t>
  </si>
  <si>
    <t>Diesel Supplier</t>
  </si>
  <si>
    <t>Tiny Cockatoo</t>
  </si>
  <si>
    <t>LPG Gas Provider</t>
  </si>
  <si>
    <t>Ewaste</t>
  </si>
  <si>
    <t>Clever Koala</t>
  </si>
  <si>
    <t>Clever Quokka</t>
  </si>
  <si>
    <t>Noisy Kangaroo</t>
  </si>
  <si>
    <t>Blue Bandicoot</t>
  </si>
  <si>
    <t>Giant Emu</t>
  </si>
  <si>
    <t>Telecommunications</t>
  </si>
  <si>
    <t>Giant Tasmanian Devil</t>
  </si>
  <si>
    <t>Spotted Tasmanian Devil</t>
  </si>
  <si>
    <t>Lazy Quokka</t>
  </si>
  <si>
    <t>Tiny Platypus</t>
  </si>
  <si>
    <t>logistics</t>
  </si>
  <si>
    <t>also sorting and IT systems</t>
  </si>
  <si>
    <t>Tiny Possum</t>
  </si>
  <si>
    <t>collection point services (RVMs)</t>
  </si>
  <si>
    <t>also technology servcies</t>
  </si>
  <si>
    <t>Wild Cassowary</t>
  </si>
  <si>
    <t>Building approval</t>
  </si>
  <si>
    <t>Licencing</t>
  </si>
  <si>
    <t>Local government</t>
  </si>
  <si>
    <t>Red Dingo</t>
  </si>
  <si>
    <t>Freight management</t>
  </si>
  <si>
    <t>Shy Dingo</t>
  </si>
  <si>
    <t>Golden Tasmanian Devil</t>
  </si>
  <si>
    <t>Critical spares</t>
  </si>
  <si>
    <t>Giant Redback Spider</t>
  </si>
  <si>
    <t>Shy Kookaburra</t>
  </si>
  <si>
    <t>Hazardous waste management (used tyres)</t>
  </si>
  <si>
    <t>Clever Kangaroo</t>
  </si>
  <si>
    <t>Noisy Numbat</t>
  </si>
  <si>
    <t>Wild Kangaroo</t>
  </si>
  <si>
    <t>Regulator for facility Operating licence</t>
  </si>
  <si>
    <t>The facility can leverage guidance from accredited consultants in the market who provide environmental assessments, audits, and compliance services.</t>
  </si>
  <si>
    <t>Collections services and delivery to facility. Contracted by Council customers.</t>
  </si>
  <si>
    <t>Alternative collector would need to be put in place via Council customers. Assume Council customer collections contracts have provisions for service continuity in the event of head collections contractor failure</t>
  </si>
  <si>
    <t>Golden Goanna</t>
  </si>
  <si>
    <t>Access roads are essential for trucks to deliver waste to our facility and employees to be able to come to work.</t>
  </si>
  <si>
    <t>Access roads</t>
  </si>
  <si>
    <t>Access roads are essential for trucks to deliver waste to our facility and employees to be able to come to work. Depending on where the potential blockage was, some level of service could be provided. Short term only</t>
  </si>
  <si>
    <t>Generator</t>
  </si>
  <si>
    <t>We have a generator to energise the weighbridge system and keep receiving trucks, however, no processing of waste could be possible</t>
  </si>
  <si>
    <t>Noisy Wombat</t>
  </si>
  <si>
    <t>Machinery service &amp; parts as required. Screen and grinder support.</t>
  </si>
  <si>
    <t>We are dependent on Komptech for proprietary parts. Alternative screen or grinder would be hired to cater for the downtime
 in the event that there was a failure due to a delay in servicing and or parts supply by Komptech</t>
  </si>
  <si>
    <t>Golden Wallaby</t>
  </si>
  <si>
    <t>FOGO and Organics Pretreatment (inc. decontamination), pasteurisation, maturation, refined, quality assurance and Oversize &amp; Mid-Size fraction production services</t>
  </si>
  <si>
    <t>Yes, given there are multiple service providers, including landfill as a last resort</t>
  </si>
  <si>
    <t>Brave Platypus</t>
  </si>
  <si>
    <t>Spotted Platypus</t>
  </si>
  <si>
    <t>Organics processors</t>
  </si>
  <si>
    <t>Wild Numbat 
  provided 1 upstream provider in their RERCC Plan</t>
  </si>
  <si>
    <t>Waste service-processing</t>
  </si>
  <si>
    <t>Wild Numbat 
 provided 1 upstream provider in their RERCC Plan</t>
  </si>
  <si>
    <t>Wild Tasmanian Devil</t>
  </si>
  <si>
    <t>Happy Fairy Penguin</t>
  </si>
  <si>
    <t>Collect the containers from the depot and OTC</t>
  </si>
  <si>
    <t>Green Bush Stone-curlew</t>
  </si>
  <si>
    <t>Green Koala</t>
  </si>
  <si>
    <t>Happy Echidna</t>
  </si>
  <si>
    <t>Specialised service provider baling equipment</t>
  </si>
  <si>
    <t>Spotted Australian Magpie</t>
  </si>
  <si>
    <t>OEM supplier reverse vending machine equipment</t>
  </si>
  <si>
    <t>Wild Rosella</t>
  </si>
  <si>
    <t>Automation and technology solutions, machine servicing</t>
  </si>
  <si>
    <t>Swift Redback Spider</t>
  </si>
  <si>
    <t>Monthly services</t>
  </si>
  <si>
    <t>OEM supplier plastic sorting equipment</t>
  </si>
  <si>
    <t>Critical spares available, Bypass optical sorters, add pickers</t>
  </si>
  <si>
    <t>?</t>
  </si>
  <si>
    <t>6 Monthly services</t>
  </si>
  <si>
    <t>Critical spares available, Alternative suppliers available</t>
  </si>
  <si>
    <t>Sleepy Fairy Penguin</t>
  </si>
  <si>
    <t>3 Monthly services</t>
  </si>
  <si>
    <t>OEM supplier paper sorting equipment</t>
  </si>
  <si>
    <t>Wild Wombat</t>
  </si>
  <si>
    <t>Weekly services</t>
  </si>
  <si>
    <t>Mobile handling equipment supplier</t>
  </si>
  <si>
    <t>OEM supplier plastic &amp; paper sorting equipment</t>
  </si>
  <si>
    <t>Spotted Kangaroo</t>
  </si>
  <si>
    <t>OEM supplier glass sorting equipment</t>
  </si>
  <si>
    <t>Bypass optical sorters</t>
  </si>
  <si>
    <t>Noisy Redback Spider</t>
  </si>
  <si>
    <t>6 montly services</t>
  </si>
  <si>
    <t>OEM supplier vibration &amp; material handling equipment</t>
  </si>
  <si>
    <t>Alternative suppliers available</t>
  </si>
  <si>
    <t>Clever Bush Stone-curlew</t>
  </si>
  <si>
    <t>Downstream customer</t>
  </si>
  <si>
    <t>Frequency
 • ongoing (at least 12 months) or
 • at regular
 intervals (at least once every two
 months).</t>
  </si>
  <si>
    <t>What is the waste service managed to the end customer?</t>
  </si>
  <si>
    <t>Are those who are dependent on the services:
 • In the same region
 • Spread across multiple regions
 • State-wide?
 (Regional distribution)</t>
  </si>
  <si>
    <t>Is the responsible entity the single point of failure for the customer? (Alternative service)</t>
  </si>
  <si>
    <t>Comments supplied regarding single point of failure for the customer</t>
  </si>
  <si>
    <t>Alternative services providers [ADDED]</t>
  </si>
  <si>
    <t>Could the customer continue operation if the responsible entity was unable to deliver their service?
 (Criticality)</t>
  </si>
  <si>
    <t>Comments provided on could the customer continue operation if the responsible entity was unable to deliver their service?
 (Criticality)</t>
  </si>
  <si>
    <t>RV themed operational strategy indicated by RE</t>
  </si>
  <si>
    <t>Further notes</t>
  </si>
  <si>
    <t>RV Categorisation of RE service to customer</t>
  </si>
  <si>
    <t>RERCC Plan year Downstream</t>
  </si>
  <si>
    <t>As needs</t>
  </si>
  <si>
    <t>Provision of recycled construction materials 
 Receives final product from all three sites</t>
  </si>
  <si>
    <t>Same region</t>
  </si>
  <si>
    <t>Within the same region, the wider Melbourne metropolitan area</t>
  </si>
  <si>
    <t>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t>
  </si>
  <si>
    <t>Recycled material</t>
  </si>
  <si>
    <t>Striped Tree Kangaroo</t>
  </si>
  <si>
    <t>Fuzzy Quokka</t>
  </si>
  <si>
    <t>Blue Frilled Neck Lizard</t>
  </si>
  <si>
    <t>Provision of recycled construction materials 
 Receives final product from Clarinda and Laverton North</t>
  </si>
  <si>
    <t>Clever Goanna</t>
  </si>
  <si>
    <t>– Mickleham Rd Upgrade</t>
  </si>
  <si>
    <t>Red Wombat</t>
  </si>
  <si>
    <t>– Narre Warren Upgrade</t>
  </si>
  <si>
    <t>Green Emu</t>
  </si>
  <si>
    <t>Golden Emu</t>
  </si>
  <si>
    <t>Tiny Echidna</t>
  </si>
  <si>
    <t>Happy Blue-tongue Skink</t>
  </si>
  <si>
    <t>Potting mix and growing media</t>
  </si>
  <si>
    <t>Statewide</t>
  </si>
  <si>
    <t>Clever Frilled Neck Lizard can provide alternative services within the state and outside of the state</t>
  </si>
  <si>
    <t>["clever-frilled-neck-lizard "]</t>
  </si>
  <si>
    <t>The grower/nursery industry may be impacted if Clever Frilled Neck Lizard was unable to supply their growing media to meet their demand/production levels.</t>
  </si>
  <si>
    <t>Sleepy Numbat</t>
  </si>
  <si>
    <t>Swift Fairy Penguin</t>
  </si>
  <si>
    <t>Tiny Bandicoot</t>
  </si>
  <si>
    <t>Lazy Wombat</t>
  </si>
  <si>
    <t>Fuzzy Koala</t>
  </si>
  <si>
    <t>Sleepy Thorny Devil</t>
  </si>
  <si>
    <t>Giant Quokka</t>
  </si>
  <si>
    <t>Sleepy Koala</t>
  </si>
  <si>
    <t>Golden Bush Stone-curlew</t>
  </si>
  <si>
    <t>Transport of waste and recycled goods</t>
  </si>
  <si>
    <t>Happy Platypus</t>
  </si>
  <si>
    <t>Blue Bush Stone-curlew</t>
  </si>
  <si>
    <t>Green Kangaroo</t>
  </si>
  <si>
    <t>Silent Wallaby</t>
  </si>
  <si>
    <t>Up to two skip bins per week total</t>
  </si>
  <si>
    <t>Shy Tasmanian Devil</t>
  </si>
  <si>
    <t>General waste</t>
  </si>
  <si>
    <t>Alternative service</t>
  </si>
  <si>
    <t>Disposal</t>
  </si>
  <si>
    <t>Spotted Echidna</t>
  </si>
  <si>
    <t>Shy Wallaby</t>
  </si>
  <si>
    <t>Silent Bandicoot</t>
  </si>
  <si>
    <t>Sourcing and supply of ferrous scrap feed to be stockpiled under the Meltshop gantry crane to feed the EAF at the Noisy Dingo Steel Mill</t>
  </si>
  <si>
    <t>YES but with significant difficulty that is likely to impact the ongoing viability of the Noisy Dingo Laverton steel mill As noted in Section 2.21, if local shred supply ceased (e.g. due to sharp increase in floc disposal cost) the Laverton steel mill (single downstream service in Victoria) could continue in the short term (&lt;6 months) but withsignificant operational and commercial difficulty. If local supply ceased long term or permanently – the commercial and operational difficulties would appear to be unsustainable for downstream users.</t>
  </si>
  <si>
    <t>Green Redback Spider</t>
  </si>
  <si>
    <t>General waste collection
 Recyclable waste collection
 Greenwaste collection
 Bulk waste collection</t>
  </si>
  <si>
    <t>Spread across multiple regions</t>
  </si>
  <si>
    <t>Other waste management companies available to supply the scale of service if required</t>
  </si>
  <si>
    <t>Priority given to general waste collections however a large waste management company could assist and provide the services</t>
  </si>
  <si>
    <t>Local network service provider</t>
  </si>
  <si>
    <t>If a LNSP or MDP closed, Red Lyrebird would still be able to operate and provide our services to our customers. Note Red Lyrebird has the capacity to flare LFG without the generation of electricity.
 The generation of electricity at a landfill is complimentary to the waste management sector and provides secondary benefits to the circular economy. The generation of electricity only becomes economically viable if a landfill is large enough to accept enough waste (generating LFG) to maintain an engine/generator, and the cost of grid connection is justified.</t>
  </si>
  <si>
    <t>Shy Frilled Neck Lizard</t>
  </si>
  <si>
    <t>Meter data Provider</t>
  </si>
  <si>
    <t>Partners</t>
  </si>
  <si>
    <t>Sleepy Perentie</t>
  </si>
  <si>
    <t>Brave Bandicoot</t>
  </si>
  <si>
    <t>Yellow Tree Kangaroo</t>
  </si>
  <si>
    <t>Noisy Echidna</t>
  </si>
  <si>
    <t>landfill gas extraction</t>
  </si>
  <si>
    <t>The landfill gas extraction system at Red Possum is owned and operated by Noisy Echidna. Noisy Echidna actively extract and exclusively treat (via flare) the landfill gas generated in the landfill. Australian Carbon Credit Unit’s (ACCUs) are earned from this process of flaring the landfill gas.</t>
  </si>
  <si>
    <t>Gas extraction</t>
  </si>
  <si>
    <t>Transporting of recycled materials</t>
  </si>
  <si>
    <t>Receival of recycling process waste materials (floc)</t>
  </si>
  <si>
    <t>Landfill operators (floc disposal)</t>
  </si>
  <si>
    <t>Ravenhall. Optional operator, no current agreement</t>
  </si>
  <si>
    <t>Silent Cassowary</t>
  </si>
  <si>
    <t>Container Deposit Scheme services</t>
  </si>
  <si>
    <t>Alternatives available
 - other zones
 - kerbside recycling</t>
  </si>
  <si>
    <t>Yes; potential short-term stockpiling if they choose not to go to another network operator.</t>
  </si>
  <si>
    <t>Giant Platypus</t>
  </si>
  <si>
    <t>Shy Lyrebird</t>
  </si>
  <si>
    <t>Brave Bush Stone-curlew</t>
  </si>
  <si>
    <t>Red Australian Magpie</t>
  </si>
  <si>
    <t>Brave Cockatoo</t>
  </si>
  <si>
    <t>Shy Blue-tongue Skink</t>
  </si>
  <si>
    <t>Provision of mill ready processed ferrous scrap metal on a month-to-month basis. No contractual arrangements are in place.</t>
  </si>
  <si>
    <t>Yes. Noisy Dingo  has supply arrangements with a number of other Victorian based metal recyclers and is also able to import processed ferrous scrap from multiple other suppliers in Victoria, interstate and overseas.</t>
  </si>
  <si>
    <t>["noisy-dingo"]</t>
  </si>
  <si>
    <t>Alternative disposal option will need to be sourced.</t>
  </si>
  <si>
    <t>Processing</t>
  </si>
  <si>
    <t>Entity B</t>
  </si>
  <si>
    <t>Spotted Bush Stone-curlew</t>
  </si>
  <si>
    <t>SEOF</t>
  </si>
  <si>
    <t>Sleepy Kookaburra</t>
  </si>
  <si>
    <t>Brave Tasmanian Devil</t>
  </si>
  <si>
    <t>Striped Bilby</t>
  </si>
  <si>
    <t>Silent Fairy Penguin</t>
  </si>
  <si>
    <t>Silent Goanna</t>
  </si>
  <si>
    <t>Silent Kangaroo</t>
  </si>
  <si>
    <t>FOGO and Organics Pre-treatment (inc. decontamination), pasteurisation, maturation, refined, quality assurance and end product production services</t>
  </si>
  <si>
    <t>No there are multiple compost customers that collect the product</t>
  </si>
  <si>
    <t>Yes, given there are multiple compost customers</t>
  </si>
  <si>
    <t>Silent Numbat</t>
  </si>
  <si>
    <t>Not provided but serviced weekly</t>
  </si>
  <si>
    <t>Silent Possum</t>
  </si>
  <si>
    <t>Silent Quokka</t>
  </si>
  <si>
    <t>Aluminium, glass, plastic, liquid paper board eligible containers are traded via online biding portal to various vendors</t>
  </si>
  <si>
    <t>In events of Wild Tasmanian Devil acquiring the products, it is distributed within its divisions i.e. glass to glass recycling, plastics to plastic division, aluminium to reciprocal manufacturer. Local and international markets are available to trade the mentioned materials</t>
  </si>
  <si>
    <t>Waste/landfill collection</t>
  </si>
  <si>
    <t>Alternative services available</t>
  </si>
  <si>
    <t>Sub 3mm glass collection</t>
  </si>
  <si>
    <t>Scrap metal disposal services</t>
  </si>
  <si>
    <t>Cullet supply</t>
  </si>
  <si>
    <t>Alternative cullet suppliers available, or use less glass and more raw materials</t>
  </si>
  <si>
    <t>FCM material</t>
  </si>
  <si>
    <t>Councils can directly drop off to the site</t>
  </si>
  <si>
    <t>Happy Goanna</t>
  </si>
  <si>
    <t>Plastic recycling</t>
  </si>
  <si>
    <t>Noisy Rosella</t>
  </si>
  <si>
    <t>Glass recycling</t>
  </si>
  <si>
    <t>Battery collection</t>
  </si>
  <si>
    <t>Manufacturer</t>
  </si>
  <si>
    <t>Data input (tables)</t>
  </si>
  <si>
    <t>These tables contain the fully cleansed and structured data tables that need to be loaded (annually) into the browser-based Services Map visualisation tool</t>
  </si>
  <si>
    <t>Tab name</t>
  </si>
  <si>
    <t>Description</t>
  </si>
  <si>
    <t>Preparation</t>
  </si>
  <si>
    <t>Expected update frequency</t>
  </si>
  <si>
    <t>Notes</t>
  </si>
  <si>
    <t>node-master</t>
  </si>
  <si>
    <t>A list of all nodes  or 'entities' referenced in the visualisation. This includes (at a minimum) all responsible entities, and their reported suppliers and customers.
This table allows for meta-information related to all entities to be added, then loaded to/accessed by and potentially used by the visualisation.</t>
  </si>
  <si>
    <t>Manual</t>
  </si>
  <si>
    <t>Annual update</t>
  </si>
  <si>
    <r>
      <rPr>
        <rFont val="Roboto"/>
        <b/>
        <color theme="1"/>
        <sz val="8.0"/>
      </rPr>
      <t>IMPORTANT</t>
    </r>
    <r>
      <rPr>
        <rFont val="Roboto"/>
        <color theme="1"/>
        <sz val="8.0"/>
      </rPr>
      <t>: This table is where assignment of essential waste services are specified for Responsible entities. This assignment is made using JSON style arrays (see template example) where each entry corresponds the id of the service.
A flag to indicate which entities are Responsible Entities ('isRE') is also required.</t>
    </r>
  </si>
  <si>
    <t>link-upstream</t>
  </si>
  <si>
    <t>This table is a transformation of the source-upstream (source data) table. It retains the same structure but with updated field names (see 'meta-link-fields' which provides the field mapping) and has any 'structure-able' data fields cleansed and referenced by an identifier (matched to appropriate 'schema-xxx' tables</t>
  </si>
  <si>
    <t>Transformation of source</t>
  </si>
  <si>
    <t>This is a core data table</t>
  </si>
  <si>
    <t>link-downstream</t>
  </si>
  <si>
    <t>This table is a transformation of the source-downstream (source data) table. It retains the same structure but with updated field names (see 'meta-link-fields' which provides the field mapping) and has any 'structure-able' data fields cleansed and referenced by an identifier (matched to appropriate 'schema-xxx' tables</t>
  </si>
  <si>
    <t>meta-link-fields</t>
  </si>
  <si>
    <t>This table provides a mapping of the source data table fields, to the link-upstream and link-downstream input tables. It is loaded to so that the original questions asked in the RERCC Plans can be retrieved in the visualisation tool.
It only needs to be updated if the structure of source link data is ever changed (i.e. to accomodate more fields).</t>
  </si>
  <si>
    <t xml:space="preserve">This is expected to be required/useful for visualisation features that use meta-information (e.g. modal windows/tooltips) </t>
  </si>
  <si>
    <t>schema-essential-wrrr-services</t>
  </si>
  <si>
    <t>This table specifies all available essential waste services which Responsible Entities can be assigned to.</t>
  </si>
  <si>
    <t>All schema tables are for meta information and are an extra step to ensure data is fully cleansed and consistent. These consistent, structured responses can potentially be used in the visualisation</t>
  </si>
  <si>
    <t>schema-rv -services</t>
  </si>
  <si>
    <t>schema-yn</t>
  </si>
  <si>
    <t xml:space="preserve">This table specifies all available responses to 'yes / no' style questions in the RERCC plans. Responses should be cleansed to be consistent and only come from this list </t>
  </si>
  <si>
    <t>schema-frequency</t>
  </si>
  <si>
    <t xml:space="preserve">This table specifies all available responses to the questions about service frequency in the RERCC plans. Responses should be cleansed to be consistent and only come from this list </t>
  </si>
  <si>
    <t>schema-resilience-options</t>
  </si>
  <si>
    <t xml:space="preserve">This table specifies all available responses to the questions "What allows the RE to continue operation should the vendor fail?" asked only of upstream suppliers.Responses should be cleansed to be consistent and only come from this list </t>
  </si>
  <si>
    <t>schema-geographic-dependency</t>
  </si>
  <si>
    <t xml:space="preserve">This table specifies all available responses to the question about regional dependency asked only of downstream customers. Responses should be cleansed to be consistent and only come from this list </t>
  </si>
  <si>
    <t>id</t>
  </si>
  <si>
    <t>entity-name</t>
  </si>
  <si>
    <t>label</t>
  </si>
  <si>
    <t>label-incognito</t>
  </si>
  <si>
    <t>label-short</t>
  </si>
  <si>
    <t>essential-wrrr-services</t>
  </si>
  <si>
    <t>isRE</t>
  </si>
  <si>
    <t>description</t>
  </si>
  <si>
    <t>["construction-and-demolition-services",
"recycling-services-glass" ]</t>
  </si>
  <si>
    <t>yes</t>
  </si>
  <si>
    <t>RE-02</t>
  </si>
  <si>
    <t>["organics-services"]</t>
  </si>
  <si>
    <t>RE-03</t>
  </si>
  <si>
    <t>["construction-and-demolition-services"]</t>
  </si>
  <si>
    <t>RE-04</t>
  </si>
  <si>
    <t>["construction-and-demolition-services",
"container-deposit-scheme-services-cds",
"hazardous-waste-services",
"landfill-services",
"municipal-resource-recovery-centre-and-transfer-station-services",
"organics-services",
"recycling-services-comingled",
"recycling-services-glass",
"residual-waste-services"]</t>
  </si>
  <si>
    <t>RE-05</t>
  </si>
  <si>
    <t>["e-waste-services",
"hazardous-waste-services"]</t>
  </si>
  <si>
    <t>RE-06</t>
  </si>
  <si>
    <t>["landfill-services"]</t>
  </si>
  <si>
    <t>RE-07</t>
  </si>
  <si>
    <t>["hazardous-waste-services", 
"landfill-services"]</t>
  </si>
  <si>
    <t>RE-08</t>
  </si>
  <si>
    <t>["metal-recycling-services"]</t>
  </si>
  <si>
    <t>RE-09</t>
  </si>
  <si>
    <t>["hazardous-waste-services", 
"organics-services",
"recycling-services-comingled"]</t>
  </si>
  <si>
    <t>RE-10</t>
  </si>
  <si>
    <t>RE-11</t>
  </si>
  <si>
    <t>["hazardous-waste-services", 
"landfill-services",
"organics-services"]</t>
  </si>
  <si>
    <t>RE-12</t>
  </si>
  <si>
    <t>RE-13</t>
  </si>
  <si>
    <t>["container-deposit-scheme-services-cds"]</t>
  </si>
  <si>
    <t>RE-14</t>
  </si>
  <si>
    <t>["e-waste-services",
"hazardous-waste-services",
"metal-recycling-services",
"organics-services",
"recycling-services-comingled",
"residual-waste-services"]</t>
  </si>
  <si>
    <t>RE-15</t>
  </si>
  <si>
    <t>RE-16</t>
  </si>
  <si>
    <t>["e-waste-services"]</t>
  </si>
  <si>
    <t>RE-17</t>
  </si>
  <si>
    <t>["organics-services",
"recycling-services-comingled",
"residual-waste-services"]</t>
  </si>
  <si>
    <t>RE-18</t>
  </si>
  <si>
    <t>RE-19</t>
  </si>
  <si>
    <t>["hazardous-waste-services"]</t>
  </si>
  <si>
    <t>RE-20</t>
  </si>
  <si>
    <t>RE-21</t>
  </si>
  <si>
    <t>RE-22</t>
  </si>
  <si>
    <t>[]</t>
  </si>
  <si>
    <t>RE-23</t>
  </si>
  <si>
    <t>RE-24</t>
  </si>
  <si>
    <t>["municipal-resource-recovery-centre-and-transfer-station-services",
"recycling-services-comingled",
"recycling-services-glass"]</t>
  </si>
  <si>
    <t>E-001</t>
  </si>
  <si>
    <t>no</t>
  </si>
  <si>
    <t>E-002</t>
  </si>
  <si>
    <t>E-003</t>
  </si>
  <si>
    <t>E-004</t>
  </si>
  <si>
    <t>E-005</t>
  </si>
  <si>
    <t>E-006</t>
  </si>
  <si>
    <t>E-007</t>
  </si>
  <si>
    <t>E-008</t>
  </si>
  <si>
    <t>E-009</t>
  </si>
  <si>
    <t>E-010</t>
  </si>
  <si>
    <t>E-011</t>
  </si>
  <si>
    <t>E-012</t>
  </si>
  <si>
    <t>E-013</t>
  </si>
  <si>
    <t>E-014</t>
  </si>
  <si>
    <t>E-015</t>
  </si>
  <si>
    <t>E-016</t>
  </si>
  <si>
    <t>E-017</t>
  </si>
  <si>
    <t>E-018</t>
  </si>
  <si>
    <t>E-019</t>
  </si>
  <si>
    <t>E-020</t>
  </si>
  <si>
    <t>E-021</t>
  </si>
  <si>
    <t>E-022</t>
  </si>
  <si>
    <t>E-023</t>
  </si>
  <si>
    <t>E-024</t>
  </si>
  <si>
    <t>E-025</t>
  </si>
  <si>
    <t>E-026</t>
  </si>
  <si>
    <t>E-027</t>
  </si>
  <si>
    <t>E-028</t>
  </si>
  <si>
    <t>E-029</t>
  </si>
  <si>
    <t>E-030</t>
  </si>
  <si>
    <t>E-031</t>
  </si>
  <si>
    <t>E-032</t>
  </si>
  <si>
    <t>E-033</t>
  </si>
  <si>
    <t>E-034</t>
  </si>
  <si>
    <t>E-035</t>
  </si>
  <si>
    <t>E-036</t>
  </si>
  <si>
    <t>E-037</t>
  </si>
  <si>
    <t>E-038</t>
  </si>
  <si>
    <t>E-039</t>
  </si>
  <si>
    <t>E-040</t>
  </si>
  <si>
    <t>E-041</t>
  </si>
  <si>
    <t>E-042</t>
  </si>
  <si>
    <t>E-043</t>
  </si>
  <si>
    <t>E-044</t>
  </si>
  <si>
    <t>E-045</t>
  </si>
  <si>
    <t>E-046</t>
  </si>
  <si>
    <t>E-047</t>
  </si>
  <si>
    <t>E-048</t>
  </si>
  <si>
    <t>E-049</t>
  </si>
  <si>
    <t>E-050</t>
  </si>
  <si>
    <t>E-051</t>
  </si>
  <si>
    <t>E-052</t>
  </si>
  <si>
    <t>E-053</t>
  </si>
  <si>
    <t>E-054</t>
  </si>
  <si>
    <t>E-055</t>
  </si>
  <si>
    <t>E-056</t>
  </si>
  <si>
    <t>E-057</t>
  </si>
  <si>
    <t>E-058</t>
  </si>
  <si>
    <t>E-059</t>
  </si>
  <si>
    <t>E-060</t>
  </si>
  <si>
    <t>E-061</t>
  </si>
  <si>
    <t>E-062</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</si>
  <si>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</si>
  <si>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</si>
  <si>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</si>
  <si>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</si>
  <si>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</si>
  <si>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</si>
  <si>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</si>
  <si>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</si>
  <si>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</si>
  <si>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</si>
  <si>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</si>
  <si>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</si>
  <si>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</si>
  <si>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</si>
  <si>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</si>
  <si>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</si>
  <si>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</si>
  <si>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</si>
  <si>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</si>
  <si>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</si>
  <si>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</si>
  <si>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</si>
  <si>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</si>
  <si>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</si>
  <si>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</si>
  <si>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</si>
  <si>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</si>
  <si>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</si>
  <si>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</si>
  <si>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</si>
  <si>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</si>
  <si>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</si>
  <si>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</si>
  <si>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</si>
  <si>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</si>
  <si>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</si>
  <si>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</si>
  <si>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</si>
  <si>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</si>
  <si>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</si>
  <si>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</si>
  <si>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</si>
  <si>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</si>
  <si>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</si>
  <si>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</si>
  <si>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</si>
  <si>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</si>
  <si>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</si>
  <si>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</si>
  <si>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</si>
  <si>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</si>
  <si>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</si>
  <si>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</si>
  <si>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</si>
  <si>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</si>
  <si>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</si>
  <si>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</si>
  <si>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</si>
  <si>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</si>
  <si>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</si>
  <si>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</si>
  <si>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</si>
  <si>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</si>
  <si>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</si>
  <si>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</si>
  <si>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</si>
  <si>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</si>
  <si>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</si>
  <si>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</si>
  <si>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</si>
  <si>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</si>
  <si>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</si>
  <si>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</si>
  <si>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</si>
  <si>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</si>
  <si>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</si>
  <si>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</si>
  <si>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</si>
  <si>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</si>
  <si>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</si>
  <si>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</si>
  <si>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</si>
  <si>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</si>
  <si>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</si>
  <si>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</si>
  <si>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</si>
  <si>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</si>
  <si>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</si>
  <si>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</si>
  <si>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</si>
  <si>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</si>
  <si>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</si>
  <si>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</si>
  <si>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</si>
  <si>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</si>
  <si>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</si>
  <si>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</si>
  <si>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</si>
  <si>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</si>
  <si>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</si>
  <si>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</si>
  <si>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</si>
  <si>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</si>
  <si>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</si>
  <si>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E-167</t>
  </si>
  <si>
    <t>E-168</t>
  </si>
  <si>
    <t>E-169</t>
  </si>
  <si>
    <t>E-170</t>
  </si>
  <si>
    <t>E-171</t>
  </si>
  <si>
    <t>E-172</t>
  </si>
  <si>
    <t>E-173</t>
  </si>
  <si>
    <t>E-174</t>
  </si>
  <si>
    <t>E-175</t>
  </si>
  <si>
    <t>E-176</t>
  </si>
  <si>
    <t>E-177</t>
  </si>
  <si>
    <t>E-178</t>
  </si>
  <si>
    <t>E-179</t>
  </si>
  <si>
    <t>E-180</t>
  </si>
  <si>
    <t>E-181</t>
  </si>
  <si>
    <t>E-182</t>
  </si>
  <si>
    <t>E-183</t>
  </si>
  <si>
    <t>E-184</t>
  </si>
  <si>
    <t>E-185</t>
  </si>
  <si>
    <t>E-186</t>
  </si>
  <si>
    <t>E-187</t>
  </si>
  <si>
    <t>E-188</t>
  </si>
  <si>
    <t>E-189</t>
  </si>
  <si>
    <t>E-190</t>
  </si>
  <si>
    <t>E-191</t>
  </si>
  <si>
    <t>E-192</t>
  </si>
  <si>
    <t>E-193</t>
  </si>
  <si>
    <t>E-194</t>
  </si>
  <si>
    <t>E-195</t>
  </si>
  <si>
    <t>E-196</t>
  </si>
  <si>
    <t>E-197</t>
  </si>
  <si>
    <t>E-198</t>
  </si>
  <si>
    <t>E-199</t>
  </si>
  <si>
    <t>E-200</t>
  </si>
  <si>
    <t>E-201</t>
  </si>
  <si>
    <t>E-202</t>
  </si>
  <si>
    <t>E-203</t>
  </si>
  <si>
    <t>E-204</t>
  </si>
  <si>
    <t>E-205</t>
  </si>
  <si>
    <t>E-206</t>
  </si>
  <si>
    <t>E-207</t>
  </si>
  <si>
    <t>E-208</t>
  </si>
  <si>
    <t>E-209</t>
  </si>
  <si>
    <t>E-210</t>
  </si>
  <si>
    <t>E-211</t>
  </si>
  <si>
    <t>E-212</t>
  </si>
  <si>
    <t>E-213</t>
  </si>
  <si>
    <t>E-214</t>
  </si>
  <si>
    <t>E-215</t>
  </si>
  <si>
    <t>E-216</t>
  </si>
  <si>
    <t>E-217</t>
  </si>
  <si>
    <t>E-218</t>
  </si>
  <si>
    <t>node-from</t>
  </si>
  <si>
    <t>frequency</t>
  </si>
  <si>
    <t>reported-services</t>
  </si>
  <si>
    <t>node-from-specialised-yes-no</t>
  </si>
  <si>
    <t>failure-point-yes-no</t>
  </si>
  <si>
    <t>failure-resilience-yes-no</t>
  </si>
  <si>
    <t>resilience-option</t>
  </si>
  <si>
    <t>alternative-entities</t>
  </si>
  <si>
    <t>resilience-commentary</t>
  </si>
  <si>
    <t>rv-failure-assessment</t>
  </si>
  <si>
    <t>rv-commentary</t>
  </si>
  <si>
    <t>rv-assigned-services</t>
  </si>
  <si>
    <t>rercc-plan-year</t>
  </si>
  <si>
    <t>`</t>
  </si>
  <si>
    <t>isRE_2024</t>
  </si>
  <si>
    <t>isRE_2025</t>
  </si>
  <si>
    <t>isRE_2026</t>
  </si>
  <si>
    <t>isRE_2027</t>
  </si>
  <si>
    <t>isRE_2028</t>
  </si>
  <si>
    <t>isRE_2029</t>
  </si>
  <si>
    <t>isRE_2030</t>
  </si>
  <si>
    <t>essential-waste-services</t>
  </si>
  <si>
    <t>essential-waste-streams</t>
  </si>
  <si>
    <t>node-to</t>
  </si>
  <si>
    <t>geographic-dependency</t>
  </si>
  <si>
    <t>failure-point-commentary</t>
  </si>
  <si>
    <t>commentary</t>
  </si>
  <si>
    <t>link-type</t>
  </si>
  <si>
    <t>question</t>
  </si>
  <si>
    <t>data-category</t>
  </si>
  <si>
    <t>potential-vis-usage</t>
  </si>
  <si>
    <t>vis-data-priority</t>
  </si>
  <si>
    <t>notes</t>
  </si>
  <si>
    <t>downstream</t>
  </si>
  <si>
    <t>link</t>
  </si>
  <si>
    <t>link coordinates</t>
  </si>
  <si>
    <t>core</t>
  </si>
  <si>
    <t>Mandatory for link specification</t>
  </si>
  <si>
    <t>data</t>
  </si>
  <si>
    <t>link style</t>
  </si>
  <si>
    <t>high</t>
  </si>
  <si>
    <t>Frequency entries should be clensed and standardised</t>
  </si>
  <si>
    <t>tooltip/modal info</t>
  </si>
  <si>
    <t>med</t>
  </si>
  <si>
    <t>Responses here are unstructured (but can be used as commentary) =&gt; Look to standardise (and/or clean) in 'rv-assigned-services', which should be a 'master list' that is shared with downstream rv-assigned-services.</t>
  </si>
  <si>
    <t>class</t>
  </si>
  <si>
    <t>node-from style</t>
  </si>
  <si>
    <t>Standardise answer (Yes, No, No response)</t>
  </si>
  <si>
    <t>link-end or node-from style</t>
  </si>
  <si>
    <t>Standardise answer (Yes, No, 'Partial', 'No response')</t>
  </si>
  <si>
    <t>low</t>
  </si>
  <si>
    <t>Standardise answer (Alterntive supplier, No, No response)</t>
  </si>
  <si>
    <t>nodes</t>
  </si>
  <si>
    <t>Responses should be transformed into an array of (existing/valid) 'entity names/ids'</t>
  </si>
  <si>
    <t>"Commentary" available as meta info. This seems to be related only to the 'resilience' part</t>
  </si>
  <si>
    <t>The reponses here are unclear as to what this 'means'., i.e. it is 'Yes', 'No', 'Partial', 'No response': but those don't seem to relate to an 'assessment'.
If it is meant to be some assessmentrating, they  could be standardised. This also should be compared/presented alongside 'failure-point-yes-no'</t>
  </si>
  <si>
    <t>"Commentary" available as meta info</t>
  </si>
  <si>
    <t>node-to layout</t>
  </si>
  <si>
    <t>Standardised categorisation. Can be extracted and/or from set schema (check with RV for the 'master list', however 'extracted' is fine for exploration).
Also check if there can be more than one service (this will be catered for as an array)</t>
  </si>
  <si>
    <t>??</t>
  </si>
  <si>
    <t>low/unused</t>
  </si>
  <si>
    <t>No/limited response. Assume this is meant to be a 'year' (YYYY). Field usage TBC</t>
  </si>
  <si>
    <t>upstream</t>
  </si>
  <si>
    <t xml:space="preserve">Responses here are unstructured (but can be used as commentary) =&gt; Look to standardise (and/or clean) in 'rv-assigned-services', which should be a 'master list' that is shared with upstream rv-assigned-services.
Note: whether a services is provided downstream (like here) or recieved from upstream (above) is determined by the link direction. An 'as standard' list as possible across all 'services' should be the (best case) aim. </t>
  </si>
  <si>
    <t>Standardise answer (Yes, No, No response). Not sure what "(Alternate service)" does here, but if its an option to add to this field, see suggsestion below</t>
  </si>
  <si>
    <t>Although it is not used (and may never be), suggest adding alternative service (customer) as a list/array of entity names/ids. This is partily because the prior question suggests alternative services may be sought after. For now, this is included in the visualisation data structure but unused.</t>
  </si>
  <si>
    <t>To confirm what usage/information is expected. The only response here is 'alternative supplier', so the option has been initially  assumed to correspond to the resilience-option list</t>
  </si>
  <si>
    <t>Check if this is an RV 'notes' or from the RE. If RV than this should be assigned to 'rv-commentary'. Either way, this response doesn't seem very useful/consistent</t>
  </si>
  <si>
    <t xml:space="preserve">This presumebly can be standardised as its done by RV (see above)/ The 'schema-re-service' table is used to do this with the existing classifications </t>
  </si>
  <si>
    <t>name</t>
  </si>
  <si>
    <t>responsible-entity-array</t>
  </si>
  <si>
    <t>responsible-entity-list</t>
  </si>
  <si>
    <t>Landfill services</t>
  </si>
  <si>
    <t>Fuzzy Sugar Glider, Lazy Sugar Glider, Red Lyrebird, Lazy Lyrebird, Red Possum</t>
  </si>
  <si>
    <t>Hazardous waste services</t>
  </si>
  <si>
    <t>Fuzzy Sugar Glider, Lazy Sugar Glider, Noisy Quokka, Spotted Koala, Golden Possum, Red Possum, Wild Cassowary</t>
  </si>
  <si>
    <t>Residual waste services</t>
  </si>
  <si>
    <t>Fuzzy Sugar Glider, Noisy Quokka, Spotted Koala, Swift Blue-tongue Skink, Secure waste destruction services, Fuzzy Sugar Glider, Spotted Koala</t>
  </si>
  <si>
    <t>Thermal waste to energy services</t>
  </si>
  <si>
    <t>E-waste services</t>
  </si>
  <si>
    <t>Spotted Koala, Striped Koala, Golden Possum</t>
  </si>
  <si>
    <t>Long term waste containment services</t>
  </si>
  <si>
    <t>Construction and demolition services</t>
  </si>
  <si>
    <t>Spotted Koala, Striped Frilled Neck Lizard,
Noisy Dingo, Silent Rosella</t>
  </si>
  <si>
    <t>Metal recycling services</t>
  </si>
  <si>
    <t>Spotted Koala, Striped Frilled Neck Lizard, Noisy Dingo, Silent Rosella</t>
  </si>
  <si>
    <t>Municipal resource recovery centre &amp; transfer station services</t>
  </si>
  <si>
    <t>Fuzzy Sugar Glider, Yellow Australian Magpie</t>
  </si>
  <si>
    <t>Recycling services (comingled)</t>
  </si>
  <si>
    <t>Fuzzy Sugar Glider, Noisy Quokka, Spotted Koala, Swift Blue-tongue Skink, Yellow Australian Magpie</t>
  </si>
  <si>
    <t>Organics services</t>
  </si>
  <si>
    <t>Fuzzy Sugar Glider, Noisy Quokka, Spotted Koala, Swift Blue-tongue Skink, Wild Kangaroo, Wild Numbat, Clever Frilled Neck Lizard, Red Possum,Public Waste,Fuzzy Sugar Glider</t>
  </si>
  <si>
    <t>Public waste services</t>
  </si>
  <si>
    <t>Secure waste destruction services</t>
  </si>
  <si>
    <t>Recycling services (glass)</t>
  </si>
  <si>
    <t>Blue Lyrebird, Fuzzy Sugar Glider, Noisy Quokka, Yellow Australian Magpie</t>
  </si>
  <si>
    <t>Container deposit scheme services (CDS)</t>
  </si>
  <si>
    <t>Fuzzy Sugar Glider, Spotted Cockatoo, Tiny Platypus, Wild Tasmanian Devil</t>
  </si>
  <si>
    <t>Waste disposal</t>
  </si>
  <si>
    <t>Waste processing</t>
  </si>
  <si>
    <t xml:space="preserve">Response of 'partially' </t>
  </si>
  <si>
    <t>This is included as it is a potential response for a resilience question</t>
  </si>
  <si>
    <t>No response indicated</t>
  </si>
  <si>
    <t>time-between-services</t>
  </si>
  <si>
    <t>unit</t>
  </si>
  <si>
    <t>scale</t>
  </si>
  <si>
    <t>Service provided daily</t>
  </si>
  <si>
    <t>day</t>
  </si>
  <si>
    <t>Service provided weekly</t>
  </si>
  <si>
    <t>week</t>
  </si>
  <si>
    <t>Service provided monthly</t>
  </si>
  <si>
    <t>month</t>
  </si>
  <si>
    <t>Service provided every 3 months</t>
  </si>
  <si>
    <t>Service provided every 4 months</t>
  </si>
  <si>
    <t>Biannual</t>
  </si>
  <si>
    <t>Service provided every 6 months</t>
  </si>
  <si>
    <t>Service provided every 12 months</t>
  </si>
  <si>
    <t>Ad hoc</t>
  </si>
  <si>
    <t>Service provided on an ad-hoc (as required/needed) basis</t>
  </si>
  <si>
    <t>na</t>
  </si>
  <si>
    <t>Unknown</t>
  </si>
  <si>
    <t>Service frequency is  ambiguously provided as but "regular" or "ongoing"</t>
  </si>
  <si>
    <t>Service frequency has not been provided</t>
  </si>
  <si>
    <t>Service no longer provided</t>
  </si>
  <si>
    <t xml:space="preserve">This may be excluded altogether, or if included, needs to be denoted </t>
  </si>
  <si>
    <t>define "BC" in description</t>
  </si>
  <si>
    <t>Should define a 'region'</t>
  </si>
  <si>
    <t>Supporting tables</t>
  </si>
  <si>
    <r>
      <rPr>
        <rFont val="Roboto"/>
        <color theme="1"/>
      </rPr>
      <t xml:space="preserve">The following tables contain intermediate analysis and data cleansing maps. </t>
    </r>
    <r>
      <rPr>
        <rFont val="Roboto"/>
        <b/>
        <color theme="1"/>
      </rPr>
      <t xml:space="preserve">These tables are not loaded to the Services Map visualisation </t>
    </r>
    <r>
      <rPr>
        <rFont val="Roboto"/>
        <color theme="1"/>
      </rPr>
      <t>and may be superseded by other methods of cleansing. Moreover, these are demonstrations of the types of wranglin steps required to generate structured data input tables</t>
    </r>
  </si>
  <si>
    <t>data-cleansing-maps</t>
  </si>
  <si>
    <t>analysis _non-RE-nodes</t>
  </si>
  <si>
    <t>analysis_reported_services</t>
  </si>
  <si>
    <t>analysis-rv-services</t>
  </si>
  <si>
    <t>Data field cleansing</t>
  </si>
  <si>
    <t>This page contains a series of tables that make mapping/cleansing rules used explicit. This process can be incorporated into existing data cleansing/prep piplelines. The primary aim is here is to standardise 'options' (i.e. the 'schema') of data fields prior to being loaded into any visualisation tool/script.</t>
  </si>
  <si>
    <t>"frequency" transform mapping</t>
  </si>
  <si>
    <t>"Yes-No" mapping</t>
  </si>
  <si>
    <t>"resilience-options"</t>
  </si>
  <si>
    <t>"alternative-suppliers" invalid repsonse</t>
  </si>
  <si>
    <t>&gt;</t>
  </si>
  <si>
    <t>Extracting nodes ('entities) from link data</t>
  </si>
  <si>
    <t xml:space="preserve">This sheet contains output workings of 'merging' supplier and customers as nodes from the source 'link data'. The purpose here is to produce a list non-RE entities from the link information, for producing the 'node-non-RE' table
Note: The output list of all link entities is replicated in the 'node-non-RE' table: only that table is  required. And accordingly, the extra lists here are kept as extra information. </t>
  </si>
  <si>
    <t/>
  </si>
  <si>
    <t>Extracting Responsible Entity 'service' categorisation from link data</t>
  </si>
  <si>
    <r>
      <rPr>
        <rFont val="Roboto"/>
        <color theme="1"/>
        <sz val="8.0"/>
      </rPr>
      <t xml:space="preserve">This page is used to explore the structure of "services" reported by Responsible Entities either upstream ('"Service provided") or downstream ("What is the waste service managed to the end customer?"). In both cases, this appears to be an unstructured response field.
</t>
    </r>
    <r>
      <rPr>
        <rFont val="Roboto"/>
        <b/>
        <color theme="1"/>
        <sz val="8.0"/>
      </rPr>
      <t xml:space="preserve">Ideally, these would be translated to a structured/standardised list, which may be what the 'rv-services' fields are attempting to do - this will be clarified with RV. "As is", these responses are too unstructure and "open", and accordingly, this is treated as 'commentary' / further detail that could be presented alongside a structured service' categorisation.
</t>
    </r>
    <r>
      <rPr>
        <rFont val="Roboto"/>
        <color theme="1"/>
        <sz val="8.0"/>
      </rPr>
      <t xml:space="preserve">
Note: an assumption from observing these assignments is that there can only be "one service per link" (which seems reasonable). Services for every node should be aggregated and made available as meta info (and/or for clustering) in the visualization</t>
    </r>
  </si>
  <si>
    <t>Extracting RV assigned 'service' categorisation from link data</t>
  </si>
  <si>
    <t>This sheet contains workings to extract a (temporary) list/schema of 'services' that are assigned by RV in both the 'upstream' and 'downstream' datsets (i.e in fields titled 'RV supplier service categorisation' and .'RV Categorisation of RE service to customer'. The working assumption is that these categorisation come from a schema/master list, and are likely to be sub-categories of the 'essential-waste-services'.  This 'master list' will be sought and used.
The temporary use of this extracted version will a) cover the needs of the initial dataset (i.e. for exploration) and b) is useful because there seems to be inconsistencies in the categorisation that should be cleansed in the data preparation. The tables below for 'All downstream/upstream' links double as mapping tables to fix these inconsistencies. 
Note: Once source (upstream/downstream) service entries are cleansed, and the 'master service list' is integrated, this will not be necssary</t>
  </si>
  <si>
    <t xml:space="preserve">All (extracted) services </t>
  </si>
  <si>
    <t>All 'as reported' services links</t>
  </si>
  <si>
    <t>Mapped to 'service'</t>
  </si>
  <si>
    <t>Services from downstream links</t>
  </si>
  <si>
    <t>Services from upstream links</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</si>
</sst>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scheme val="minor"/>
    </font>
    <font>
      <sz val="8.0"/>
      <color theme="1"/>
      <name val="Roboto"/>
    </font>
    <font>
      <b/>
      <sz val="20.0"/>
      <color theme="1"/>
      <name val="Roboto"/>
    </font>
    <font>
      <sz val="16.0"/>
      <color theme="1"/>
      <name val="Roboto"/>
    </font>
    <font>
      <color theme="1"/>
      <name val="Roboto"/>
    </font>
    <font>
      <b/>
      <sz val="60.0"/>
      <color theme="1"/>
      <name val="Roboto"/>
    </font>
    <font>
      <b/>
      <sz val="8.0"/>
      <color theme="1"/>
      <name val="Roboto"/>
    </font>
    <font>
      <b/>
      <sz val="8.0"/>
      <color rgb="FFFFFFFF"/>
      <name val="Roboto"/>
    </font>
    <font>
      <sz val="8.0"/>
      <color rgb="FF000000"/>
      <name val="Roboto"/>
    </font>
    <font>
      <b/>
      <sz val="8.0"/>
      <color rgb="FF8E7CC3"/>
      <name val="Roboto"/>
    </font>
    <font>
      <i/>
      <sz val="6.0"/>
      <color theme="1"/>
      <name val="Roboto"/>
    </font>
    <font>
      <i/>
      <sz val="8.0"/>
      <color theme="1"/>
      <name val="Roboto"/>
    </font>
    <font>
      <color theme="1"/>
      <name val="Arial"/>
      <scheme val="minor"/>
    </font>
    <font>
      <sz val="8.0"/>
      <color rgb="FFFFFFFF"/>
      <name val="Roboto"/>
    </font>
    <font>
      <sz val="8.0"/>
      <color rgb="FF1155CC"/>
      <name val="Roboto"/>
    </font>
    <font>
      <sz val="8.0"/>
      <color rgb="FF9900FF"/>
      <name val="Roboto"/>
    </font>
    <font>
      <sz val="8.0"/>
      <color rgb="FFFF6D01"/>
      <name val="Roboto"/>
    </font>
    <font>
      <sz val="8.0"/>
      <color theme="8"/>
      <name val="Roboto"/>
    </font>
    <font>
      <sz val="8.0"/>
      <color rgb="FF4282D0"/>
      <name val="Roboto"/>
    </font>
    <font>
      <b/>
      <sz val="19.0"/>
      <color theme="1"/>
      <name val="Roboto"/>
    </font>
    <font>
      <sz val="8.0"/>
      <color rgb="FFFF9900"/>
      <name val="Roboto"/>
    </font>
    <font>
      <b/>
      <sz val="17.0"/>
      <color theme="1"/>
      <name val="Roboto"/>
    </font>
    <font>
      <sz val="8.0"/>
      <color rgb="FF666666"/>
      <name val="Roboto"/>
    </font>
    <font>
      <sz val="8.0"/>
      <color rgb="FF0B5394"/>
      <name val="Roboto"/>
    </font>
    <font>
      <b/>
      <sz val="8.0"/>
      <color rgb="FF0B5394"/>
      <name val="Roboto"/>
    </font>
    <font>
      <sz val="8.0"/>
      <color rgb="FFE36C00"/>
      <name val="Roboto"/>
    </font>
    <font>
      <b/>
      <sz val="8.0"/>
      <color rgb="FFE36C00"/>
      <name val="Roboto"/>
    </font>
    <font>
      <i/>
      <sz val="8.0"/>
      <color rgb="FFFFFFFF"/>
      <name val="Roboto"/>
    </font>
  </fonts>
  <fills count="15">
    <fill>
      <patternFill patternType="none"/>
    </fill>
    <fill>
      <patternFill patternType="lightGray"/>
    </fill>
    <fill>
      <patternFill patternType="solid">
        <fgColor rgb="FF17365D"/>
        <bgColor rgb="FF17365D"/>
      </patternFill>
    </fill>
    <fill>
      <patternFill patternType="solid">
        <fgColor rgb="FFC0D6EF"/>
        <bgColor rgb="FFC0D6EF"/>
      </patternFill>
    </fill>
    <fill>
      <patternFill patternType="solid">
        <fgColor rgb="FFFFFF00"/>
        <bgColor rgb="FFFFFF00"/>
      </patternFill>
    </fill>
    <fill>
      <patternFill patternType="solid">
        <fgColor rgb="FFE36C00"/>
        <bgColor rgb="FFE36C00"/>
      </patternFill>
    </fill>
    <fill>
      <patternFill patternType="solid">
        <fgColor rgb="FFFFE1C6"/>
        <bgColor rgb="FFFFE1C6"/>
      </patternFill>
    </fill>
    <fill>
      <patternFill patternType="solid">
        <fgColor rgb="FFFFFFFF"/>
        <bgColor rgb="FFFFFFFF"/>
      </patternFill>
    </fill>
    <fill>
      <patternFill patternType="solid">
        <fgColor rgb="FF000000"/>
        <bgColor rgb="FF000000"/>
      </patternFill>
    </fill>
    <fill>
      <patternFill patternType="solid">
        <fgColor rgb="FFEFEFEF"/>
        <bgColor rgb="FFEFEFEF"/>
      </patternFill>
    </fill>
    <fill>
      <patternFill patternType="solid">
        <fgColor rgb="FFF3F3F3"/>
        <bgColor rgb="FFF3F3F3"/>
      </patternFill>
    </fill>
    <fill>
      <patternFill patternType="solid">
        <fgColor rgb="FFCCCCCC"/>
        <bgColor rgb="FFCCCCCC"/>
      </patternFill>
    </fill>
    <fill>
      <patternFill patternType="solid">
        <fgColor rgb="FFD9D9D9"/>
        <bgColor rgb="FFD9D9D9"/>
      </patternFill>
    </fill>
    <fill>
      <patternFill patternType="solid">
        <fgColor rgb="FFFFD966"/>
        <bgColor rgb="FFFFD966"/>
      </patternFill>
    </fill>
    <fill>
      <patternFill patternType="solid">
        <fgColor rgb="FF999999"/>
        <bgColor rgb="FF999999"/>
      </patternFill>
    </fill>
  </fills>
  <borders count="30">
    <border/>
    <border>
      <bottom style="thin">
        <color rgb="FF000000"/>
      </bottom>
    </border>
    <border>
      <top style="thin">
        <color rgb="FF4282D0"/>
      </top>
      <bottom style="thin">
        <color rgb="FF4282D0"/>
      </bottom>
    </border>
    <border>
      <left style="thin">
        <color rgb="FF4282D0"/>
      </left>
      <top style="thin">
        <color rgb="FF4282D0"/>
      </top>
      <bottom style="thin">
        <color rgb="FF4282D0"/>
      </bottom>
    </border>
    <border>
      <right style="thin">
        <color rgb="FF000000"/>
      </right>
      <top style="thin">
        <color rgb="FF4282D0"/>
      </top>
      <bottom style="thin">
        <color rgb="FF4282D0"/>
      </bottom>
    </border>
    <border>
      <top style="thin">
        <color rgb="FF4282D0"/>
      </top>
      <bottom style="thin">
        <color rgb="FFFFA655"/>
      </bottom>
    </border>
    <border>
      <right style="thin">
        <color rgb="FF4282D0"/>
      </right>
      <top style="thin">
        <color rgb="FF4282D0"/>
      </top>
      <bottom style="thin">
        <color rgb="FF4282D0"/>
      </bottom>
    </border>
    <border>
      <top style="thin">
        <color rgb="FFFFA655"/>
      </top>
      <bottom style="thin">
        <color rgb="FFFFA655"/>
      </bottom>
    </border>
    <border>
      <top style="thin">
        <color rgb="FFFFA655"/>
      </top>
      <bottom style="thin">
        <color rgb="FF4282D0"/>
      </bottom>
    </border>
    <border>
      <right style="thin">
        <color rgb="FF4282D0"/>
      </right>
      <top style="thin">
        <color rgb="FFFFA655"/>
      </top>
      <bottom style="thin">
        <color rgb="FF4282D0"/>
      </bottom>
    </border>
    <border>
      <right style="thin">
        <color rgb="FF4282D0"/>
      </right>
      <top style="thin">
        <color rgb="FF4282D0"/>
      </top>
      <bottom style="thin">
        <color rgb="FFFFA655"/>
      </bottom>
    </border>
    <border>
      <bottom style="medium">
        <color rgb="FF000000"/>
      </bottom>
    </border>
    <border>
      <top style="thin">
        <color rgb="FF000000"/>
      </top>
      <bottom style="thin">
        <color rgb="FF000000"/>
      </bottom>
    </border>
    <border>
      <bottom style="dotted">
        <color rgb="FF000000"/>
      </bottom>
    </border>
    <border>
      <top style="dotted">
        <color rgb="FF000000"/>
      </top>
      <bottom style="dotted">
        <color rgb="FF000000"/>
      </bottom>
    </border>
    <border>
      <top style="dotted">
        <color rgb="FF000000"/>
      </top>
      <bottom style="medium">
        <color rgb="FF000000"/>
      </bottom>
    </border>
    <border>
      <top style="medium">
        <color rgb="FF000000"/>
      </top>
      <bottom style="dotted">
        <color rgb="FF000000"/>
      </bottom>
    </border>
    <border>
      <top style="dotted">
        <color rgb="FF000000"/>
      </top>
      <bottom style="thin">
        <color rgb="FF000000"/>
      </bottom>
    </border>
    <border>
      <top style="dotted">
        <color rgb="FF000000"/>
      </top>
    </border>
    <border>
      <bottom style="dotted">
        <color rgb="FFCCCCCC"/>
      </bottom>
    </border>
    <border>
      <top style="dotted">
        <color rgb="FFCCCCCC"/>
      </top>
      <bottom style="dotted">
        <color rgb="FFCCCCCC"/>
      </bottom>
    </border>
    <border>
      <top style="dotted">
        <color rgb="FFCCCCCC"/>
      </top>
      <bottom style="thin">
        <color rgb="FF000000"/>
      </bottom>
    </border>
    <border>
      <top style="dotted">
        <color rgb="FFCCCCCC"/>
      </top>
      <bottom style="thin">
        <color rgb="FFFFFFFF"/>
      </bottom>
    </border>
    <border>
      <top style="dotted">
        <color rgb="FFCCCCCC"/>
      </top>
    </border>
    <border>
      <left style="dotted">
        <color rgb="FF000000"/>
      </left>
      <top style="dotted">
        <color rgb="FF000000"/>
      </top>
    </border>
    <border>
      <right style="dotted">
        <color rgb="FF000000"/>
      </right>
      <top style="dotted">
        <color rgb="FF000000"/>
      </top>
    </border>
    <border>
      <left style="dotted">
        <color rgb="FF000000"/>
      </left>
    </border>
    <border>
      <right style="dotted">
        <color rgb="FF000000"/>
      </right>
    </border>
    <border>
      <left style="dotted">
        <color rgb="FF000000"/>
      </left>
      <bottom style="dotted">
        <color rgb="FF000000"/>
      </bottom>
    </border>
    <border>
      <right style="dotted">
        <color rgb="FF000000"/>
      </right>
      <bottom style="dotted">
        <color rgb="FF000000"/>
      </bottom>
    </border>
  </borders>
  <cellStyleXfs count="1">
    <xf borderId="0" fillId="0" fontId="0" numFmtId="0" applyAlignment="1" applyFont="1"/>
  </cellStyleXfs>
  <cellXfs count="250">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vertical="top"/>
    </xf>
    <xf borderId="0" fillId="0" fontId="3" numFmtId="0" xfId="0" applyAlignment="1" applyFont="1">
      <alignment readingOrder="0" shrinkToFit="0" vertical="top" wrapText="0"/>
    </xf>
    <xf borderId="0" fillId="0" fontId="3" numFmtId="0" xfId="0" applyAlignment="1" applyFon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readingOrder="0"/>
    </xf>
    <xf borderId="0" fillId="0" fontId="4" numFmtId="0" xfId="0" applyAlignment="1" applyFont="1">
      <alignment readingOrder="0"/>
    </xf>
    <xf borderId="0" fillId="0" fontId="4" numFmtId="0" xfId="0" applyFont="1"/>
    <xf borderId="0" fillId="0" fontId="5" numFmtId="0" xfId="0" applyAlignment="1" applyFont="1">
      <alignment readingOrder="0"/>
    </xf>
    <xf borderId="0" fillId="0" fontId="4" numFmtId="0" xfId="0" applyAlignment="1" applyFont="1">
      <alignment readingOrder="0" shrinkToFit="0" wrapText="1"/>
    </xf>
    <xf borderId="1" fillId="0" fontId="6" numFmtId="0" xfId="0" applyAlignment="1" applyBorder="1" applyFont="1">
      <alignment readingOrder="0"/>
    </xf>
    <xf borderId="1" fillId="0" fontId="4" numFmtId="0" xfId="0" applyBorder="1" applyFont="1"/>
    <xf borderId="2" fillId="2" fontId="7" numFmtId="0" xfId="0" applyAlignment="1" applyBorder="1" applyFill="1" applyFont="1">
      <alignment readingOrder="0" shrinkToFit="0" vertical="top" wrapText="1"/>
    </xf>
    <xf borderId="3" fillId="3" fontId="8" numFmtId="0" xfId="0" applyAlignment="1" applyBorder="1" applyFill="1" applyFont="1">
      <alignment readingOrder="0" shrinkToFit="0" vertical="top" wrapText="1"/>
    </xf>
    <xf borderId="2" fillId="3" fontId="8" numFmtId="0" xfId="0" applyAlignment="1" applyBorder="1" applyFont="1">
      <alignment readingOrder="0" shrinkToFit="0" vertical="top" wrapText="1"/>
    </xf>
    <xf borderId="2" fillId="3" fontId="8" numFmtId="0" xfId="0" applyAlignment="1" applyBorder="1" applyFont="1">
      <alignment shrinkToFit="0" vertical="top" wrapText="1"/>
    </xf>
    <xf borderId="2" fillId="3" fontId="8" numFmtId="0" xfId="0" applyAlignment="1" applyBorder="1" applyFont="1">
      <alignment vertical="top"/>
    </xf>
    <xf borderId="3" fillId="0" fontId="8" numFmtId="0" xfId="0" applyAlignment="1" applyBorder="1" applyFont="1">
      <alignment readingOrder="0" shrinkToFit="0" vertical="top" wrapText="1"/>
    </xf>
    <xf borderId="2" fillId="0" fontId="8" numFmtId="0" xfId="0" applyAlignment="1" applyBorder="1" applyFont="1">
      <alignment readingOrder="0" shrinkToFit="0" vertical="top" wrapText="1"/>
    </xf>
    <xf borderId="2" fillId="0" fontId="8" numFmtId="0" xfId="0" applyAlignment="1" applyBorder="1" applyFont="1">
      <alignment shrinkToFit="0" vertical="top" wrapText="1"/>
    </xf>
    <xf borderId="2" fillId="0" fontId="8" numFmtId="0" xfId="0" applyAlignment="1" applyBorder="1" applyFont="1">
      <alignment vertical="top"/>
    </xf>
    <xf borderId="2" fillId="0" fontId="8" numFmtId="0" xfId="0" applyAlignment="1" applyBorder="1" applyFont="1">
      <alignment shrinkToFit="0" vertical="top" wrapText="0"/>
    </xf>
    <xf borderId="2" fillId="3" fontId="8" numFmtId="0" xfId="0" applyAlignment="1" applyBorder="1" applyFont="1">
      <alignment shrinkToFit="0" vertical="top" wrapText="0"/>
    </xf>
    <xf borderId="2" fillId="4" fontId="8" numFmtId="0" xfId="0" applyAlignment="1" applyBorder="1" applyFill="1" applyFont="1">
      <alignment readingOrder="0" shrinkToFit="0" vertical="top" wrapText="1"/>
    </xf>
    <xf borderId="2" fillId="0" fontId="8" numFmtId="0" xfId="0" applyAlignment="1" applyBorder="1" applyFont="1">
      <alignment readingOrder="0" shrinkToFit="0" vertical="bottom" wrapText="1"/>
    </xf>
    <xf borderId="4" fillId="4" fontId="8" numFmtId="0" xfId="0" applyAlignment="1" applyBorder="1" applyFont="1">
      <alignment readingOrder="0" shrinkToFit="0" vertical="bottom" wrapText="1"/>
    </xf>
    <xf borderId="2" fillId="3" fontId="8" numFmtId="0" xfId="0" applyAlignment="1" applyBorder="1" applyFont="1">
      <alignment readingOrder="0" shrinkToFit="0" vertical="bottom" wrapText="1"/>
    </xf>
    <xf borderId="2" fillId="3" fontId="8" numFmtId="0" xfId="0" applyAlignment="1" applyBorder="1" applyFont="1">
      <alignment readingOrder="0" shrinkToFit="0" vertical="top" wrapText="0"/>
    </xf>
    <xf borderId="2" fillId="0" fontId="8" numFmtId="0" xfId="0" applyAlignment="1" applyBorder="1" applyFont="1">
      <alignment readingOrder="0" shrinkToFit="0" vertical="top" wrapText="0"/>
    </xf>
    <xf borderId="5" fillId="5" fontId="6" numFmtId="0" xfId="0" applyAlignment="1" applyBorder="1" applyFill="1" applyFont="1">
      <alignment readingOrder="0" shrinkToFit="0" vertical="top" wrapText="1"/>
    </xf>
    <xf borderId="2" fillId="5" fontId="6" numFmtId="0" xfId="0" applyAlignment="1" applyBorder="1" applyFont="1">
      <alignment readingOrder="0" shrinkToFit="0" vertical="top" wrapText="1"/>
    </xf>
    <xf borderId="2" fillId="4" fontId="6" numFmtId="0" xfId="0" applyAlignment="1" applyBorder="1" applyFont="1">
      <alignment readingOrder="0" shrinkToFit="0" vertical="top" wrapText="1"/>
    </xf>
    <xf borderId="6" fillId="5" fontId="6" numFmtId="0" xfId="0" applyAlignment="1" applyBorder="1" applyFont="1">
      <alignment readingOrder="0" shrinkToFit="0" vertical="top" wrapText="1"/>
    </xf>
    <xf borderId="3" fillId="6" fontId="8" numFmtId="0" xfId="0" applyAlignment="1" applyBorder="1" applyFill="1" applyFont="1">
      <alignment readingOrder="0" shrinkToFit="0" vertical="top" wrapText="1"/>
    </xf>
    <xf borderId="7" fillId="6" fontId="8" numFmtId="0" xfId="0" applyAlignment="1" applyBorder="1" applyFont="1">
      <alignment readingOrder="0" shrinkToFit="0" vertical="top" wrapText="1"/>
    </xf>
    <xf borderId="2" fillId="6" fontId="8" numFmtId="0" xfId="0" applyAlignment="1" applyBorder="1" applyFont="1">
      <alignment readingOrder="0" shrinkToFit="0" vertical="top" wrapText="1"/>
    </xf>
    <xf borderId="8" fillId="6" fontId="8" numFmtId="0" xfId="0" applyAlignment="1" applyBorder="1" applyFont="1">
      <alignment shrinkToFit="0" vertical="top" wrapText="1"/>
    </xf>
    <xf borderId="8" fillId="6" fontId="8" numFmtId="0" xfId="0" applyAlignment="1" applyBorder="1" applyFont="1">
      <alignment readingOrder="0" shrinkToFit="0" vertical="top" wrapText="1"/>
    </xf>
    <xf borderId="9" fillId="6" fontId="8" numFmtId="0" xfId="0" applyAlignment="1" applyBorder="1" applyFont="1">
      <alignment shrinkToFit="0" vertical="top" wrapText="1"/>
    </xf>
    <xf borderId="7" fillId="0" fontId="8" numFmtId="0" xfId="0" applyAlignment="1" applyBorder="1" applyFont="1">
      <alignment readingOrder="0" shrinkToFit="0" vertical="top" wrapText="1"/>
    </xf>
    <xf borderId="8" fillId="0" fontId="8" numFmtId="0" xfId="0" applyAlignment="1" applyBorder="1" applyFont="1">
      <alignment readingOrder="0" shrinkToFit="0" vertical="top" wrapText="1"/>
    </xf>
    <xf borderId="6" fillId="0" fontId="8" numFmtId="0" xfId="0" applyAlignment="1" applyBorder="1" applyFont="1">
      <alignment shrinkToFit="0" vertical="top" wrapText="1"/>
    </xf>
    <xf borderId="2" fillId="6" fontId="8" numFmtId="0" xfId="0" applyAlignment="1" applyBorder="1" applyFont="1">
      <alignment shrinkToFit="0" vertical="top" wrapText="1"/>
    </xf>
    <xf borderId="6" fillId="6" fontId="8" numFmtId="0" xfId="0" applyAlignment="1" applyBorder="1" applyFont="1">
      <alignment shrinkToFit="0" vertical="top" wrapText="1"/>
    </xf>
    <xf borderId="2" fillId="7" fontId="8" numFmtId="0" xfId="0" applyAlignment="1" applyBorder="1" applyFill="1" applyFont="1">
      <alignment readingOrder="0" shrinkToFit="0" vertical="top" wrapText="1"/>
    </xf>
    <xf borderId="3" fillId="7" fontId="8" numFmtId="0" xfId="0" applyAlignment="1" applyBorder="1" applyFont="1">
      <alignment readingOrder="0" shrinkToFit="0" vertical="top" wrapText="1"/>
    </xf>
    <xf borderId="2" fillId="7" fontId="8" numFmtId="0" xfId="0" applyAlignment="1" applyBorder="1" applyFont="1">
      <alignment shrinkToFit="0" vertical="top" wrapText="1"/>
    </xf>
    <xf borderId="6" fillId="7" fontId="8" numFmtId="0" xfId="0" applyAlignment="1" applyBorder="1" applyFont="1">
      <alignment shrinkToFit="0" vertical="top" wrapText="1"/>
    </xf>
    <xf borderId="7" fillId="6" fontId="8" numFmtId="0" xfId="0" applyAlignment="1" applyBorder="1" applyFont="1">
      <alignment readingOrder="0" shrinkToFit="0" vertical="bottom" wrapText="1"/>
    </xf>
    <xf borderId="7" fillId="7" fontId="8" numFmtId="0" xfId="0" applyAlignment="1" applyBorder="1" applyFont="1">
      <alignment readingOrder="0" shrinkToFit="0" vertical="top" wrapText="1"/>
    </xf>
    <xf borderId="5" fillId="6" fontId="8" numFmtId="0" xfId="0" applyAlignment="1" applyBorder="1" applyFont="1">
      <alignment readingOrder="0" shrinkToFit="0" vertical="top" wrapText="1"/>
    </xf>
    <xf borderId="5" fillId="6" fontId="8" numFmtId="0" xfId="0" applyAlignment="1" applyBorder="1" applyFont="1">
      <alignment shrinkToFit="0" vertical="top" wrapText="1"/>
    </xf>
    <xf borderId="10" fillId="6" fontId="8" numFmtId="0" xfId="0" applyAlignment="1" applyBorder="1" applyFont="1">
      <alignment shrinkToFit="0" vertical="top" wrapText="1"/>
    </xf>
    <xf borderId="2" fillId="0" fontId="8" numFmtId="0" xfId="0" applyAlignment="1" applyBorder="1" applyFont="1">
      <alignment horizontal="left" readingOrder="0" shrinkToFit="0" vertical="top" wrapText="1"/>
    </xf>
    <xf borderId="0" fillId="0" fontId="4" numFmtId="0" xfId="0" applyAlignment="1" applyFont="1">
      <alignment readingOrder="0" shrinkToFit="0" vertical="center" wrapText="1"/>
    </xf>
    <xf borderId="0" fillId="0" fontId="4" numFmtId="0" xfId="0" applyAlignment="1" applyFont="1">
      <alignment shrinkToFit="0" vertical="center" wrapText="1"/>
    </xf>
    <xf borderId="11" fillId="0" fontId="6" numFmtId="0" xfId="0" applyAlignment="1" applyBorder="1" applyFont="1">
      <alignment readingOrder="0" shrinkToFit="0" vertical="center" wrapText="1"/>
    </xf>
    <xf borderId="1" fillId="0" fontId="1" numFmtId="0" xfId="0" applyAlignment="1" applyBorder="1" applyFont="1">
      <alignment readingOrder="0" shrinkToFit="0" vertical="top" wrapText="1"/>
    </xf>
    <xf borderId="12" fillId="0" fontId="1" numFmtId="0" xfId="0" applyAlignment="1" applyBorder="1" applyFont="1">
      <alignment readingOrder="0" shrinkToFit="0" vertical="top" wrapText="1"/>
    </xf>
    <xf borderId="0" fillId="8" fontId="7" numFmtId="0" xfId="0" applyAlignment="1" applyFill="1" applyFont="1">
      <alignment readingOrder="0" vertical="center"/>
    </xf>
    <xf borderId="0" fillId="8" fontId="7" numFmtId="0" xfId="0" applyAlignment="1" applyFont="1">
      <alignment readingOrder="0" shrinkToFit="0" vertical="center" wrapText="1"/>
    </xf>
    <xf borderId="13" fillId="9" fontId="6" numFmtId="0" xfId="0" applyAlignment="1" applyBorder="1" applyFill="1" applyFont="1">
      <alignment readingOrder="0" shrinkToFit="0" vertical="top" wrapText="1"/>
    </xf>
    <xf borderId="13" fillId="0" fontId="1" numFmtId="0" xfId="0" applyAlignment="1" applyBorder="1" applyFont="1">
      <alignment readingOrder="0" shrinkToFit="0" vertical="top" wrapText="0"/>
    </xf>
    <xf borderId="13" fillId="0" fontId="1" numFmtId="0" xfId="0" applyAlignment="1" applyBorder="1" applyFont="1">
      <alignment readingOrder="0" vertical="top"/>
    </xf>
    <xf borderId="13" fillId="0" fontId="1" numFmtId="0" xfId="0" applyAlignment="1" applyBorder="1" applyFont="1">
      <alignment readingOrder="0" shrinkToFit="0" vertical="top" wrapText="1"/>
    </xf>
    <xf borderId="13" fillId="0" fontId="6" numFmtId="0" xfId="0" applyAlignment="1" applyBorder="1" applyFont="1">
      <alignment readingOrder="0" vertical="top"/>
    </xf>
    <xf borderId="14" fillId="9" fontId="6" numFmtId="0" xfId="0" applyAlignment="1" applyBorder="1" applyFont="1">
      <alignment readingOrder="0" shrinkToFit="0" vertical="top" wrapText="1"/>
    </xf>
    <xf borderId="14" fillId="0" fontId="1" numFmtId="0" xfId="0" applyAlignment="1" applyBorder="1" applyFont="1">
      <alignment readingOrder="0" shrinkToFit="0" vertical="top" wrapText="0"/>
    </xf>
    <xf borderId="14" fillId="0" fontId="1" numFmtId="0" xfId="0" applyAlignment="1" applyBorder="1" applyFont="1">
      <alignment readingOrder="0" vertical="top"/>
    </xf>
    <xf borderId="14" fillId="0" fontId="1" numFmtId="0" xfId="0" applyAlignment="1" applyBorder="1" applyFont="1">
      <alignment readingOrder="0" shrinkToFit="0" vertical="top" wrapText="1"/>
    </xf>
    <xf borderId="14" fillId="0" fontId="6" numFmtId="0" xfId="0" applyAlignment="1" applyBorder="1" applyFont="1">
      <alignment readingOrder="0" vertical="top"/>
    </xf>
    <xf borderId="15" fillId="9" fontId="6" numFmtId="0" xfId="0" applyAlignment="1" applyBorder="1" applyFont="1">
      <alignment readingOrder="0" shrinkToFit="0" vertical="top" wrapText="1"/>
    </xf>
    <xf borderId="15" fillId="0" fontId="1" numFmtId="0" xfId="0" applyAlignment="1" applyBorder="1" applyFont="1">
      <alignment readingOrder="0" shrinkToFit="0" vertical="top" wrapText="0"/>
    </xf>
    <xf borderId="15" fillId="0" fontId="1" numFmtId="0" xfId="0" applyAlignment="1" applyBorder="1" applyFont="1">
      <alignment readingOrder="0" vertical="top"/>
    </xf>
    <xf borderId="11" fillId="0" fontId="1" numFmtId="0" xfId="0" applyAlignment="1" applyBorder="1" applyFont="1">
      <alignment readingOrder="0" vertical="top"/>
    </xf>
    <xf borderId="11" fillId="0" fontId="1" numFmtId="0" xfId="0" applyAlignment="1" applyBorder="1" applyFont="1">
      <alignment readingOrder="0" shrinkToFit="0" vertical="top" wrapText="1"/>
    </xf>
    <xf borderId="15" fillId="0" fontId="6" numFmtId="0" xfId="0" applyAlignment="1" applyBorder="1" applyFont="1">
      <alignment readingOrder="0" vertical="top"/>
    </xf>
    <xf borderId="13" fillId="10" fontId="6" numFmtId="0" xfId="0" applyAlignment="1" applyBorder="1" applyFill="1" applyFont="1">
      <alignment readingOrder="0" shrinkToFit="0" vertical="top" wrapText="1"/>
    </xf>
    <xf borderId="16" fillId="0" fontId="1" numFmtId="0" xfId="0" applyAlignment="1" applyBorder="1" applyFont="1">
      <alignment readingOrder="0" shrinkToFit="0" vertical="top" wrapText="1"/>
    </xf>
    <xf borderId="14" fillId="10" fontId="6" numFmtId="0" xfId="0" applyAlignment="1" applyBorder="1" applyFont="1">
      <alignment readingOrder="0" shrinkToFit="0" vertical="top" wrapText="1"/>
    </xf>
    <xf borderId="17" fillId="10" fontId="6" numFmtId="0" xfId="0" applyAlignment="1" applyBorder="1" applyFont="1">
      <alignment readingOrder="0" shrinkToFit="0" vertical="top" wrapText="1"/>
    </xf>
    <xf borderId="1" fillId="0" fontId="1" numFmtId="0" xfId="0" applyAlignment="1" applyBorder="1" applyFont="1">
      <alignment readingOrder="0" shrinkToFit="0" vertical="top" wrapText="0"/>
    </xf>
    <xf borderId="17" fillId="0" fontId="1" numFmtId="0" xfId="0" applyAlignment="1" applyBorder="1" applyFont="1">
      <alignment readingOrder="0" vertical="top"/>
    </xf>
    <xf borderId="0" fillId="8" fontId="7" numFmtId="0" xfId="0" applyAlignment="1" applyFont="1">
      <alignment readingOrder="0" shrinkToFit="0" vertical="top" wrapText="1"/>
    </xf>
    <xf borderId="0" fillId="8" fontId="9" numFmtId="0" xfId="0" applyAlignment="1" applyFont="1">
      <alignment readingOrder="0" shrinkToFit="0" vertical="top" wrapText="1"/>
    </xf>
    <xf borderId="13" fillId="0" fontId="6" numFmtId="0" xfId="0" applyAlignment="1" applyBorder="1" applyFont="1">
      <alignment readingOrder="0" shrinkToFit="0" vertical="top" wrapText="1"/>
    </xf>
    <xf borderId="13" fillId="0" fontId="10" numFmtId="0" xfId="0" applyAlignment="1" applyBorder="1" applyFont="1">
      <alignment readingOrder="0" shrinkToFit="0" vertical="top" wrapText="1"/>
    </xf>
    <xf borderId="14" fillId="0" fontId="6" numFmtId="0" xfId="0" applyAlignment="1" applyBorder="1" applyFont="1">
      <alignment readingOrder="0" shrinkToFit="0" vertical="top" wrapText="1"/>
    </xf>
    <xf borderId="14" fillId="0" fontId="10" numFmtId="0" xfId="0" applyAlignment="1" applyBorder="1" applyFont="1">
      <alignment readingOrder="0" shrinkToFit="0" vertical="top" wrapText="1"/>
    </xf>
    <xf borderId="14" fillId="0" fontId="11" numFmtId="0" xfId="0" applyAlignment="1" applyBorder="1" applyFont="1">
      <alignment readingOrder="0" shrinkToFit="0" vertical="top" wrapText="1"/>
    </xf>
    <xf borderId="18" fillId="0" fontId="6" numFmtId="0" xfId="0" applyAlignment="1" applyBorder="1" applyFont="1">
      <alignment readingOrder="0" shrinkToFit="0" vertical="top" wrapText="1"/>
    </xf>
    <xf borderId="18" fillId="0" fontId="1" numFmtId="0" xfId="0" applyAlignment="1" applyBorder="1" applyFont="1">
      <alignment readingOrder="0" shrinkToFit="0" vertical="top" wrapText="1"/>
    </xf>
    <xf borderId="18" fillId="0" fontId="10" numFmtId="0" xfId="0" applyAlignment="1" applyBorder="1" applyFont="1">
      <alignment readingOrder="0" shrinkToFit="0" vertical="top" wrapText="1"/>
    </xf>
    <xf borderId="18" fillId="0" fontId="11" numFmtId="0" xfId="0" applyAlignment="1" applyBorder="1" applyFont="1">
      <alignment readingOrder="0" shrinkToFit="0" vertical="top" wrapText="1"/>
    </xf>
    <xf borderId="0" fillId="0" fontId="6" numFmtId="0" xfId="0" applyAlignment="1" applyFont="1">
      <alignment readingOrder="0"/>
    </xf>
    <xf borderId="18" fillId="0" fontId="1" numFmtId="0" xfId="0" applyAlignment="1" applyBorder="1" applyFont="1">
      <alignment readingOrder="0" shrinkToFit="0" vertical="top" wrapText="0"/>
    </xf>
    <xf borderId="18" fillId="9" fontId="6" numFmtId="0" xfId="0" applyAlignment="1" applyBorder="1" applyFont="1">
      <alignment readingOrder="0" shrinkToFit="0" vertical="top" wrapText="1"/>
    </xf>
    <xf borderId="18" fillId="0" fontId="1" numFmtId="0" xfId="0" applyAlignment="1" applyBorder="1" applyFont="1">
      <alignment readingOrder="0" vertical="top"/>
    </xf>
    <xf borderId="18" fillId="0" fontId="6" numFmtId="0" xfId="0" applyAlignment="1" applyBorder="1" applyFont="1">
      <alignment readingOrder="0" vertical="top"/>
    </xf>
    <xf borderId="0" fillId="8" fontId="7" numFmtId="0" xfId="0" applyAlignment="1" applyFont="1">
      <alignment readingOrder="0"/>
    </xf>
    <xf borderId="0" fillId="8" fontId="7" numFmtId="0" xfId="0" applyAlignment="1" applyFont="1">
      <alignment readingOrder="0" shrinkToFit="0" wrapText="1"/>
    </xf>
    <xf borderId="13" fillId="0" fontId="1" numFmtId="0" xfId="0" applyAlignment="1" applyBorder="1" applyFont="1">
      <alignment readingOrder="0" shrinkToFit="0" vertical="bottom" wrapText="0"/>
    </xf>
    <xf borderId="13" fillId="0" fontId="1" numFmtId="0" xfId="0" applyAlignment="1" applyBorder="1" applyFont="1">
      <alignment readingOrder="0"/>
    </xf>
    <xf borderId="13" fillId="0" fontId="1" numFmtId="0" xfId="0" applyAlignment="1" applyBorder="1" applyFont="1">
      <alignment readingOrder="0" shrinkToFit="0" wrapText="1"/>
    </xf>
    <xf borderId="13" fillId="0" fontId="6" numFmtId="0" xfId="0" applyAlignment="1" applyBorder="1" applyFont="1">
      <alignment readingOrder="0" shrinkToFit="0" wrapText="1"/>
    </xf>
    <xf borderId="13" fillId="0" fontId="6" numFmtId="0" xfId="0" applyAlignment="1" applyBorder="1" applyFont="1">
      <alignment readingOrder="0"/>
    </xf>
    <xf borderId="14" fillId="0" fontId="1" numFmtId="0" xfId="0" applyAlignment="1" applyBorder="1" applyFont="1">
      <alignment readingOrder="0" shrinkToFit="0" vertical="bottom" wrapText="0"/>
    </xf>
    <xf borderId="14" fillId="0" fontId="1" numFmtId="0" xfId="0" applyAlignment="1" applyBorder="1" applyFont="1">
      <alignment readingOrder="0"/>
    </xf>
    <xf borderId="14" fillId="0" fontId="6" numFmtId="0" xfId="0" applyAlignment="1" applyBorder="1" applyFont="1">
      <alignment readingOrder="0"/>
    </xf>
    <xf borderId="13" fillId="0" fontId="12" numFmtId="0" xfId="0" applyAlignment="1" applyBorder="1" applyFont="1">
      <alignment shrinkToFit="0" wrapText="1"/>
    </xf>
    <xf borderId="14" fillId="0" fontId="12" numFmtId="0" xfId="0" applyBorder="1" applyFont="1"/>
    <xf borderId="18" fillId="0" fontId="1" numFmtId="0" xfId="0" applyAlignment="1" applyBorder="1" applyFont="1">
      <alignment readingOrder="0" shrinkToFit="0" vertical="bottom" wrapText="0"/>
    </xf>
    <xf borderId="18" fillId="10" fontId="6" numFmtId="0" xfId="0" applyAlignment="1" applyBorder="1" applyFont="1">
      <alignment readingOrder="0" shrinkToFit="0" vertical="top" wrapText="1"/>
    </xf>
    <xf borderId="18" fillId="0" fontId="1" numFmtId="0" xfId="0" applyAlignment="1" applyBorder="1" applyFont="1">
      <alignment readingOrder="0"/>
    </xf>
    <xf borderId="0" fillId="0" fontId="1" numFmtId="0" xfId="0" applyAlignment="1" applyFont="1">
      <alignment readingOrder="0" shrinkToFit="0" wrapText="1"/>
    </xf>
    <xf borderId="0" fillId="0" fontId="12" numFmtId="0" xfId="0" applyAlignment="1" applyFont="1">
      <alignment shrinkToFit="0" wrapText="1"/>
    </xf>
    <xf borderId="18" fillId="0" fontId="12" numFmtId="0" xfId="0" applyBorder="1" applyFont="1"/>
    <xf borderId="0" fillId="11" fontId="6" numFmtId="0" xfId="0" applyAlignment="1" applyFill="1" applyFont="1">
      <alignment readingOrder="0"/>
    </xf>
    <xf borderId="19" fillId="0" fontId="6" numFmtId="0" xfId="0" applyAlignment="1" applyBorder="1" applyFont="1">
      <alignment readingOrder="0" shrinkToFit="0" vertical="top" wrapText="1"/>
    </xf>
    <xf borderId="19" fillId="2" fontId="13" numFmtId="0" xfId="0" applyAlignment="1" applyBorder="1" applyFont="1">
      <alignment readingOrder="0" shrinkToFit="0" vertical="top" wrapText="1"/>
    </xf>
    <xf borderId="19" fillId="2" fontId="7" numFmtId="0" xfId="0" applyAlignment="1" applyBorder="1" applyFont="1">
      <alignment readingOrder="0" shrinkToFit="0" vertical="top" wrapText="1"/>
    </xf>
    <xf borderId="19" fillId="0" fontId="1" numFmtId="0" xfId="0" applyAlignment="1" applyBorder="1" applyFont="1">
      <alignment readingOrder="0" shrinkToFit="0" vertical="top" wrapText="1"/>
    </xf>
    <xf borderId="20" fillId="0" fontId="6" numFmtId="0" xfId="0" applyAlignment="1" applyBorder="1" applyFont="1">
      <alignment readingOrder="0" shrinkToFit="0" vertical="top" wrapText="1"/>
    </xf>
    <xf borderId="20" fillId="2" fontId="13" numFmtId="0" xfId="0" applyAlignment="1" applyBorder="1" applyFont="1">
      <alignment readingOrder="0" shrinkToFit="0" vertical="top" wrapText="1"/>
    </xf>
    <xf borderId="20" fillId="2" fontId="7" numFmtId="0" xfId="0" applyAlignment="1" applyBorder="1" applyFont="1">
      <alignment readingOrder="0" shrinkToFit="0" vertical="top" wrapText="1"/>
    </xf>
    <xf borderId="20" fillId="0" fontId="1" numFmtId="0" xfId="0" applyAlignment="1" applyBorder="1" applyFont="1">
      <alignment readingOrder="0" shrinkToFit="0" vertical="top" wrapText="1"/>
    </xf>
    <xf borderId="20" fillId="0" fontId="14" numFmtId="0" xfId="0" applyAlignment="1" applyBorder="1" applyFont="1">
      <alignment readingOrder="0" shrinkToFit="0" vertical="top" wrapText="1"/>
    </xf>
    <xf borderId="20" fillId="0" fontId="15" numFmtId="0" xfId="0" applyAlignment="1" applyBorder="1" applyFont="1">
      <alignment readingOrder="0" shrinkToFit="0" vertical="top" wrapText="1"/>
    </xf>
    <xf borderId="21" fillId="0" fontId="1" numFmtId="0" xfId="0" applyAlignment="1" applyBorder="1" applyFont="1">
      <alignment readingOrder="0" shrinkToFit="0" vertical="top" wrapText="1"/>
    </xf>
    <xf borderId="22" fillId="2" fontId="13" numFmtId="0" xfId="0" applyAlignment="1" applyBorder="1" applyFont="1">
      <alignment readingOrder="0" shrinkToFit="0" vertical="top" wrapText="1"/>
    </xf>
    <xf borderId="22" fillId="2" fontId="7" numFmtId="0" xfId="0" applyAlignment="1" applyBorder="1" applyFont="1">
      <alignment readingOrder="0" shrinkToFit="0" vertical="top" wrapText="1"/>
    </xf>
    <xf borderId="21" fillId="0" fontId="15" numFmtId="0" xfId="0" applyAlignment="1" applyBorder="1" applyFont="1">
      <alignment readingOrder="0" shrinkToFit="0" vertical="top" wrapText="1"/>
    </xf>
    <xf borderId="19" fillId="5" fontId="13" numFmtId="0" xfId="0" applyAlignment="1" applyBorder="1" applyFont="1">
      <alignment readingOrder="0" shrinkToFit="0" vertical="top" wrapText="1"/>
    </xf>
    <xf borderId="19" fillId="5" fontId="7" numFmtId="0" xfId="0" applyAlignment="1" applyBorder="1" applyFont="1">
      <alignment readingOrder="0" shrinkToFit="0" vertical="top" wrapText="1"/>
    </xf>
    <xf borderId="20" fillId="5" fontId="13" numFmtId="0" xfId="0" applyAlignment="1" applyBorder="1" applyFont="1">
      <alignment readingOrder="0" shrinkToFit="0" vertical="top" wrapText="1"/>
    </xf>
    <xf borderId="20" fillId="5" fontId="7" numFmtId="0" xfId="0" applyAlignment="1" applyBorder="1" applyFont="1">
      <alignment readingOrder="0" shrinkToFit="0" vertical="top" wrapText="1"/>
    </xf>
    <xf borderId="20" fillId="0" fontId="16" numFmtId="0" xfId="0" applyAlignment="1" applyBorder="1" applyFont="1">
      <alignment readingOrder="0" shrinkToFit="0" vertical="top" wrapText="1"/>
    </xf>
    <xf borderId="20" fillId="0" fontId="1" numFmtId="0" xfId="0" applyAlignment="1" applyBorder="1" applyFont="1">
      <alignment shrinkToFit="0" vertical="top" wrapText="1"/>
    </xf>
    <xf borderId="20" fillId="4" fontId="7" numFmtId="0" xfId="0" applyAlignment="1" applyBorder="1" applyFont="1">
      <alignment readingOrder="0" shrinkToFit="0" vertical="top" wrapText="1"/>
    </xf>
    <xf borderId="23" fillId="0" fontId="15" numFmtId="0" xfId="0" applyAlignment="1" applyBorder="1" applyFont="1">
      <alignment readingOrder="0" shrinkToFit="0" vertical="top" wrapText="1"/>
    </xf>
    <xf borderId="20" fillId="0" fontId="17" numFmtId="0" xfId="0" applyAlignment="1" applyBorder="1" applyFont="1">
      <alignment readingOrder="0" shrinkToFit="0" vertical="top" wrapText="1"/>
    </xf>
    <xf borderId="23" fillId="0" fontId="1" numFmtId="0" xfId="0" applyAlignment="1" applyBorder="1" applyFont="1">
      <alignment readingOrder="0" shrinkToFit="0" vertical="top" wrapText="1"/>
    </xf>
    <xf borderId="23" fillId="5" fontId="13" numFmtId="0" xfId="0" applyAlignment="1" applyBorder="1" applyFont="1">
      <alignment readingOrder="0" shrinkToFit="0" vertical="top" wrapText="1"/>
    </xf>
    <xf borderId="23" fillId="5" fontId="7" numFmtId="0" xfId="0" applyAlignment="1" applyBorder="1" applyFont="1">
      <alignment readingOrder="0" shrinkToFit="0" vertical="top" wrapText="1"/>
    </xf>
    <xf borderId="0" fillId="8" fontId="7" numFmtId="0" xfId="0" applyAlignment="1" applyFont="1">
      <alignment horizontal="center" readingOrder="0"/>
    </xf>
    <xf borderId="0" fillId="12" fontId="8" numFmtId="0" xfId="0" applyAlignment="1" applyFill="1" applyFont="1">
      <alignment readingOrder="0" shrinkToFit="0" vertical="top" wrapText="1"/>
    </xf>
    <xf borderId="0" fillId="0" fontId="8" numFmtId="0" xfId="0" applyAlignment="1" applyFont="1">
      <alignment horizontal="center" readingOrder="0" shrinkToFit="0" vertical="top" wrapText="1"/>
    </xf>
    <xf borderId="0" fillId="0" fontId="8" numFmtId="0" xfId="0" applyAlignment="1" applyFont="1">
      <alignment horizontal="left" readingOrder="0" shrinkToFit="0" vertical="top" wrapText="1"/>
    </xf>
    <xf borderId="0" fillId="13" fontId="8" numFmtId="0" xfId="0" applyAlignment="1" applyFill="1" applyFont="1">
      <alignment horizontal="left" readingOrder="0" shrinkToFit="0" vertical="top" wrapText="1"/>
    </xf>
    <xf borderId="0" fillId="13" fontId="8" numFmtId="0" xfId="0" applyAlignment="1" applyFont="1">
      <alignment horizontal="left" readingOrder="0" shrinkToFit="0" vertical="top" wrapText="0"/>
    </xf>
    <xf borderId="13" fillId="0" fontId="8" numFmtId="0" xfId="0" applyAlignment="1" applyBorder="1" applyFont="1">
      <alignment horizontal="left" shrinkToFit="0" vertical="top" wrapText="1"/>
    </xf>
    <xf borderId="13" fillId="10" fontId="8" numFmtId="0" xfId="0" applyAlignment="1" applyBorder="1" applyFont="1">
      <alignment readingOrder="0" shrinkToFit="0" vertical="top" wrapText="1"/>
    </xf>
    <xf borderId="13" fillId="0" fontId="8" numFmtId="0" xfId="0" applyAlignment="1" applyBorder="1" applyFont="1">
      <alignment horizontal="left" readingOrder="0" shrinkToFit="0" vertical="top" wrapText="1"/>
    </xf>
    <xf borderId="14" fillId="0" fontId="8" numFmtId="0" xfId="0" applyAlignment="1" applyBorder="1" applyFont="1">
      <alignment horizontal="left" shrinkToFit="0" vertical="top" wrapText="1"/>
    </xf>
    <xf borderId="14" fillId="10" fontId="8" numFmtId="0" xfId="0" applyAlignment="1" applyBorder="1" applyFont="1">
      <alignment readingOrder="0" shrinkToFit="0" vertical="top" wrapText="1"/>
    </xf>
    <xf borderId="14" fillId="0" fontId="8" numFmtId="0" xfId="0" applyAlignment="1" applyBorder="1" applyFont="1">
      <alignment horizontal="left" readingOrder="0" shrinkToFit="0" vertical="top" wrapText="1"/>
    </xf>
    <xf borderId="18" fillId="0" fontId="8" numFmtId="0" xfId="0" applyAlignment="1" applyBorder="1" applyFont="1">
      <alignment horizontal="left" shrinkToFit="0" vertical="top" wrapText="1"/>
    </xf>
    <xf borderId="18" fillId="10" fontId="8" numFmtId="0" xfId="0" applyAlignment="1" applyBorder="1" applyFont="1">
      <alignment readingOrder="0" shrinkToFit="0" vertical="top" wrapText="1"/>
    </xf>
    <xf borderId="18" fillId="0" fontId="8" numFmtId="0" xfId="0" applyAlignment="1" applyBorder="1" applyFont="1">
      <alignment horizontal="left" readingOrder="0" shrinkToFit="0" vertical="top" wrapText="1"/>
    </xf>
    <xf borderId="13" fillId="10" fontId="1" numFmtId="0" xfId="0" applyAlignment="1" applyBorder="1" applyFont="1">
      <alignment readingOrder="0" shrinkToFit="0" vertical="top" wrapText="1"/>
    </xf>
    <xf borderId="13" fillId="0" fontId="11" numFmtId="0" xfId="0" applyAlignment="1" applyBorder="1" applyFont="1">
      <alignment readingOrder="0" shrinkToFit="0" vertical="top" wrapText="1"/>
    </xf>
    <xf borderId="14" fillId="10" fontId="1" numFmtId="0" xfId="0" applyAlignment="1" applyBorder="1" applyFont="1">
      <alignment readingOrder="0" shrinkToFit="0" vertical="top" wrapText="1"/>
    </xf>
    <xf borderId="14" fillId="0" fontId="11" numFmtId="0" xfId="0" applyAlignment="1" applyBorder="1" applyFont="1">
      <alignment shrinkToFit="0" vertical="top" wrapText="1"/>
    </xf>
    <xf borderId="18" fillId="10" fontId="1" numFmtId="0" xfId="0" applyAlignment="1" applyBorder="1" applyFont="1">
      <alignment readingOrder="0" shrinkToFit="0" vertical="top" wrapText="1"/>
    </xf>
    <xf borderId="18" fillId="0" fontId="11" numFmtId="0" xfId="0" applyAlignment="1" applyBorder="1" applyFont="1">
      <alignment shrinkToFit="0" vertical="top" wrapText="1"/>
    </xf>
    <xf borderId="13" fillId="9" fontId="1" numFmtId="0" xfId="0" applyAlignment="1" applyBorder="1" applyFont="1">
      <alignment readingOrder="0" shrinkToFit="0" vertical="top" wrapText="1"/>
    </xf>
    <xf borderId="13" fillId="0" fontId="8" numFmtId="0" xfId="0" applyAlignment="1" applyBorder="1" applyFont="1">
      <alignment readingOrder="0" vertical="top"/>
    </xf>
    <xf borderId="13" fillId="0" fontId="18" numFmtId="0" xfId="0" applyAlignment="1" applyBorder="1" applyFont="1">
      <alignment vertical="top"/>
    </xf>
    <xf borderId="14" fillId="0" fontId="1" numFmtId="0" xfId="0" applyAlignment="1" applyBorder="1" applyFont="1">
      <alignment vertical="top"/>
    </xf>
    <xf borderId="14" fillId="9" fontId="1" numFmtId="0" xfId="0" applyAlignment="1" applyBorder="1" applyFont="1">
      <alignment readingOrder="0" shrinkToFit="0" vertical="top" wrapText="1"/>
    </xf>
    <xf borderId="14" fillId="0" fontId="8" numFmtId="0" xfId="0" applyAlignment="1" applyBorder="1" applyFont="1">
      <alignment readingOrder="0" vertical="top"/>
    </xf>
    <xf borderId="14" fillId="0" fontId="18" numFmtId="0" xfId="0" applyAlignment="1" applyBorder="1" applyFont="1">
      <alignment vertical="top"/>
    </xf>
    <xf borderId="14" fillId="0" fontId="1" numFmtId="0" xfId="0" applyAlignment="1" applyBorder="1" applyFont="1">
      <alignment horizontal="right" readingOrder="0" vertical="top"/>
    </xf>
    <xf borderId="14" fillId="0" fontId="18" numFmtId="0" xfId="0" applyAlignment="1" applyBorder="1" applyFont="1">
      <alignment readingOrder="0" vertical="top"/>
    </xf>
    <xf borderId="14" fillId="0" fontId="12" numFmtId="0" xfId="0" applyAlignment="1" applyBorder="1" applyFont="1">
      <alignment vertical="top"/>
    </xf>
    <xf borderId="18" fillId="9" fontId="1" numFmtId="0" xfId="0" applyAlignment="1" applyBorder="1" applyFont="1">
      <alignment readingOrder="0" shrinkToFit="0" vertical="top" wrapText="1"/>
    </xf>
    <xf borderId="18" fillId="0" fontId="1" numFmtId="0" xfId="0" applyAlignment="1" applyBorder="1" applyFont="1">
      <alignment horizontal="right" readingOrder="0" vertical="top"/>
    </xf>
    <xf borderId="18" fillId="0" fontId="18" numFmtId="0" xfId="0" applyAlignment="1" applyBorder="1" applyFont="1">
      <alignment vertical="top"/>
    </xf>
    <xf borderId="18" fillId="0" fontId="8" numFmtId="0" xfId="0" applyAlignment="1" applyBorder="1" applyFont="1">
      <alignment readingOrder="0" shrinkToFit="0" vertical="top" wrapText="1"/>
    </xf>
    <xf borderId="0" fillId="9" fontId="1" numFmtId="0" xfId="0" applyAlignment="1" applyFont="1">
      <alignment readingOrder="0" shrinkToFit="0" vertical="top" wrapText="1"/>
    </xf>
    <xf borderId="0" fillId="0" fontId="1" numFmtId="0" xfId="0" applyAlignment="1" applyFont="1">
      <alignment readingOrder="0" vertical="top"/>
    </xf>
    <xf borderId="0" fillId="0" fontId="1" numFmtId="0" xfId="0" applyAlignment="1" applyFont="1">
      <alignment vertical="top"/>
    </xf>
    <xf borderId="0" fillId="0" fontId="4" numFmtId="0" xfId="0" applyAlignment="1" applyFont="1">
      <alignment readingOrder="0" shrinkToFit="0" vertical="top" wrapText="1"/>
    </xf>
    <xf borderId="0" fillId="0" fontId="19" numFmtId="0" xfId="0" applyAlignment="1" applyFont="1">
      <alignment readingOrder="0"/>
    </xf>
    <xf borderId="0" fillId="0" fontId="1" numFmtId="0" xfId="0" applyAlignment="1" applyFont="1">
      <alignment horizontal="center"/>
    </xf>
    <xf borderId="0" fillId="0" fontId="6" numFmtId="0" xfId="0" applyAlignment="1" applyFont="1">
      <alignment readingOrder="0" shrinkToFit="0" wrapText="1"/>
    </xf>
    <xf borderId="0" fillId="0" fontId="18" numFmtId="0" xfId="0" applyFont="1"/>
    <xf borderId="0" fillId="0" fontId="18" numFmtId="0" xfId="0" applyAlignment="1" applyFont="1">
      <alignment vertical="center"/>
    </xf>
    <xf borderId="24" fillId="0" fontId="18" numFmtId="0" xfId="0" applyAlignment="1" applyBorder="1" applyFont="1">
      <alignment vertical="center"/>
    </xf>
    <xf borderId="18" fillId="0" fontId="1" numFmtId="0" xfId="0" applyAlignment="1" applyBorder="1" applyFont="1">
      <alignment horizontal="center" readingOrder="0" vertical="center"/>
    </xf>
    <xf borderId="25" fillId="0" fontId="1" numFmtId="0" xfId="0" applyAlignment="1" applyBorder="1" applyFont="1">
      <alignment readingOrder="0" vertical="center"/>
    </xf>
    <xf borderId="0" fillId="0" fontId="12" numFmtId="0" xfId="0" applyAlignment="1" applyFont="1">
      <alignment vertical="center"/>
    </xf>
    <xf borderId="24" fillId="0" fontId="1" numFmtId="0" xfId="0" applyAlignment="1" applyBorder="1" applyFont="1">
      <alignment readingOrder="0" shrinkToFit="0" vertical="center" wrapText="1"/>
    </xf>
    <xf borderId="24" fillId="0" fontId="1" numFmtId="0" xfId="0" applyAlignment="1" applyBorder="1" applyFont="1">
      <alignment shrinkToFit="0" vertical="center" wrapText="1"/>
    </xf>
    <xf borderId="0" fillId="0" fontId="20" numFmtId="0" xfId="0" applyAlignment="1" applyFont="1">
      <alignment vertical="center"/>
    </xf>
    <xf borderId="26" fillId="0" fontId="18" numFmtId="0" xfId="0" applyAlignment="1" applyBorder="1" applyFont="1">
      <alignment vertical="center"/>
    </xf>
    <xf borderId="0" fillId="0" fontId="1" numFmtId="0" xfId="0" applyAlignment="1" applyFont="1">
      <alignment horizontal="center" readingOrder="0" vertical="center"/>
    </xf>
    <xf borderId="27" fillId="0" fontId="1" numFmtId="0" xfId="0" applyAlignment="1" applyBorder="1" applyFont="1">
      <alignment readingOrder="0" vertical="center"/>
    </xf>
    <xf borderId="26" fillId="0" fontId="1" numFmtId="0" xfId="0" applyAlignment="1" applyBorder="1" applyFont="1">
      <alignment readingOrder="0" shrinkToFit="0" vertical="center" wrapText="1"/>
    </xf>
    <xf borderId="26" fillId="0" fontId="1" numFmtId="0" xfId="0" applyAlignment="1" applyBorder="1" applyFont="1">
      <alignment shrinkToFit="0" vertical="center" wrapText="1"/>
    </xf>
    <xf borderId="26" fillId="0" fontId="12" numFmtId="0" xfId="0" applyAlignment="1" applyBorder="1" applyFont="1">
      <alignment vertical="center"/>
    </xf>
    <xf borderId="0" fillId="0" fontId="8" numFmtId="0" xfId="0" applyAlignment="1" applyFont="1">
      <alignment vertical="center"/>
    </xf>
    <xf borderId="28" fillId="0" fontId="1" numFmtId="0" xfId="0" applyAlignment="1" applyBorder="1" applyFont="1">
      <alignment readingOrder="0" shrinkToFit="0" vertical="center" wrapText="1"/>
    </xf>
    <xf borderId="13" fillId="0" fontId="1" numFmtId="0" xfId="0" applyAlignment="1" applyBorder="1" applyFont="1">
      <alignment horizontal="center" readingOrder="0" vertical="center"/>
    </xf>
    <xf borderId="29" fillId="0" fontId="1" numFmtId="0" xfId="0" applyAlignment="1" applyBorder="1" applyFont="1">
      <alignment readingOrder="0" vertical="center"/>
    </xf>
    <xf borderId="28" fillId="0" fontId="1" numFmtId="0" xfId="0" applyAlignment="1" applyBorder="1" applyFont="1">
      <alignment shrinkToFit="0" vertical="center" wrapText="1"/>
    </xf>
    <xf borderId="26" fillId="0" fontId="20" numFmtId="0" xfId="0" applyAlignment="1" applyBorder="1" applyFont="1">
      <alignment vertical="center"/>
    </xf>
    <xf borderId="26" fillId="0" fontId="8" numFmtId="0" xfId="0" applyAlignment="1" applyBorder="1" applyFont="1">
      <alignment vertical="center"/>
    </xf>
    <xf borderId="0" fillId="0" fontId="1" numFmtId="0" xfId="0" applyAlignment="1" applyFont="1">
      <alignment vertical="center"/>
    </xf>
    <xf borderId="26" fillId="0" fontId="1" numFmtId="0" xfId="0" applyAlignment="1" applyBorder="1" applyFont="1">
      <alignment vertical="center"/>
    </xf>
    <xf borderId="28" fillId="0" fontId="18" numFmtId="0" xfId="0" applyAlignment="1" applyBorder="1" applyFont="1">
      <alignment vertical="center"/>
    </xf>
    <xf borderId="0" fillId="0" fontId="21" numFmtId="0" xfId="0" applyAlignment="1" applyFont="1">
      <alignment readingOrder="0"/>
    </xf>
    <xf borderId="0" fillId="14" fontId="7" numFmtId="0" xfId="0" applyAlignment="1" applyFill="1" applyFont="1">
      <alignment readingOrder="0" vertical="center"/>
    </xf>
    <xf borderId="0" fillId="12" fontId="6" numFmtId="0" xfId="0" applyFont="1"/>
    <xf borderId="0" fillId="0" fontId="22" numFmtId="0" xfId="0" applyFont="1"/>
    <xf borderId="0" fillId="0" fontId="23" numFmtId="0" xfId="0" applyFont="1"/>
    <xf borderId="0" fillId="0" fontId="17" numFmtId="0" xfId="0" applyFont="1"/>
    <xf borderId="0" fillId="0" fontId="23" numFmtId="0" xfId="0" applyFont="1"/>
    <xf borderId="0" fillId="0" fontId="6" numFmtId="0" xfId="0" applyFont="1"/>
    <xf borderId="0" fillId="0" fontId="7" numFmtId="0" xfId="0" applyAlignment="1" applyFont="1">
      <alignment readingOrder="0"/>
    </xf>
    <xf borderId="0" fillId="10" fontId="24" numFmtId="0" xfId="0" applyAlignment="1" applyFont="1">
      <alignment shrinkToFit="0" wrapText="1"/>
    </xf>
    <xf borderId="0" fillId="0" fontId="23" numFmtId="0" xfId="0" applyAlignment="1" applyFont="1">
      <alignment shrinkToFit="0" wrapText="1"/>
    </xf>
    <xf borderId="0" fillId="0" fontId="1" numFmtId="0" xfId="0" applyAlignment="1" applyFont="1">
      <alignment shrinkToFit="0" wrapText="1"/>
    </xf>
    <xf borderId="0" fillId="0" fontId="25" numFmtId="0" xfId="0" applyAlignment="1" applyFont="1">
      <alignment shrinkToFit="0" wrapText="1"/>
    </xf>
    <xf borderId="0" fillId="10" fontId="26" numFmtId="0" xfId="0" applyAlignment="1" applyFont="1">
      <alignment shrinkToFit="0" wrapText="1"/>
    </xf>
    <xf borderId="0" fillId="10" fontId="6" numFmtId="0" xfId="0" applyAlignment="1" applyFont="1">
      <alignment shrinkToFit="0" wrapText="1"/>
    </xf>
    <xf borderId="0" fillId="14" fontId="7" numFmtId="0" xfId="0" applyAlignment="1" applyFont="1">
      <alignment readingOrder="0"/>
    </xf>
    <xf borderId="0" fillId="14" fontId="27" numFmtId="0" xfId="0" applyAlignment="1" applyFont="1">
      <alignment readingOrder="0"/>
    </xf>
    <xf borderId="0" fillId="9" fontId="6" numFmtId="0" xfId="0" applyAlignment="1" applyFont="1">
      <alignment horizontal="left" shrinkToFit="0" vertical="top" wrapText="1"/>
    </xf>
    <xf borderId="0" fillId="0" fontId="25" numFmtId="0" xfId="0" applyAlignment="1" applyFont="1">
      <alignment horizontal="left" readingOrder="0" shrinkToFit="0" vertical="top" wrapText="1"/>
    </xf>
    <xf borderId="24" fillId="0" fontId="25" numFmtId="0" xfId="0" applyAlignment="1" applyBorder="1" applyFont="1">
      <alignment horizontal="left" readingOrder="0" shrinkToFit="0" vertical="top" wrapText="1"/>
    </xf>
    <xf borderId="18" fillId="0" fontId="1" numFmtId="0" xfId="0" applyAlignment="1" applyBorder="1" applyFont="1">
      <alignment horizontal="center" readingOrder="0"/>
    </xf>
    <xf borderId="25" fillId="0" fontId="1" numFmtId="0" xfId="0" applyBorder="1" applyFont="1"/>
    <xf borderId="26" fillId="0" fontId="25" numFmtId="0" xfId="0" applyAlignment="1" applyBorder="1" applyFont="1">
      <alignment horizontal="left" readingOrder="0" shrinkToFit="0" vertical="top" wrapText="1"/>
    </xf>
    <xf borderId="0" fillId="0" fontId="1" numFmtId="0" xfId="0" applyAlignment="1" applyFont="1">
      <alignment horizontal="center" readingOrder="0"/>
    </xf>
    <xf borderId="27" fillId="0" fontId="25" numFmtId="0" xfId="0" applyBorder="1" applyFont="1"/>
    <xf borderId="27" fillId="0" fontId="8" numFmtId="0" xfId="0" applyAlignment="1" applyBorder="1" applyFont="1">
      <alignment readingOrder="0"/>
    </xf>
    <xf borderId="27" fillId="0" fontId="1" numFmtId="0" xfId="0" applyBorder="1" applyFont="1"/>
    <xf borderId="28" fillId="0" fontId="25" numFmtId="0" xfId="0" applyAlignment="1" applyBorder="1" applyFont="1">
      <alignment horizontal="left" readingOrder="0" shrinkToFit="0" vertical="top" wrapText="1"/>
    </xf>
    <xf borderId="13" fillId="0" fontId="1" numFmtId="0" xfId="0" applyAlignment="1" applyBorder="1" applyFont="1">
      <alignment horizontal="center" readingOrder="0"/>
    </xf>
    <xf borderId="29" fillId="0" fontId="25" numFmtId="0" xfId="0" applyBorder="1" applyFont="1"/>
    <xf borderId="24" fillId="0" fontId="23" numFmtId="0" xfId="0" applyBorder="1" applyFont="1"/>
    <xf borderId="25" fillId="0" fontId="23" numFmtId="0" xfId="0" applyBorder="1" applyFont="1"/>
    <xf borderId="26" fillId="0" fontId="23" numFmtId="0" xfId="0" applyBorder="1" applyFont="1"/>
    <xf borderId="27" fillId="0" fontId="23" numFmtId="0" xfId="0" applyBorder="1" applyFont="1"/>
    <xf borderId="27" fillId="0" fontId="1" numFmtId="0" xfId="0" applyAlignment="1" applyBorder="1" applyFont="1">
      <alignment readingOrder="0"/>
    </xf>
    <xf borderId="0" fillId="0" fontId="6" numFmtId="0" xfId="0" applyAlignment="1" applyFont="1">
      <alignment horizontal="left" shrinkToFit="0" vertical="top" wrapText="1"/>
    </xf>
    <xf borderId="28" fillId="0" fontId="23" numFmtId="0" xfId="0" applyBorder="1" applyFont="1"/>
    <xf borderId="29" fillId="0" fontId="2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5" Type="http://schemas.openxmlformats.org/officeDocument/2006/relationships/worksheet" Target="worksheets/sheet2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6.xml"/><Relationship Id="rId3"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8.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9.xml"/><Relationship Id="rId3"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7.0"/>
    <col customWidth="1" min="2" max="2" width="19.88"/>
    <col customWidth="1" min="3" max="3" width="39.75"/>
    <col customWidth="1" min="4" max="4" width="45.38"/>
  </cols>
  <sheetData>
    <row r="1">
      <c r="A1" s="1"/>
      <c r="B1" s="1"/>
      <c r="C1" s="1"/>
      <c r="D1" s="1"/>
      <c r="E1" s="1"/>
      <c r="F1" s="1"/>
      <c r="G1" s="1"/>
      <c r="H1" s="1"/>
      <c r="I1" s="1"/>
      <c r="J1" s="1"/>
      <c r="K1" s="1"/>
      <c r="L1" s="1"/>
      <c r="M1" s="1"/>
      <c r="N1" s="1"/>
      <c r="O1" s="1"/>
      <c r="P1" s="1"/>
      <c r="Q1" s="1"/>
      <c r="R1" s="1"/>
      <c r="S1" s="1"/>
      <c r="T1" s="1"/>
      <c r="U1" s="1"/>
      <c r="V1" s="1"/>
      <c r="W1" s="1"/>
      <c r="X1" s="1"/>
      <c r="Y1" s="1"/>
      <c r="Z1" s="1"/>
    </row>
    <row r="2" ht="36.0" customHeight="1">
      <c r="A2" s="1"/>
      <c r="B2" s="2" t="s">
        <v>0</v>
      </c>
      <c r="C2" s="1"/>
      <c r="D2" s="1"/>
      <c r="E2" s="1"/>
      <c r="F2" s="1"/>
      <c r="G2" s="1"/>
      <c r="H2" s="1"/>
      <c r="I2" s="1"/>
      <c r="J2" s="1"/>
      <c r="K2" s="1"/>
      <c r="L2" s="1"/>
      <c r="M2" s="1"/>
      <c r="N2" s="1"/>
      <c r="O2" s="1"/>
      <c r="P2" s="1"/>
      <c r="Q2" s="1"/>
      <c r="R2" s="1"/>
      <c r="S2" s="1"/>
      <c r="T2" s="1"/>
      <c r="U2" s="1"/>
      <c r="V2" s="1"/>
      <c r="W2" s="1"/>
      <c r="X2" s="1"/>
      <c r="Y2" s="1"/>
      <c r="Z2" s="1"/>
    </row>
    <row r="3" ht="34.5" customHeight="1">
      <c r="A3" s="1"/>
      <c r="B3" s="3" t="s">
        <v>1</v>
      </c>
      <c r="C3" s="4"/>
      <c r="D3" s="1"/>
      <c r="E3" s="1"/>
      <c r="F3" s="1"/>
      <c r="G3" s="1"/>
      <c r="H3" s="1"/>
      <c r="I3" s="1"/>
      <c r="J3" s="1"/>
      <c r="K3" s="1"/>
      <c r="L3" s="1"/>
      <c r="M3" s="1"/>
      <c r="N3" s="1"/>
      <c r="O3" s="1"/>
      <c r="P3" s="1"/>
      <c r="Q3" s="1"/>
      <c r="R3" s="1"/>
      <c r="S3" s="1"/>
      <c r="T3" s="1"/>
      <c r="U3" s="1"/>
      <c r="V3" s="1"/>
      <c r="W3" s="1"/>
      <c r="X3" s="1"/>
      <c r="Y3" s="1"/>
      <c r="Z3" s="1"/>
    </row>
    <row r="4" ht="108.75" customHeight="1">
      <c r="A4" s="1"/>
      <c r="B4" s="5" t="s">
        <v>2</v>
      </c>
      <c r="D4" s="1"/>
      <c r="E4" s="1"/>
      <c r="F4" s="1"/>
      <c r="G4" s="6"/>
      <c r="H4" s="1"/>
      <c r="I4" s="1"/>
      <c r="J4" s="1"/>
      <c r="K4" s="1"/>
      <c r="L4" s="1"/>
      <c r="M4" s="1"/>
      <c r="N4" s="1"/>
      <c r="O4" s="1"/>
      <c r="P4" s="1"/>
      <c r="Q4" s="1"/>
      <c r="R4" s="1"/>
      <c r="S4" s="1"/>
      <c r="T4" s="1"/>
      <c r="U4" s="1"/>
      <c r="V4" s="1"/>
      <c r="W4" s="1"/>
      <c r="X4" s="1"/>
      <c r="Y4" s="1"/>
      <c r="Z4" s="1"/>
    </row>
    <row r="5" ht="14.25" customHeight="1">
      <c r="A5" s="1"/>
      <c r="B5" s="1"/>
      <c r="C5" s="1"/>
      <c r="D5" s="1"/>
      <c r="E5" s="1"/>
      <c r="F5" s="1"/>
      <c r="G5" s="1"/>
      <c r="H5" s="1"/>
      <c r="I5" s="1"/>
      <c r="J5" s="1"/>
      <c r="K5" s="1"/>
      <c r="L5" s="1"/>
      <c r="M5" s="1"/>
      <c r="N5" s="1"/>
      <c r="O5" s="1"/>
      <c r="P5" s="1"/>
      <c r="Q5" s="1"/>
      <c r="R5" s="1"/>
      <c r="S5" s="1"/>
      <c r="T5" s="1"/>
      <c r="U5" s="1"/>
      <c r="V5" s="1"/>
      <c r="W5" s="1"/>
      <c r="X5" s="1"/>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sheetData>
  <mergeCells count="1">
    <mergeCell ref="B4:C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2.63" defaultRowHeight="15.75"/>
  <cols>
    <col customWidth="1" min="1" max="1" width="4.25"/>
    <col customWidth="1" min="2" max="2" width="24.25"/>
    <col customWidth="1" min="3" max="3" width="31.75"/>
  </cols>
  <sheetData>
    <row r="1">
      <c r="A1" s="7" t="s">
        <v>3</v>
      </c>
      <c r="B1" s="8"/>
      <c r="C1" s="8"/>
      <c r="D1" s="8"/>
    </row>
    <row r="2">
      <c r="A2" s="8"/>
      <c r="B2" s="8"/>
      <c r="C2" s="8"/>
      <c r="D2" s="8"/>
    </row>
    <row r="3">
      <c r="A3" s="8"/>
      <c r="B3" s="9" t="s">
        <v>4</v>
      </c>
      <c r="C3" s="8"/>
      <c r="D3" s="8"/>
    </row>
    <row r="4">
      <c r="A4" s="8"/>
      <c r="B4" s="8"/>
      <c r="C4" s="8"/>
      <c r="D4" s="8"/>
    </row>
    <row r="5">
      <c r="A5" s="8"/>
      <c r="B5" s="10" t="s">
        <v>5</v>
      </c>
      <c r="D5" s="8"/>
    </row>
    <row r="6">
      <c r="A6" s="8"/>
      <c r="B6" s="8"/>
      <c r="C6" s="8"/>
      <c r="D6" s="8"/>
    </row>
    <row r="7">
      <c r="A7" s="8"/>
      <c r="B7" s="11" t="s">
        <v>6</v>
      </c>
      <c r="C7" s="11" t="s">
        <v>7</v>
      </c>
      <c r="D7" s="8"/>
    </row>
    <row r="8">
      <c r="A8" s="8"/>
      <c r="B8" s="6" t="s">
        <v>8</v>
      </c>
      <c r="C8" s="6" t="s">
        <v>9</v>
      </c>
      <c r="D8" s="8"/>
    </row>
    <row r="9">
      <c r="A9" s="8"/>
      <c r="B9" s="6" t="s">
        <v>8</v>
      </c>
      <c r="C9" s="6" t="s">
        <v>10</v>
      </c>
      <c r="D9" s="8"/>
    </row>
    <row r="10">
      <c r="A10" s="8"/>
      <c r="B10" s="8"/>
      <c r="C10" s="8"/>
      <c r="D10" s="8"/>
    </row>
    <row r="11">
      <c r="A11" s="8"/>
      <c r="B11" s="8"/>
      <c r="C11" s="8"/>
      <c r="D11" s="8"/>
    </row>
    <row r="12">
      <c r="A12" s="8"/>
      <c r="B12" s="11" t="s">
        <v>11</v>
      </c>
      <c r="C12" s="12"/>
      <c r="D12" s="8"/>
    </row>
    <row r="13" ht="63.75" customHeight="1">
      <c r="A13" s="8"/>
      <c r="B13" s="5" t="s">
        <v>12</v>
      </c>
      <c r="D13" s="8"/>
    </row>
    <row r="14">
      <c r="A14" s="8"/>
      <c r="B14" s="8"/>
      <c r="C14" s="8"/>
      <c r="D14" s="8"/>
    </row>
    <row r="15">
      <c r="A15" s="8"/>
      <c r="B15" s="8"/>
      <c r="C15" s="8"/>
      <c r="D15" s="8"/>
    </row>
    <row r="16">
      <c r="A16" s="8"/>
      <c r="B16" s="8"/>
      <c r="C16" s="8"/>
      <c r="D16" s="8"/>
    </row>
    <row r="17">
      <c r="A17" s="8"/>
      <c r="B17" s="8"/>
      <c r="C17" s="8"/>
      <c r="D17" s="8"/>
    </row>
    <row r="18">
      <c r="A18" s="8"/>
      <c r="B18" s="8"/>
      <c r="C18" s="8"/>
      <c r="D18" s="8"/>
    </row>
    <row r="19">
      <c r="A19" s="8"/>
      <c r="B19" s="8"/>
      <c r="C19" s="8"/>
      <c r="D19" s="8"/>
    </row>
    <row r="20">
      <c r="A20" s="8"/>
      <c r="B20" s="8"/>
      <c r="C20" s="8"/>
      <c r="D20" s="8"/>
    </row>
    <row r="21">
      <c r="A21" s="8"/>
      <c r="B21" s="8"/>
      <c r="C21" s="8"/>
      <c r="D21" s="8"/>
    </row>
    <row r="22">
      <c r="A22" s="8"/>
      <c r="B22" s="8"/>
      <c r="C22" s="8"/>
      <c r="D22" s="8"/>
    </row>
    <row r="23">
      <c r="A23" s="8"/>
      <c r="B23" s="8"/>
      <c r="C23" s="8"/>
      <c r="D23" s="8"/>
    </row>
    <row r="24">
      <c r="A24" s="8"/>
      <c r="B24" s="8"/>
      <c r="C24" s="8"/>
      <c r="D24" s="8"/>
    </row>
    <row r="25">
      <c r="A25" s="8"/>
      <c r="B25" s="8"/>
      <c r="C25" s="8"/>
      <c r="D25" s="8"/>
    </row>
    <row r="26">
      <c r="A26" s="8"/>
      <c r="B26" s="8"/>
      <c r="C26" s="8"/>
      <c r="D26" s="8"/>
    </row>
    <row r="27">
      <c r="A27" s="8"/>
      <c r="B27" s="8"/>
      <c r="C27" s="8"/>
      <c r="D27" s="8"/>
    </row>
    <row r="28">
      <c r="A28" s="8"/>
      <c r="B28" s="8"/>
      <c r="C28" s="8"/>
      <c r="D28" s="8"/>
    </row>
    <row r="29">
      <c r="A29" s="8"/>
      <c r="B29" s="8"/>
      <c r="C29" s="8"/>
      <c r="D29" s="8"/>
    </row>
    <row r="30">
      <c r="A30" s="8"/>
      <c r="B30" s="8"/>
      <c r="C30" s="8"/>
      <c r="D30" s="8"/>
    </row>
    <row r="31">
      <c r="A31" s="8"/>
      <c r="B31" s="8"/>
      <c r="C31" s="8"/>
      <c r="D31" s="8"/>
    </row>
    <row r="32">
      <c r="A32" s="8"/>
      <c r="B32" s="8"/>
      <c r="C32" s="8"/>
      <c r="D32" s="8"/>
    </row>
    <row r="33">
      <c r="A33" s="8"/>
      <c r="B33" s="8"/>
      <c r="C33" s="8"/>
      <c r="D33" s="8"/>
    </row>
    <row r="34">
      <c r="A34" s="8"/>
      <c r="B34" s="8"/>
      <c r="C34" s="8"/>
      <c r="D34" s="8"/>
    </row>
    <row r="35">
      <c r="A35" s="8"/>
      <c r="B35" s="8"/>
      <c r="C35" s="8"/>
      <c r="D35" s="8"/>
    </row>
    <row r="36">
      <c r="A36" s="8"/>
      <c r="B36" s="8"/>
      <c r="C36" s="8"/>
      <c r="D36" s="8"/>
    </row>
    <row r="37">
      <c r="A37" s="8"/>
      <c r="B37" s="8"/>
      <c r="C37" s="8"/>
      <c r="D37" s="8"/>
    </row>
    <row r="38">
      <c r="A38" s="8"/>
      <c r="B38" s="8"/>
      <c r="C38" s="8"/>
      <c r="D38" s="8"/>
    </row>
    <row r="39">
      <c r="A39" s="8"/>
      <c r="B39" s="8"/>
      <c r="C39" s="8"/>
      <c r="D39" s="8"/>
    </row>
    <row r="40">
      <c r="A40" s="8"/>
      <c r="B40" s="8"/>
      <c r="C40" s="8"/>
      <c r="D40" s="8"/>
    </row>
    <row r="41">
      <c r="A41" s="8"/>
      <c r="B41" s="8"/>
      <c r="C41" s="8"/>
      <c r="D41" s="8"/>
    </row>
    <row r="42">
      <c r="A42" s="8"/>
      <c r="B42" s="8"/>
      <c r="C42" s="8"/>
      <c r="D42" s="8"/>
    </row>
    <row r="43">
      <c r="A43" s="8"/>
      <c r="B43" s="8"/>
      <c r="C43" s="8"/>
      <c r="D43" s="8"/>
    </row>
    <row r="44">
      <c r="A44" s="8"/>
      <c r="B44" s="8"/>
      <c r="C44" s="8"/>
      <c r="D44" s="8"/>
    </row>
    <row r="45">
      <c r="A45" s="8"/>
      <c r="B45" s="8"/>
      <c r="C45" s="8"/>
      <c r="D45" s="8"/>
    </row>
    <row r="46">
      <c r="A46" s="8"/>
      <c r="B46" s="8"/>
      <c r="C46" s="8"/>
      <c r="D46" s="8"/>
    </row>
    <row r="47">
      <c r="A47" s="8"/>
      <c r="B47" s="8"/>
      <c r="C47" s="8"/>
      <c r="D47" s="8"/>
    </row>
    <row r="48">
      <c r="A48" s="8"/>
      <c r="B48" s="8"/>
      <c r="C48" s="8"/>
      <c r="D48" s="8"/>
    </row>
    <row r="49">
      <c r="A49" s="8"/>
      <c r="B49" s="8"/>
      <c r="C49" s="8"/>
      <c r="D49" s="8"/>
    </row>
    <row r="50">
      <c r="A50" s="8"/>
      <c r="B50" s="8"/>
      <c r="C50" s="8"/>
      <c r="D50" s="8"/>
    </row>
    <row r="51">
      <c r="A51" s="8"/>
      <c r="B51" s="8"/>
      <c r="C51" s="8"/>
      <c r="D51" s="8"/>
    </row>
    <row r="52">
      <c r="A52" s="8"/>
      <c r="B52" s="8"/>
      <c r="C52" s="8"/>
      <c r="D52" s="8"/>
    </row>
    <row r="53">
      <c r="A53" s="8"/>
      <c r="B53" s="8"/>
      <c r="C53" s="8"/>
      <c r="D53" s="8"/>
    </row>
    <row r="54">
      <c r="A54" s="8"/>
      <c r="B54" s="8"/>
      <c r="C54" s="8"/>
      <c r="D54" s="8"/>
    </row>
    <row r="55">
      <c r="A55" s="8"/>
      <c r="B55" s="8"/>
      <c r="C55" s="8"/>
      <c r="D55" s="8"/>
    </row>
    <row r="56">
      <c r="A56" s="8"/>
      <c r="B56" s="8"/>
      <c r="C56" s="8"/>
      <c r="D56" s="8"/>
    </row>
    <row r="57">
      <c r="A57" s="8"/>
      <c r="B57" s="8"/>
      <c r="C57" s="8"/>
      <c r="D57" s="8"/>
    </row>
    <row r="58">
      <c r="A58" s="8"/>
      <c r="B58" s="8"/>
      <c r="C58" s="8"/>
      <c r="D58" s="8"/>
    </row>
    <row r="59">
      <c r="A59" s="8"/>
      <c r="B59" s="8"/>
      <c r="C59" s="8"/>
      <c r="D59" s="8"/>
    </row>
    <row r="60">
      <c r="A60" s="8"/>
      <c r="B60" s="8"/>
      <c r="C60" s="8"/>
      <c r="D60" s="8"/>
    </row>
    <row r="61">
      <c r="A61" s="8"/>
      <c r="B61" s="8"/>
      <c r="C61" s="8"/>
      <c r="D61" s="8"/>
    </row>
    <row r="62">
      <c r="A62" s="8"/>
      <c r="B62" s="8"/>
      <c r="C62" s="8"/>
      <c r="D62" s="8"/>
    </row>
    <row r="63">
      <c r="A63" s="8"/>
      <c r="B63" s="8"/>
      <c r="C63" s="8"/>
      <c r="D63" s="8"/>
    </row>
    <row r="64">
      <c r="A64" s="8"/>
      <c r="B64" s="8"/>
      <c r="C64" s="8"/>
      <c r="D64" s="8"/>
    </row>
    <row r="65">
      <c r="A65" s="8"/>
      <c r="B65" s="8"/>
      <c r="C65" s="8"/>
      <c r="D65" s="8"/>
    </row>
    <row r="66">
      <c r="A66" s="8"/>
      <c r="B66" s="8"/>
      <c r="C66" s="8"/>
      <c r="D66" s="8"/>
    </row>
    <row r="67">
      <c r="A67" s="8"/>
      <c r="B67" s="8"/>
      <c r="C67" s="8"/>
      <c r="D67" s="8"/>
    </row>
    <row r="68">
      <c r="A68" s="8"/>
      <c r="B68" s="8"/>
      <c r="C68" s="8"/>
      <c r="D68" s="8"/>
    </row>
    <row r="69">
      <c r="A69" s="8"/>
      <c r="B69" s="8"/>
      <c r="C69" s="8"/>
      <c r="D69" s="8"/>
    </row>
    <row r="70">
      <c r="A70" s="8"/>
      <c r="B70" s="8"/>
      <c r="C70" s="8"/>
      <c r="D70" s="8"/>
    </row>
    <row r="71">
      <c r="A71" s="8"/>
      <c r="B71" s="8"/>
      <c r="C71" s="8"/>
      <c r="D71" s="8"/>
    </row>
    <row r="72">
      <c r="A72" s="8"/>
      <c r="B72" s="8"/>
      <c r="C72" s="8"/>
      <c r="D72" s="8"/>
    </row>
    <row r="73">
      <c r="A73" s="8"/>
      <c r="B73" s="8"/>
      <c r="C73" s="8"/>
      <c r="D73" s="8"/>
    </row>
    <row r="74">
      <c r="A74" s="8"/>
      <c r="B74" s="8"/>
      <c r="C74" s="8"/>
      <c r="D74" s="8"/>
    </row>
    <row r="75">
      <c r="A75" s="8"/>
      <c r="B75" s="8"/>
      <c r="C75" s="8"/>
      <c r="D75" s="8"/>
    </row>
    <row r="76">
      <c r="A76" s="8"/>
      <c r="B76" s="8"/>
      <c r="C76" s="8"/>
      <c r="D76" s="8"/>
    </row>
    <row r="77">
      <c r="A77" s="8"/>
      <c r="B77" s="8"/>
      <c r="C77" s="8"/>
      <c r="D77" s="8"/>
    </row>
    <row r="78">
      <c r="A78" s="8"/>
      <c r="B78" s="8"/>
      <c r="C78" s="8"/>
      <c r="D78" s="8"/>
    </row>
    <row r="79">
      <c r="A79" s="8"/>
      <c r="B79" s="8"/>
      <c r="C79" s="8"/>
      <c r="D79" s="8"/>
    </row>
    <row r="80">
      <c r="A80" s="8"/>
      <c r="B80" s="8"/>
      <c r="C80" s="8"/>
      <c r="D80" s="8"/>
    </row>
    <row r="81">
      <c r="A81" s="8"/>
      <c r="B81" s="8"/>
      <c r="C81" s="8"/>
      <c r="D81" s="8"/>
    </row>
    <row r="82">
      <c r="A82" s="8"/>
      <c r="B82" s="8"/>
      <c r="C82" s="8"/>
      <c r="D82" s="8"/>
    </row>
    <row r="83">
      <c r="A83" s="8"/>
      <c r="B83" s="8"/>
      <c r="C83" s="8"/>
      <c r="D83" s="8"/>
    </row>
    <row r="84">
      <c r="A84" s="8"/>
      <c r="B84" s="8"/>
      <c r="C84" s="8"/>
      <c r="D84" s="8"/>
    </row>
    <row r="85">
      <c r="A85" s="8"/>
      <c r="B85" s="8"/>
      <c r="C85" s="8"/>
      <c r="D85" s="8"/>
    </row>
    <row r="86">
      <c r="A86" s="8"/>
      <c r="B86" s="8"/>
      <c r="C86" s="8"/>
      <c r="D86" s="8"/>
    </row>
    <row r="87">
      <c r="A87" s="8"/>
      <c r="B87" s="8"/>
      <c r="C87" s="8"/>
      <c r="D87" s="8"/>
    </row>
    <row r="88">
      <c r="A88" s="8"/>
      <c r="B88" s="8"/>
      <c r="C88" s="8"/>
      <c r="D88" s="8"/>
    </row>
    <row r="89">
      <c r="A89" s="8"/>
      <c r="B89" s="8"/>
      <c r="C89" s="8"/>
      <c r="D89" s="8"/>
    </row>
    <row r="90">
      <c r="A90" s="8"/>
      <c r="B90" s="8"/>
      <c r="C90" s="8"/>
      <c r="D90" s="8"/>
    </row>
    <row r="91">
      <c r="A91" s="8"/>
      <c r="B91" s="8"/>
      <c r="C91" s="8"/>
      <c r="D91" s="8"/>
    </row>
    <row r="92">
      <c r="A92" s="8"/>
      <c r="B92" s="8"/>
      <c r="C92" s="8"/>
      <c r="D92" s="8"/>
    </row>
    <row r="93">
      <c r="A93" s="8"/>
      <c r="B93" s="8"/>
      <c r="C93" s="8"/>
      <c r="D93" s="8"/>
    </row>
    <row r="94">
      <c r="A94" s="8"/>
      <c r="B94" s="8"/>
      <c r="C94" s="8"/>
      <c r="D94" s="8"/>
    </row>
    <row r="95">
      <c r="A95" s="8"/>
      <c r="B95" s="8"/>
      <c r="C95" s="8"/>
      <c r="D95" s="8"/>
    </row>
    <row r="96">
      <c r="A96" s="8"/>
      <c r="B96" s="8"/>
      <c r="C96" s="8"/>
      <c r="D96" s="8"/>
    </row>
    <row r="97">
      <c r="A97" s="8"/>
      <c r="B97" s="8"/>
      <c r="C97" s="8"/>
      <c r="D97" s="8"/>
    </row>
    <row r="98">
      <c r="A98" s="8"/>
      <c r="B98" s="8"/>
      <c r="C98" s="8"/>
      <c r="D98" s="8"/>
    </row>
    <row r="99">
      <c r="A99" s="8"/>
      <c r="B99" s="8"/>
      <c r="C99" s="8"/>
      <c r="D99" s="8"/>
    </row>
    <row r="100">
      <c r="A100" s="8"/>
      <c r="B100" s="8"/>
      <c r="C100" s="8"/>
      <c r="D100" s="8"/>
    </row>
    <row r="101">
      <c r="A101" s="8"/>
      <c r="B101" s="8"/>
      <c r="C101" s="8"/>
      <c r="D101" s="8"/>
    </row>
    <row r="102">
      <c r="A102" s="8"/>
      <c r="B102" s="8"/>
      <c r="C102" s="8"/>
      <c r="D102" s="8"/>
    </row>
    <row r="103">
      <c r="A103" s="8"/>
      <c r="B103" s="8"/>
      <c r="C103" s="8"/>
      <c r="D103" s="8"/>
    </row>
    <row r="104">
      <c r="A104" s="8"/>
      <c r="B104" s="8"/>
      <c r="C104" s="8"/>
      <c r="D104" s="8"/>
    </row>
    <row r="105">
      <c r="A105" s="8"/>
      <c r="B105" s="8"/>
      <c r="C105" s="8"/>
      <c r="D105" s="8"/>
    </row>
    <row r="106">
      <c r="A106" s="8"/>
      <c r="B106" s="8"/>
      <c r="C106" s="8"/>
      <c r="D106" s="8"/>
    </row>
    <row r="107">
      <c r="A107" s="8"/>
      <c r="B107" s="8"/>
      <c r="C107" s="8"/>
      <c r="D107" s="8"/>
    </row>
    <row r="108">
      <c r="A108" s="8"/>
      <c r="B108" s="8"/>
      <c r="C108" s="8"/>
      <c r="D108" s="8"/>
    </row>
    <row r="109">
      <c r="A109" s="8"/>
      <c r="B109" s="8"/>
      <c r="C109" s="8"/>
      <c r="D109" s="8"/>
    </row>
    <row r="110">
      <c r="A110" s="8"/>
      <c r="B110" s="8"/>
      <c r="C110" s="8"/>
      <c r="D110" s="8"/>
    </row>
    <row r="111">
      <c r="A111" s="8"/>
      <c r="B111" s="8"/>
      <c r="C111" s="8"/>
      <c r="D111" s="8"/>
    </row>
    <row r="112">
      <c r="A112" s="8"/>
      <c r="B112" s="8"/>
      <c r="C112" s="8"/>
      <c r="D112" s="8"/>
    </row>
    <row r="113">
      <c r="A113" s="8"/>
      <c r="B113" s="8"/>
      <c r="C113" s="8"/>
      <c r="D113" s="8"/>
    </row>
    <row r="114">
      <c r="A114" s="8"/>
      <c r="B114" s="8"/>
      <c r="C114" s="8"/>
      <c r="D114" s="8"/>
    </row>
    <row r="115">
      <c r="A115" s="8"/>
      <c r="B115" s="8"/>
      <c r="C115" s="8"/>
      <c r="D115" s="8"/>
    </row>
    <row r="116">
      <c r="A116" s="8"/>
      <c r="B116" s="8"/>
      <c r="C116" s="8"/>
      <c r="D116" s="8"/>
    </row>
    <row r="117">
      <c r="A117" s="8"/>
      <c r="B117" s="8"/>
      <c r="C117" s="8"/>
      <c r="D117" s="8"/>
    </row>
    <row r="118">
      <c r="A118" s="8"/>
      <c r="B118" s="8"/>
      <c r="C118" s="8"/>
      <c r="D118" s="8"/>
    </row>
    <row r="119">
      <c r="A119" s="8"/>
      <c r="B119" s="8"/>
      <c r="C119" s="8"/>
      <c r="D119" s="8"/>
    </row>
    <row r="120">
      <c r="A120" s="8"/>
      <c r="B120" s="8"/>
      <c r="C120" s="8"/>
      <c r="D120" s="8"/>
    </row>
    <row r="121">
      <c r="A121" s="8"/>
      <c r="B121" s="8"/>
      <c r="C121" s="8"/>
      <c r="D121" s="8"/>
    </row>
    <row r="122">
      <c r="A122" s="8"/>
      <c r="B122" s="8"/>
      <c r="C122" s="8"/>
      <c r="D122" s="8"/>
    </row>
    <row r="123">
      <c r="A123" s="8"/>
      <c r="B123" s="8"/>
      <c r="C123" s="8"/>
      <c r="D123" s="8"/>
    </row>
    <row r="124">
      <c r="A124" s="8"/>
      <c r="B124" s="8"/>
      <c r="C124" s="8"/>
      <c r="D124" s="8"/>
    </row>
    <row r="125">
      <c r="A125" s="8"/>
      <c r="B125" s="8"/>
      <c r="C125" s="8"/>
      <c r="D125" s="8"/>
    </row>
    <row r="126">
      <c r="A126" s="8"/>
      <c r="B126" s="8"/>
      <c r="C126" s="8"/>
      <c r="D126" s="8"/>
    </row>
    <row r="127">
      <c r="A127" s="8"/>
      <c r="B127" s="8"/>
      <c r="C127" s="8"/>
      <c r="D127" s="8"/>
    </row>
    <row r="128">
      <c r="A128" s="8"/>
      <c r="B128" s="8"/>
      <c r="C128" s="8"/>
      <c r="D128" s="8"/>
    </row>
    <row r="129">
      <c r="A129" s="8"/>
      <c r="B129" s="8"/>
      <c r="C129" s="8"/>
      <c r="D129" s="8"/>
    </row>
    <row r="130">
      <c r="A130" s="8"/>
      <c r="B130" s="8"/>
      <c r="C130" s="8"/>
      <c r="D130" s="8"/>
    </row>
    <row r="131">
      <c r="A131" s="8"/>
      <c r="B131" s="8"/>
      <c r="C131" s="8"/>
      <c r="D131" s="8"/>
    </row>
    <row r="132">
      <c r="A132" s="8"/>
      <c r="B132" s="8"/>
      <c r="C132" s="8"/>
      <c r="D132" s="8"/>
    </row>
    <row r="133">
      <c r="A133" s="8"/>
      <c r="B133" s="8"/>
      <c r="C133" s="8"/>
      <c r="D133" s="8"/>
    </row>
    <row r="134">
      <c r="A134" s="8"/>
      <c r="B134" s="8"/>
      <c r="C134" s="8"/>
      <c r="D134" s="8"/>
    </row>
    <row r="135">
      <c r="A135" s="8"/>
      <c r="B135" s="8"/>
      <c r="C135" s="8"/>
      <c r="D135" s="8"/>
    </row>
    <row r="136">
      <c r="A136" s="8"/>
      <c r="B136" s="8"/>
      <c r="C136" s="8"/>
      <c r="D136" s="8"/>
    </row>
    <row r="137">
      <c r="A137" s="8"/>
      <c r="B137" s="8"/>
      <c r="C137" s="8"/>
      <c r="D137" s="8"/>
    </row>
    <row r="138">
      <c r="A138" s="8"/>
      <c r="B138" s="8"/>
      <c r="C138" s="8"/>
      <c r="D138" s="8"/>
    </row>
    <row r="139">
      <c r="A139" s="8"/>
      <c r="B139" s="8"/>
      <c r="C139" s="8"/>
      <c r="D139" s="8"/>
    </row>
    <row r="140">
      <c r="A140" s="8"/>
      <c r="B140" s="8"/>
      <c r="C140" s="8"/>
      <c r="D140" s="8"/>
    </row>
    <row r="141">
      <c r="A141" s="8"/>
      <c r="B141" s="8"/>
      <c r="C141" s="8"/>
      <c r="D141" s="8"/>
    </row>
    <row r="142">
      <c r="A142" s="8"/>
      <c r="B142" s="8"/>
      <c r="C142" s="8"/>
      <c r="D142" s="8"/>
    </row>
    <row r="143">
      <c r="A143" s="8"/>
      <c r="B143" s="8"/>
      <c r="C143" s="8"/>
      <c r="D143" s="8"/>
    </row>
    <row r="144">
      <c r="A144" s="8"/>
      <c r="B144" s="8"/>
      <c r="C144" s="8"/>
      <c r="D144" s="8"/>
    </row>
    <row r="145">
      <c r="A145" s="8"/>
      <c r="B145" s="8"/>
      <c r="C145" s="8"/>
      <c r="D145" s="8"/>
    </row>
    <row r="146">
      <c r="A146" s="8"/>
      <c r="B146" s="8"/>
      <c r="C146" s="8"/>
      <c r="D146" s="8"/>
    </row>
    <row r="147">
      <c r="A147" s="8"/>
      <c r="B147" s="8"/>
      <c r="C147" s="8"/>
      <c r="D147" s="8"/>
    </row>
    <row r="148">
      <c r="A148" s="8"/>
      <c r="B148" s="8"/>
      <c r="C148" s="8"/>
      <c r="D148" s="8"/>
    </row>
    <row r="149">
      <c r="A149" s="8"/>
      <c r="B149" s="8"/>
      <c r="C149" s="8"/>
      <c r="D149" s="8"/>
    </row>
    <row r="150">
      <c r="A150" s="8"/>
      <c r="B150" s="8"/>
      <c r="C150" s="8"/>
      <c r="D150" s="8"/>
    </row>
    <row r="151">
      <c r="A151" s="8"/>
      <c r="B151" s="8"/>
      <c r="C151" s="8"/>
      <c r="D151" s="8"/>
    </row>
    <row r="152">
      <c r="A152" s="8"/>
      <c r="B152" s="8"/>
      <c r="C152" s="8"/>
      <c r="D152" s="8"/>
    </row>
    <row r="153">
      <c r="A153" s="8"/>
      <c r="B153" s="8"/>
      <c r="C153" s="8"/>
      <c r="D153" s="8"/>
    </row>
    <row r="154">
      <c r="A154" s="8"/>
      <c r="B154" s="8"/>
      <c r="C154" s="8"/>
      <c r="D154" s="8"/>
    </row>
    <row r="155">
      <c r="A155" s="8"/>
      <c r="B155" s="8"/>
      <c r="C155" s="8"/>
      <c r="D155" s="8"/>
    </row>
    <row r="156">
      <c r="A156" s="8"/>
      <c r="B156" s="8"/>
      <c r="C156" s="8"/>
      <c r="D156" s="8"/>
    </row>
    <row r="157">
      <c r="A157" s="8"/>
      <c r="B157" s="8"/>
      <c r="C157" s="8"/>
      <c r="D157" s="8"/>
    </row>
    <row r="158">
      <c r="A158" s="8"/>
      <c r="B158" s="8"/>
      <c r="C158" s="8"/>
      <c r="D158" s="8"/>
    </row>
    <row r="159">
      <c r="A159" s="8"/>
      <c r="B159" s="8"/>
      <c r="C159" s="8"/>
      <c r="D159" s="8"/>
    </row>
    <row r="160">
      <c r="A160" s="8"/>
      <c r="B160" s="8"/>
      <c r="C160" s="8"/>
      <c r="D160" s="8"/>
    </row>
    <row r="161">
      <c r="A161" s="8"/>
      <c r="B161" s="8"/>
      <c r="C161" s="8"/>
      <c r="D161" s="8"/>
    </row>
    <row r="162">
      <c r="A162" s="8"/>
      <c r="B162" s="8"/>
      <c r="C162" s="8"/>
      <c r="D162" s="8"/>
    </row>
    <row r="163">
      <c r="A163" s="8"/>
      <c r="B163" s="8"/>
      <c r="C163" s="8"/>
      <c r="D163" s="8"/>
    </row>
    <row r="164">
      <c r="A164" s="8"/>
      <c r="B164" s="8"/>
      <c r="C164" s="8"/>
      <c r="D164" s="8"/>
    </row>
    <row r="165">
      <c r="A165" s="8"/>
      <c r="B165" s="8"/>
      <c r="C165" s="8"/>
      <c r="D165" s="8"/>
    </row>
    <row r="166">
      <c r="A166" s="8"/>
      <c r="B166" s="8"/>
      <c r="C166" s="8"/>
      <c r="D166" s="8"/>
    </row>
    <row r="167">
      <c r="A167" s="8"/>
      <c r="B167" s="8"/>
      <c r="C167" s="8"/>
      <c r="D167" s="8"/>
    </row>
    <row r="168">
      <c r="A168" s="8"/>
      <c r="B168" s="8"/>
      <c r="C168" s="8"/>
      <c r="D168" s="8"/>
    </row>
    <row r="169">
      <c r="A169" s="8"/>
      <c r="B169" s="8"/>
      <c r="C169" s="8"/>
      <c r="D169" s="8"/>
    </row>
    <row r="170">
      <c r="A170" s="8"/>
      <c r="B170" s="8"/>
      <c r="C170" s="8"/>
      <c r="D170" s="8"/>
    </row>
    <row r="171">
      <c r="A171" s="8"/>
      <c r="B171" s="8"/>
      <c r="C171" s="8"/>
      <c r="D171" s="8"/>
    </row>
    <row r="172">
      <c r="A172" s="8"/>
      <c r="B172" s="8"/>
      <c r="C172" s="8"/>
      <c r="D172" s="8"/>
    </row>
    <row r="173">
      <c r="A173" s="8"/>
      <c r="B173" s="8"/>
      <c r="C173" s="8"/>
      <c r="D173" s="8"/>
    </row>
    <row r="174">
      <c r="A174" s="8"/>
      <c r="B174" s="8"/>
      <c r="C174" s="8"/>
      <c r="D174" s="8"/>
    </row>
    <row r="175">
      <c r="A175" s="8"/>
      <c r="B175" s="8"/>
      <c r="C175" s="8"/>
      <c r="D175" s="8"/>
    </row>
    <row r="176">
      <c r="A176" s="8"/>
      <c r="B176" s="8"/>
      <c r="C176" s="8"/>
      <c r="D176" s="8"/>
    </row>
    <row r="177">
      <c r="A177" s="8"/>
      <c r="B177" s="8"/>
      <c r="C177" s="8"/>
      <c r="D177" s="8"/>
    </row>
    <row r="178">
      <c r="A178" s="8"/>
      <c r="B178" s="8"/>
      <c r="C178" s="8"/>
      <c r="D178" s="8"/>
    </row>
    <row r="179">
      <c r="A179" s="8"/>
      <c r="B179" s="8"/>
      <c r="C179" s="8"/>
      <c r="D179" s="8"/>
    </row>
    <row r="180">
      <c r="A180" s="8"/>
      <c r="B180" s="8"/>
      <c r="C180" s="8"/>
      <c r="D180" s="8"/>
    </row>
    <row r="181">
      <c r="A181" s="8"/>
      <c r="B181" s="8"/>
      <c r="C181" s="8"/>
      <c r="D181" s="8"/>
    </row>
    <row r="182">
      <c r="A182" s="8"/>
      <c r="B182" s="8"/>
      <c r="C182" s="8"/>
      <c r="D182" s="8"/>
    </row>
    <row r="183">
      <c r="A183" s="8"/>
      <c r="B183" s="8"/>
      <c r="C183" s="8"/>
      <c r="D183" s="8"/>
    </row>
    <row r="184">
      <c r="A184" s="8"/>
      <c r="B184" s="8"/>
      <c r="C184" s="8"/>
      <c r="D184" s="8"/>
    </row>
    <row r="185">
      <c r="A185" s="8"/>
      <c r="B185" s="8"/>
      <c r="C185" s="8"/>
      <c r="D185" s="8"/>
    </row>
    <row r="186">
      <c r="A186" s="8"/>
      <c r="B186" s="8"/>
      <c r="C186" s="8"/>
      <c r="D186" s="8"/>
    </row>
    <row r="187">
      <c r="A187" s="8"/>
      <c r="B187" s="8"/>
      <c r="C187" s="8"/>
      <c r="D187" s="8"/>
    </row>
    <row r="188">
      <c r="A188" s="8"/>
      <c r="B188" s="8"/>
      <c r="C188" s="8"/>
      <c r="D188" s="8"/>
    </row>
    <row r="189">
      <c r="A189" s="8"/>
      <c r="B189" s="8"/>
      <c r="C189" s="8"/>
      <c r="D189" s="8"/>
    </row>
    <row r="190">
      <c r="A190" s="8"/>
      <c r="B190" s="8"/>
      <c r="C190" s="8"/>
      <c r="D190" s="8"/>
    </row>
    <row r="191">
      <c r="A191" s="8"/>
      <c r="B191" s="8"/>
      <c r="C191" s="8"/>
      <c r="D191" s="8"/>
    </row>
    <row r="192">
      <c r="A192" s="8"/>
      <c r="B192" s="8"/>
      <c r="C192" s="8"/>
      <c r="D192" s="8"/>
    </row>
    <row r="193">
      <c r="A193" s="8"/>
      <c r="B193" s="8"/>
      <c r="C193" s="8"/>
      <c r="D193" s="8"/>
    </row>
    <row r="194">
      <c r="A194" s="8"/>
      <c r="B194" s="8"/>
      <c r="C194" s="8"/>
      <c r="D194" s="8"/>
    </row>
    <row r="195">
      <c r="A195" s="8"/>
      <c r="B195" s="8"/>
      <c r="C195" s="8"/>
      <c r="D195" s="8"/>
    </row>
    <row r="196">
      <c r="A196" s="8"/>
      <c r="B196" s="8"/>
      <c r="C196" s="8"/>
      <c r="D196" s="8"/>
    </row>
    <row r="197">
      <c r="A197" s="8"/>
      <c r="B197" s="8"/>
      <c r="C197" s="8"/>
      <c r="D197" s="8"/>
    </row>
    <row r="198">
      <c r="A198" s="8"/>
      <c r="B198" s="8"/>
      <c r="C198" s="8"/>
      <c r="D198" s="8"/>
    </row>
    <row r="199">
      <c r="A199" s="8"/>
      <c r="B199" s="8"/>
      <c r="C199" s="8"/>
      <c r="D199" s="8"/>
    </row>
    <row r="200">
      <c r="A200" s="8"/>
      <c r="B200" s="8"/>
      <c r="C200" s="8"/>
      <c r="D200" s="8"/>
    </row>
    <row r="201">
      <c r="A201" s="8"/>
      <c r="B201" s="8"/>
      <c r="C201" s="8"/>
      <c r="D201" s="8"/>
    </row>
    <row r="202">
      <c r="A202" s="8"/>
      <c r="B202" s="8"/>
      <c r="C202" s="8"/>
      <c r="D202" s="8"/>
    </row>
    <row r="203">
      <c r="A203" s="8"/>
      <c r="B203" s="8"/>
      <c r="C203" s="8"/>
      <c r="D203" s="8"/>
    </row>
    <row r="204">
      <c r="A204" s="8"/>
      <c r="B204" s="8"/>
      <c r="C204" s="8"/>
      <c r="D204" s="8"/>
    </row>
    <row r="205">
      <c r="A205" s="8"/>
      <c r="B205" s="8"/>
      <c r="C205" s="8"/>
      <c r="D205" s="8"/>
    </row>
    <row r="206">
      <c r="A206" s="8"/>
      <c r="B206" s="8"/>
      <c r="C206" s="8"/>
      <c r="D206" s="8"/>
    </row>
    <row r="207">
      <c r="A207" s="8"/>
      <c r="B207" s="8"/>
      <c r="C207" s="8"/>
      <c r="D207" s="8"/>
    </row>
    <row r="208">
      <c r="A208" s="8"/>
      <c r="B208" s="8"/>
      <c r="C208" s="8"/>
      <c r="D208" s="8"/>
    </row>
    <row r="209">
      <c r="A209" s="8"/>
      <c r="B209" s="8"/>
      <c r="C209" s="8"/>
      <c r="D209" s="8"/>
    </row>
    <row r="210">
      <c r="A210" s="8"/>
      <c r="B210" s="8"/>
      <c r="C210" s="8"/>
      <c r="D210" s="8"/>
    </row>
    <row r="211">
      <c r="A211" s="8"/>
      <c r="B211" s="8"/>
      <c r="C211" s="8"/>
      <c r="D211" s="8"/>
    </row>
    <row r="212">
      <c r="A212" s="8"/>
      <c r="B212" s="8"/>
      <c r="C212" s="8"/>
      <c r="D212" s="8"/>
    </row>
    <row r="213">
      <c r="A213" s="8"/>
      <c r="B213" s="8"/>
      <c r="C213" s="8"/>
      <c r="D213" s="8"/>
    </row>
    <row r="214">
      <c r="A214" s="8"/>
      <c r="B214" s="8"/>
      <c r="C214" s="8"/>
      <c r="D214" s="8"/>
    </row>
    <row r="215">
      <c r="A215" s="8"/>
      <c r="B215" s="8"/>
      <c r="C215" s="8"/>
      <c r="D215" s="8"/>
    </row>
    <row r="216">
      <c r="A216" s="8"/>
      <c r="B216" s="8"/>
      <c r="C216" s="8"/>
      <c r="D216" s="8"/>
    </row>
    <row r="217">
      <c r="A217" s="8"/>
      <c r="B217" s="8"/>
      <c r="C217" s="8"/>
      <c r="D217" s="8"/>
    </row>
    <row r="218">
      <c r="A218" s="8"/>
      <c r="B218" s="8"/>
      <c r="C218" s="8"/>
      <c r="D218" s="8"/>
    </row>
    <row r="219">
      <c r="A219" s="8"/>
      <c r="B219" s="8"/>
      <c r="C219" s="8"/>
      <c r="D219" s="8"/>
    </row>
    <row r="220">
      <c r="A220" s="8"/>
      <c r="B220" s="8"/>
      <c r="C220" s="8"/>
      <c r="D220" s="8"/>
    </row>
    <row r="221">
      <c r="A221" s="8"/>
      <c r="B221" s="8"/>
      <c r="C221" s="8"/>
      <c r="D221" s="8"/>
    </row>
    <row r="222">
      <c r="A222" s="8"/>
      <c r="B222" s="8"/>
      <c r="C222" s="8"/>
      <c r="D222" s="8"/>
    </row>
    <row r="223">
      <c r="A223" s="8"/>
      <c r="B223" s="8"/>
      <c r="C223" s="8"/>
      <c r="D223" s="8"/>
    </row>
    <row r="224">
      <c r="A224" s="8"/>
      <c r="B224" s="8"/>
      <c r="C224" s="8"/>
      <c r="D224" s="8"/>
    </row>
    <row r="225">
      <c r="A225" s="8"/>
      <c r="B225" s="8"/>
      <c r="C225" s="8"/>
      <c r="D225" s="8"/>
    </row>
    <row r="226">
      <c r="A226" s="8"/>
      <c r="B226" s="8"/>
      <c r="C226" s="8"/>
      <c r="D226" s="8"/>
    </row>
    <row r="227">
      <c r="A227" s="8"/>
      <c r="B227" s="8"/>
      <c r="C227" s="8"/>
      <c r="D227" s="8"/>
    </row>
    <row r="228">
      <c r="A228" s="8"/>
      <c r="B228" s="8"/>
      <c r="C228" s="8"/>
      <c r="D228" s="8"/>
    </row>
    <row r="229">
      <c r="A229" s="8"/>
      <c r="B229" s="8"/>
      <c r="C229" s="8"/>
      <c r="D229" s="8"/>
    </row>
    <row r="230">
      <c r="A230" s="8"/>
      <c r="B230" s="8"/>
      <c r="C230" s="8"/>
      <c r="D230" s="8"/>
    </row>
    <row r="231">
      <c r="A231" s="8"/>
      <c r="B231" s="8"/>
      <c r="C231" s="8"/>
      <c r="D231" s="8"/>
    </row>
    <row r="232">
      <c r="A232" s="8"/>
      <c r="B232" s="8"/>
      <c r="C232" s="8"/>
      <c r="D232" s="8"/>
    </row>
    <row r="233">
      <c r="A233" s="8"/>
      <c r="B233" s="8"/>
      <c r="C233" s="8"/>
      <c r="D233" s="8"/>
    </row>
    <row r="234">
      <c r="A234" s="8"/>
      <c r="B234" s="8"/>
      <c r="C234" s="8"/>
      <c r="D234" s="8"/>
    </row>
    <row r="235">
      <c r="A235" s="8"/>
      <c r="B235" s="8"/>
      <c r="C235" s="8"/>
      <c r="D235" s="8"/>
    </row>
    <row r="236">
      <c r="A236" s="8"/>
      <c r="B236" s="8"/>
      <c r="C236" s="8"/>
      <c r="D236" s="8"/>
    </row>
    <row r="237">
      <c r="A237" s="8"/>
      <c r="B237" s="8"/>
      <c r="C237" s="8"/>
      <c r="D237" s="8"/>
    </row>
    <row r="238">
      <c r="A238" s="8"/>
      <c r="B238" s="8"/>
      <c r="C238" s="8"/>
      <c r="D238" s="8"/>
    </row>
    <row r="239">
      <c r="A239" s="8"/>
      <c r="B239" s="8"/>
      <c r="C239" s="8"/>
      <c r="D239" s="8"/>
    </row>
    <row r="240">
      <c r="A240" s="8"/>
      <c r="B240" s="8"/>
      <c r="C240" s="8"/>
      <c r="D240" s="8"/>
    </row>
    <row r="241">
      <c r="A241" s="8"/>
      <c r="B241" s="8"/>
      <c r="C241" s="8"/>
      <c r="D241" s="8"/>
    </row>
    <row r="242">
      <c r="A242" s="8"/>
      <c r="B242" s="8"/>
      <c r="C242" s="8"/>
      <c r="D242" s="8"/>
    </row>
    <row r="243">
      <c r="A243" s="8"/>
      <c r="B243" s="8"/>
      <c r="C243" s="8"/>
      <c r="D243" s="8"/>
    </row>
    <row r="244">
      <c r="A244" s="8"/>
      <c r="B244" s="8"/>
      <c r="C244" s="8"/>
      <c r="D244" s="8"/>
    </row>
    <row r="245">
      <c r="A245" s="8"/>
      <c r="B245" s="8"/>
      <c r="C245" s="8"/>
      <c r="D245" s="8"/>
    </row>
    <row r="246">
      <c r="A246" s="8"/>
      <c r="B246" s="8"/>
      <c r="C246" s="8"/>
      <c r="D246" s="8"/>
    </row>
    <row r="247">
      <c r="A247" s="8"/>
      <c r="B247" s="8"/>
      <c r="C247" s="8"/>
      <c r="D247" s="8"/>
    </row>
    <row r="248">
      <c r="A248" s="8"/>
      <c r="B248" s="8"/>
      <c r="C248" s="8"/>
      <c r="D248" s="8"/>
    </row>
    <row r="249">
      <c r="A249" s="8"/>
      <c r="B249" s="8"/>
      <c r="C249" s="8"/>
      <c r="D249" s="8"/>
    </row>
    <row r="250">
      <c r="A250" s="8"/>
      <c r="B250" s="8"/>
      <c r="C250" s="8"/>
      <c r="D250" s="8"/>
    </row>
    <row r="251">
      <c r="A251" s="8"/>
      <c r="B251" s="8"/>
      <c r="C251" s="8"/>
      <c r="D251" s="8"/>
    </row>
    <row r="252">
      <c r="A252" s="8"/>
      <c r="B252" s="8"/>
      <c r="C252" s="8"/>
      <c r="D252" s="8"/>
    </row>
    <row r="253">
      <c r="A253" s="8"/>
      <c r="B253" s="8"/>
      <c r="C253" s="8"/>
      <c r="D253" s="8"/>
    </row>
    <row r="254">
      <c r="A254" s="8"/>
      <c r="B254" s="8"/>
      <c r="C254" s="8"/>
      <c r="D254" s="8"/>
    </row>
    <row r="255">
      <c r="A255" s="8"/>
      <c r="B255" s="8"/>
      <c r="C255" s="8"/>
      <c r="D255" s="8"/>
    </row>
    <row r="256">
      <c r="A256" s="8"/>
      <c r="B256" s="8"/>
      <c r="C256" s="8"/>
      <c r="D256" s="8"/>
    </row>
    <row r="257">
      <c r="A257" s="8"/>
      <c r="B257" s="8"/>
      <c r="C257" s="8"/>
      <c r="D257" s="8"/>
    </row>
    <row r="258">
      <c r="A258" s="8"/>
      <c r="B258" s="8"/>
      <c r="C258" s="8"/>
      <c r="D258" s="8"/>
    </row>
    <row r="259">
      <c r="A259" s="8"/>
      <c r="B259" s="8"/>
      <c r="C259" s="8"/>
      <c r="D259" s="8"/>
    </row>
    <row r="260">
      <c r="A260" s="8"/>
      <c r="B260" s="8"/>
      <c r="C260" s="8"/>
      <c r="D260" s="8"/>
    </row>
    <row r="261">
      <c r="A261" s="8"/>
      <c r="B261" s="8"/>
      <c r="C261" s="8"/>
      <c r="D261" s="8"/>
    </row>
    <row r="262">
      <c r="A262" s="8"/>
      <c r="B262" s="8"/>
      <c r="C262" s="8"/>
      <c r="D262" s="8"/>
    </row>
    <row r="263">
      <c r="A263" s="8"/>
      <c r="B263" s="8"/>
      <c r="C263" s="8"/>
      <c r="D263" s="8"/>
    </row>
    <row r="264">
      <c r="A264" s="8"/>
      <c r="B264" s="8"/>
      <c r="C264" s="8"/>
      <c r="D264" s="8"/>
    </row>
    <row r="265">
      <c r="A265" s="8"/>
      <c r="B265" s="8"/>
      <c r="C265" s="8"/>
      <c r="D265" s="8"/>
    </row>
    <row r="266">
      <c r="A266" s="8"/>
      <c r="B266" s="8"/>
      <c r="C266" s="8"/>
      <c r="D266" s="8"/>
    </row>
    <row r="267">
      <c r="A267" s="8"/>
      <c r="B267" s="8"/>
      <c r="C267" s="8"/>
      <c r="D267" s="8"/>
    </row>
    <row r="268">
      <c r="A268" s="8"/>
      <c r="B268" s="8"/>
      <c r="C268" s="8"/>
      <c r="D268" s="8"/>
    </row>
    <row r="269">
      <c r="A269" s="8"/>
      <c r="B269" s="8"/>
      <c r="C269" s="8"/>
      <c r="D269" s="8"/>
    </row>
    <row r="270">
      <c r="A270" s="8"/>
      <c r="B270" s="8"/>
      <c r="C270" s="8"/>
      <c r="D270" s="8"/>
    </row>
    <row r="271">
      <c r="A271" s="8"/>
      <c r="B271" s="8"/>
      <c r="C271" s="8"/>
      <c r="D271" s="8"/>
    </row>
    <row r="272">
      <c r="A272" s="8"/>
      <c r="B272" s="8"/>
      <c r="C272" s="8"/>
      <c r="D272" s="8"/>
    </row>
    <row r="273">
      <c r="A273" s="8"/>
      <c r="B273" s="8"/>
      <c r="C273" s="8"/>
      <c r="D273" s="8"/>
    </row>
    <row r="274">
      <c r="A274" s="8"/>
      <c r="B274" s="8"/>
      <c r="C274" s="8"/>
      <c r="D274" s="8"/>
    </row>
    <row r="275">
      <c r="A275" s="8"/>
      <c r="B275" s="8"/>
      <c r="C275" s="8"/>
      <c r="D275" s="8"/>
    </row>
    <row r="276">
      <c r="A276" s="8"/>
      <c r="B276" s="8"/>
      <c r="C276" s="8"/>
      <c r="D276" s="8"/>
    </row>
    <row r="277">
      <c r="A277" s="8"/>
      <c r="B277" s="8"/>
      <c r="C277" s="8"/>
      <c r="D277" s="8"/>
    </row>
    <row r="278">
      <c r="A278" s="8"/>
      <c r="B278" s="8"/>
      <c r="C278" s="8"/>
      <c r="D278" s="8"/>
    </row>
    <row r="279">
      <c r="A279" s="8"/>
      <c r="B279" s="8"/>
      <c r="C279" s="8"/>
      <c r="D279" s="8"/>
    </row>
    <row r="280">
      <c r="A280" s="8"/>
      <c r="B280" s="8"/>
      <c r="C280" s="8"/>
      <c r="D280" s="8"/>
    </row>
    <row r="281">
      <c r="A281" s="8"/>
      <c r="B281" s="8"/>
      <c r="C281" s="8"/>
      <c r="D281" s="8"/>
    </row>
    <row r="282">
      <c r="A282" s="8"/>
      <c r="B282" s="8"/>
      <c r="C282" s="8"/>
      <c r="D282" s="8"/>
    </row>
    <row r="283">
      <c r="A283" s="8"/>
      <c r="B283" s="8"/>
      <c r="C283" s="8"/>
      <c r="D283" s="8"/>
    </row>
    <row r="284">
      <c r="A284" s="8"/>
      <c r="B284" s="8"/>
      <c r="C284" s="8"/>
      <c r="D284" s="8"/>
    </row>
    <row r="285">
      <c r="A285" s="8"/>
      <c r="B285" s="8"/>
      <c r="C285" s="8"/>
      <c r="D285" s="8"/>
    </row>
    <row r="286">
      <c r="A286" s="8"/>
      <c r="B286" s="8"/>
      <c r="C286" s="8"/>
      <c r="D286" s="8"/>
    </row>
    <row r="287">
      <c r="A287" s="8"/>
      <c r="B287" s="8"/>
      <c r="C287" s="8"/>
      <c r="D287" s="8"/>
    </row>
    <row r="288">
      <c r="A288" s="8"/>
      <c r="B288" s="8"/>
      <c r="C288" s="8"/>
      <c r="D288" s="8"/>
    </row>
    <row r="289">
      <c r="A289" s="8"/>
      <c r="B289" s="8"/>
      <c r="C289" s="8"/>
      <c r="D289" s="8"/>
    </row>
    <row r="290">
      <c r="A290" s="8"/>
      <c r="B290" s="8"/>
      <c r="C290" s="8"/>
      <c r="D290" s="8"/>
    </row>
    <row r="291">
      <c r="A291" s="8"/>
      <c r="B291" s="8"/>
      <c r="C291" s="8"/>
      <c r="D291" s="8"/>
    </row>
    <row r="292">
      <c r="A292" s="8"/>
      <c r="B292" s="8"/>
      <c r="C292" s="8"/>
      <c r="D292" s="8"/>
    </row>
    <row r="293">
      <c r="A293" s="8"/>
      <c r="B293" s="8"/>
      <c r="C293" s="8"/>
      <c r="D293" s="8"/>
    </row>
    <row r="294">
      <c r="A294" s="8"/>
      <c r="B294" s="8"/>
      <c r="C294" s="8"/>
      <c r="D294" s="8"/>
    </row>
    <row r="295">
      <c r="A295" s="8"/>
      <c r="B295" s="8"/>
      <c r="C295" s="8"/>
      <c r="D295" s="8"/>
    </row>
    <row r="296">
      <c r="A296" s="8"/>
      <c r="B296" s="8"/>
      <c r="C296" s="8"/>
      <c r="D296" s="8"/>
    </row>
    <row r="297">
      <c r="A297" s="8"/>
      <c r="B297" s="8"/>
      <c r="C297" s="8"/>
      <c r="D297" s="8"/>
    </row>
    <row r="298">
      <c r="A298" s="8"/>
      <c r="B298" s="8"/>
      <c r="C298" s="8"/>
      <c r="D298" s="8"/>
    </row>
    <row r="299">
      <c r="A299" s="8"/>
      <c r="B299" s="8"/>
      <c r="C299" s="8"/>
      <c r="D299" s="8"/>
    </row>
    <row r="300">
      <c r="A300" s="8"/>
      <c r="B300" s="8"/>
      <c r="C300" s="8"/>
      <c r="D300" s="8"/>
    </row>
    <row r="301">
      <c r="A301" s="8"/>
      <c r="B301" s="8"/>
      <c r="C301" s="8"/>
      <c r="D301" s="8"/>
    </row>
    <row r="302">
      <c r="A302" s="8"/>
      <c r="B302" s="8"/>
      <c r="C302" s="8"/>
      <c r="D302" s="8"/>
    </row>
    <row r="303">
      <c r="A303" s="8"/>
      <c r="B303" s="8"/>
      <c r="C303" s="8"/>
      <c r="D303" s="8"/>
    </row>
    <row r="304">
      <c r="A304" s="8"/>
      <c r="B304" s="8"/>
      <c r="C304" s="8"/>
      <c r="D304" s="8"/>
    </row>
    <row r="305">
      <c r="A305" s="8"/>
      <c r="B305" s="8"/>
      <c r="C305" s="8"/>
      <c r="D305" s="8"/>
    </row>
    <row r="306">
      <c r="A306" s="8"/>
      <c r="B306" s="8"/>
      <c r="C306" s="8"/>
      <c r="D306" s="8"/>
    </row>
    <row r="307">
      <c r="A307" s="8"/>
      <c r="B307" s="8"/>
      <c r="C307" s="8"/>
      <c r="D307" s="8"/>
    </row>
    <row r="308">
      <c r="A308" s="8"/>
      <c r="B308" s="8"/>
      <c r="C308" s="8"/>
      <c r="D308" s="8"/>
    </row>
    <row r="309">
      <c r="A309" s="8"/>
      <c r="B309" s="8"/>
      <c r="C309" s="8"/>
      <c r="D309" s="8"/>
    </row>
    <row r="310">
      <c r="A310" s="8"/>
      <c r="B310" s="8"/>
      <c r="C310" s="8"/>
      <c r="D310" s="8"/>
    </row>
    <row r="311">
      <c r="A311" s="8"/>
      <c r="B311" s="8"/>
      <c r="C311" s="8"/>
      <c r="D311" s="8"/>
    </row>
    <row r="312">
      <c r="A312" s="8"/>
      <c r="B312" s="8"/>
      <c r="C312" s="8"/>
      <c r="D312" s="8"/>
    </row>
    <row r="313">
      <c r="A313" s="8"/>
      <c r="B313" s="8"/>
      <c r="C313" s="8"/>
      <c r="D313" s="8"/>
    </row>
    <row r="314">
      <c r="A314" s="8"/>
      <c r="B314" s="8"/>
      <c r="C314" s="8"/>
      <c r="D314" s="8"/>
    </row>
    <row r="315">
      <c r="A315" s="8"/>
      <c r="B315" s="8"/>
      <c r="C315" s="8"/>
      <c r="D315" s="8"/>
    </row>
    <row r="316">
      <c r="A316" s="8"/>
      <c r="B316" s="8"/>
      <c r="C316" s="8"/>
      <c r="D316" s="8"/>
    </row>
    <row r="317">
      <c r="A317" s="8"/>
      <c r="B317" s="8"/>
      <c r="C317" s="8"/>
      <c r="D317" s="8"/>
    </row>
    <row r="318">
      <c r="A318" s="8"/>
      <c r="B318" s="8"/>
      <c r="C318" s="8"/>
      <c r="D318" s="8"/>
    </row>
    <row r="319">
      <c r="A319" s="8"/>
      <c r="B319" s="8"/>
      <c r="C319" s="8"/>
      <c r="D319" s="8"/>
    </row>
    <row r="320">
      <c r="A320" s="8"/>
      <c r="B320" s="8"/>
      <c r="C320" s="8"/>
      <c r="D320" s="8"/>
    </row>
    <row r="321">
      <c r="A321" s="8"/>
      <c r="B321" s="8"/>
      <c r="C321" s="8"/>
      <c r="D321" s="8"/>
    </row>
    <row r="322">
      <c r="A322" s="8"/>
      <c r="B322" s="8"/>
      <c r="C322" s="8"/>
      <c r="D322" s="8"/>
    </row>
    <row r="323">
      <c r="A323" s="8"/>
      <c r="B323" s="8"/>
      <c r="C323" s="8"/>
      <c r="D323" s="8"/>
    </row>
    <row r="324">
      <c r="A324" s="8"/>
      <c r="B324" s="8"/>
      <c r="C324" s="8"/>
      <c r="D324" s="8"/>
    </row>
    <row r="325">
      <c r="A325" s="8"/>
      <c r="B325" s="8"/>
      <c r="C325" s="8"/>
      <c r="D325" s="8"/>
    </row>
    <row r="326">
      <c r="A326" s="8"/>
      <c r="B326" s="8"/>
      <c r="C326" s="8"/>
      <c r="D326" s="8"/>
    </row>
    <row r="327">
      <c r="A327" s="8"/>
      <c r="B327" s="8"/>
      <c r="C327" s="8"/>
      <c r="D327" s="8"/>
    </row>
    <row r="328">
      <c r="A328" s="8"/>
      <c r="B328" s="8"/>
      <c r="C328" s="8"/>
      <c r="D328" s="8"/>
    </row>
    <row r="329">
      <c r="A329" s="8"/>
      <c r="B329" s="8"/>
      <c r="C329" s="8"/>
      <c r="D329" s="8"/>
    </row>
    <row r="330">
      <c r="A330" s="8"/>
      <c r="B330" s="8"/>
      <c r="C330" s="8"/>
      <c r="D330" s="8"/>
    </row>
    <row r="331">
      <c r="A331" s="8"/>
      <c r="B331" s="8"/>
      <c r="C331" s="8"/>
      <c r="D331" s="8"/>
    </row>
    <row r="332">
      <c r="A332" s="8"/>
      <c r="B332" s="8"/>
      <c r="C332" s="8"/>
      <c r="D332" s="8"/>
    </row>
    <row r="333">
      <c r="A333" s="8"/>
      <c r="B333" s="8"/>
      <c r="C333" s="8"/>
      <c r="D333" s="8"/>
    </row>
    <row r="334">
      <c r="A334" s="8"/>
      <c r="B334" s="8"/>
      <c r="C334" s="8"/>
      <c r="D334" s="8"/>
    </row>
    <row r="335">
      <c r="A335" s="8"/>
      <c r="B335" s="8"/>
      <c r="C335" s="8"/>
      <c r="D335" s="8"/>
    </row>
    <row r="336">
      <c r="A336" s="8"/>
      <c r="B336" s="8"/>
      <c r="C336" s="8"/>
      <c r="D336" s="8"/>
    </row>
    <row r="337">
      <c r="A337" s="8"/>
      <c r="B337" s="8"/>
      <c r="C337" s="8"/>
      <c r="D337" s="8"/>
    </row>
    <row r="338">
      <c r="A338" s="8"/>
      <c r="B338" s="8"/>
      <c r="C338" s="8"/>
      <c r="D338" s="8"/>
    </row>
    <row r="339">
      <c r="A339" s="8"/>
      <c r="B339" s="8"/>
      <c r="C339" s="8"/>
      <c r="D339" s="8"/>
    </row>
    <row r="340">
      <c r="A340" s="8"/>
      <c r="B340" s="8"/>
      <c r="C340" s="8"/>
      <c r="D340" s="8"/>
    </row>
    <row r="341">
      <c r="A341" s="8"/>
      <c r="B341" s="8"/>
      <c r="C341" s="8"/>
      <c r="D341" s="8"/>
    </row>
    <row r="342">
      <c r="A342" s="8"/>
      <c r="B342" s="8"/>
      <c r="C342" s="8"/>
      <c r="D342" s="8"/>
    </row>
    <row r="343">
      <c r="A343" s="8"/>
      <c r="B343" s="8"/>
      <c r="C343" s="8"/>
      <c r="D343" s="8"/>
    </row>
    <row r="344">
      <c r="A344" s="8"/>
      <c r="B344" s="8"/>
      <c r="C344" s="8"/>
      <c r="D344" s="8"/>
    </row>
    <row r="345">
      <c r="A345" s="8"/>
      <c r="B345" s="8"/>
      <c r="C345" s="8"/>
      <c r="D345" s="8"/>
    </row>
    <row r="346">
      <c r="A346" s="8"/>
      <c r="B346" s="8"/>
      <c r="C346" s="8"/>
      <c r="D346" s="8"/>
    </row>
    <row r="347">
      <c r="A347" s="8"/>
      <c r="B347" s="8"/>
      <c r="C347" s="8"/>
      <c r="D347" s="8"/>
    </row>
    <row r="348">
      <c r="A348" s="8"/>
      <c r="B348" s="8"/>
      <c r="C348" s="8"/>
      <c r="D348" s="8"/>
    </row>
    <row r="349">
      <c r="A349" s="8"/>
      <c r="B349" s="8"/>
      <c r="C349" s="8"/>
      <c r="D349" s="8"/>
    </row>
    <row r="350">
      <c r="A350" s="8"/>
      <c r="B350" s="8"/>
      <c r="C350" s="8"/>
      <c r="D350" s="8"/>
    </row>
    <row r="351">
      <c r="A351" s="8"/>
      <c r="B351" s="8"/>
      <c r="C351" s="8"/>
      <c r="D351" s="8"/>
    </row>
    <row r="352">
      <c r="A352" s="8"/>
      <c r="B352" s="8"/>
      <c r="C352" s="8"/>
      <c r="D352" s="8"/>
    </row>
    <row r="353">
      <c r="A353" s="8"/>
      <c r="B353" s="8"/>
      <c r="C353" s="8"/>
      <c r="D353" s="8"/>
    </row>
    <row r="354">
      <c r="A354" s="8"/>
      <c r="B354" s="8"/>
      <c r="C354" s="8"/>
      <c r="D354" s="8"/>
    </row>
    <row r="355">
      <c r="A355" s="8"/>
      <c r="B355" s="8"/>
      <c r="C355" s="8"/>
      <c r="D355" s="8"/>
    </row>
    <row r="356">
      <c r="A356" s="8"/>
      <c r="B356" s="8"/>
      <c r="C356" s="8"/>
      <c r="D356" s="8"/>
    </row>
    <row r="357">
      <c r="A357" s="8"/>
      <c r="B357" s="8"/>
      <c r="C357" s="8"/>
      <c r="D357" s="8"/>
    </row>
    <row r="358">
      <c r="A358" s="8"/>
      <c r="B358" s="8"/>
      <c r="C358" s="8"/>
      <c r="D358" s="8"/>
    </row>
    <row r="359">
      <c r="A359" s="8"/>
      <c r="B359" s="8"/>
      <c r="C359" s="8"/>
      <c r="D359" s="8"/>
    </row>
    <row r="360">
      <c r="A360" s="8"/>
      <c r="B360" s="8"/>
      <c r="C360" s="8"/>
      <c r="D360" s="8"/>
    </row>
    <row r="361">
      <c r="A361" s="8"/>
      <c r="B361" s="8"/>
      <c r="C361" s="8"/>
      <c r="D361" s="8"/>
    </row>
    <row r="362">
      <c r="A362" s="8"/>
      <c r="B362" s="8"/>
      <c r="C362" s="8"/>
      <c r="D362" s="8"/>
    </row>
    <row r="363">
      <c r="A363" s="8"/>
      <c r="B363" s="8"/>
      <c r="C363" s="8"/>
      <c r="D363" s="8"/>
    </row>
    <row r="364">
      <c r="A364" s="8"/>
      <c r="B364" s="8"/>
      <c r="C364" s="8"/>
      <c r="D364" s="8"/>
    </row>
    <row r="365">
      <c r="A365" s="8"/>
      <c r="B365" s="8"/>
      <c r="C365" s="8"/>
      <c r="D365" s="8"/>
    </row>
    <row r="366">
      <c r="A366" s="8"/>
      <c r="B366" s="8"/>
      <c r="C366" s="8"/>
      <c r="D366" s="8"/>
    </row>
    <row r="367">
      <c r="A367" s="8"/>
      <c r="B367" s="8"/>
      <c r="C367" s="8"/>
      <c r="D367" s="8"/>
    </row>
    <row r="368">
      <c r="A368" s="8"/>
      <c r="B368" s="8"/>
      <c r="C368" s="8"/>
      <c r="D368" s="8"/>
    </row>
    <row r="369">
      <c r="A369" s="8"/>
      <c r="B369" s="8"/>
      <c r="C369" s="8"/>
      <c r="D369" s="8"/>
    </row>
    <row r="370">
      <c r="A370" s="8"/>
      <c r="B370" s="8"/>
      <c r="C370" s="8"/>
      <c r="D370" s="8"/>
    </row>
    <row r="371">
      <c r="A371" s="8"/>
      <c r="B371" s="8"/>
      <c r="C371" s="8"/>
      <c r="D371" s="8"/>
    </row>
    <row r="372">
      <c r="A372" s="8"/>
      <c r="B372" s="8"/>
      <c r="C372" s="8"/>
      <c r="D372" s="8"/>
    </row>
    <row r="373">
      <c r="A373" s="8"/>
      <c r="B373" s="8"/>
      <c r="C373" s="8"/>
      <c r="D373" s="8"/>
    </row>
    <row r="374">
      <c r="A374" s="8"/>
      <c r="B374" s="8"/>
      <c r="C374" s="8"/>
      <c r="D374" s="8"/>
    </row>
    <row r="375">
      <c r="A375" s="8"/>
      <c r="B375" s="8"/>
      <c r="C375" s="8"/>
      <c r="D375" s="8"/>
    </row>
    <row r="376">
      <c r="A376" s="8"/>
      <c r="B376" s="8"/>
      <c r="C376" s="8"/>
      <c r="D376" s="8"/>
    </row>
    <row r="377">
      <c r="A377" s="8"/>
      <c r="B377" s="8"/>
      <c r="C377" s="8"/>
      <c r="D377" s="8"/>
    </row>
    <row r="378">
      <c r="A378" s="8"/>
      <c r="B378" s="8"/>
      <c r="C378" s="8"/>
      <c r="D378" s="8"/>
    </row>
    <row r="379">
      <c r="A379" s="8"/>
      <c r="B379" s="8"/>
      <c r="C379" s="8"/>
      <c r="D379" s="8"/>
    </row>
    <row r="380">
      <c r="A380" s="8"/>
      <c r="B380" s="8"/>
      <c r="C380" s="8"/>
      <c r="D380" s="8"/>
    </row>
    <row r="381">
      <c r="A381" s="8"/>
      <c r="B381" s="8"/>
      <c r="C381" s="8"/>
      <c r="D381" s="8"/>
    </row>
    <row r="382">
      <c r="A382" s="8"/>
      <c r="B382" s="8"/>
      <c r="C382" s="8"/>
      <c r="D382" s="8"/>
    </row>
    <row r="383">
      <c r="A383" s="8"/>
      <c r="B383" s="8"/>
      <c r="C383" s="8"/>
      <c r="D383" s="8"/>
    </row>
    <row r="384">
      <c r="A384" s="8"/>
      <c r="B384" s="8"/>
      <c r="C384" s="8"/>
      <c r="D384" s="8"/>
    </row>
    <row r="385">
      <c r="A385" s="8"/>
      <c r="B385" s="8"/>
      <c r="C385" s="8"/>
      <c r="D385" s="8"/>
    </row>
    <row r="386">
      <c r="A386" s="8"/>
      <c r="B386" s="8"/>
      <c r="C386" s="8"/>
      <c r="D386" s="8"/>
    </row>
    <row r="387">
      <c r="A387" s="8"/>
      <c r="B387" s="8"/>
      <c r="C387" s="8"/>
      <c r="D387" s="8"/>
    </row>
    <row r="388">
      <c r="A388" s="8"/>
      <c r="B388" s="8"/>
      <c r="C388" s="8"/>
      <c r="D388" s="8"/>
    </row>
    <row r="389">
      <c r="A389" s="8"/>
      <c r="B389" s="8"/>
      <c r="C389" s="8"/>
      <c r="D389" s="8"/>
    </row>
    <row r="390">
      <c r="A390" s="8"/>
      <c r="B390" s="8"/>
      <c r="C390" s="8"/>
      <c r="D390" s="8"/>
    </row>
    <row r="391">
      <c r="A391" s="8"/>
      <c r="B391" s="8"/>
      <c r="C391" s="8"/>
      <c r="D391" s="8"/>
    </row>
    <row r="392">
      <c r="A392" s="8"/>
      <c r="B392" s="8"/>
      <c r="C392" s="8"/>
      <c r="D392" s="8"/>
    </row>
    <row r="393">
      <c r="A393" s="8"/>
      <c r="B393" s="8"/>
      <c r="C393" s="8"/>
      <c r="D393" s="8"/>
    </row>
    <row r="394">
      <c r="A394" s="8"/>
      <c r="B394" s="8"/>
      <c r="C394" s="8"/>
      <c r="D394" s="8"/>
    </row>
    <row r="395">
      <c r="A395" s="8"/>
      <c r="B395" s="8"/>
      <c r="C395" s="8"/>
      <c r="D395" s="8"/>
    </row>
    <row r="396">
      <c r="A396" s="8"/>
      <c r="B396" s="8"/>
      <c r="C396" s="8"/>
      <c r="D396" s="8"/>
    </row>
    <row r="397">
      <c r="A397" s="8"/>
      <c r="B397" s="8"/>
      <c r="C397" s="8"/>
      <c r="D397" s="8"/>
    </row>
    <row r="398">
      <c r="A398" s="8"/>
      <c r="B398" s="8"/>
      <c r="C398" s="8"/>
      <c r="D398" s="8"/>
    </row>
    <row r="399">
      <c r="A399" s="8"/>
      <c r="B399" s="8"/>
      <c r="C399" s="8"/>
      <c r="D399" s="8"/>
    </row>
    <row r="400">
      <c r="A400" s="8"/>
      <c r="B400" s="8"/>
      <c r="C400" s="8"/>
      <c r="D400" s="8"/>
    </row>
    <row r="401">
      <c r="A401" s="8"/>
      <c r="B401" s="8"/>
      <c r="C401" s="8"/>
      <c r="D401" s="8"/>
    </row>
    <row r="402">
      <c r="A402" s="8"/>
      <c r="B402" s="8"/>
      <c r="C402" s="8"/>
      <c r="D402" s="8"/>
    </row>
    <row r="403">
      <c r="A403" s="8"/>
      <c r="B403" s="8"/>
      <c r="C403" s="8"/>
      <c r="D403" s="8"/>
    </row>
    <row r="404">
      <c r="A404" s="8"/>
      <c r="B404" s="8"/>
      <c r="C404" s="8"/>
      <c r="D404" s="8"/>
    </row>
    <row r="405">
      <c r="A405" s="8"/>
      <c r="B405" s="8"/>
      <c r="C405" s="8"/>
      <c r="D405" s="8"/>
    </row>
    <row r="406">
      <c r="A406" s="8"/>
      <c r="B406" s="8"/>
      <c r="C406" s="8"/>
      <c r="D406" s="8"/>
    </row>
    <row r="407">
      <c r="A407" s="8"/>
      <c r="B407" s="8"/>
      <c r="C407" s="8"/>
      <c r="D407" s="8"/>
    </row>
    <row r="408">
      <c r="A408" s="8"/>
      <c r="B408" s="8"/>
      <c r="C408" s="8"/>
      <c r="D408" s="8"/>
    </row>
    <row r="409">
      <c r="A409" s="8"/>
      <c r="B409" s="8"/>
      <c r="C409" s="8"/>
      <c r="D409" s="8"/>
    </row>
    <row r="410">
      <c r="A410" s="8"/>
      <c r="B410" s="8"/>
      <c r="C410" s="8"/>
      <c r="D410" s="8"/>
    </row>
    <row r="411">
      <c r="A411" s="8"/>
      <c r="B411" s="8"/>
      <c r="C411" s="8"/>
      <c r="D411" s="8"/>
    </row>
    <row r="412">
      <c r="A412" s="8"/>
      <c r="B412" s="8"/>
      <c r="C412" s="8"/>
      <c r="D412" s="8"/>
    </row>
    <row r="413">
      <c r="A413" s="8"/>
      <c r="B413" s="8"/>
      <c r="C413" s="8"/>
      <c r="D413" s="8"/>
    </row>
    <row r="414">
      <c r="A414" s="8"/>
      <c r="B414" s="8"/>
      <c r="C414" s="8"/>
      <c r="D414" s="8"/>
    </row>
    <row r="415">
      <c r="A415" s="8"/>
      <c r="B415" s="8"/>
      <c r="C415" s="8"/>
      <c r="D415" s="8"/>
    </row>
    <row r="416">
      <c r="A416" s="8"/>
      <c r="B416" s="8"/>
      <c r="C416" s="8"/>
      <c r="D416" s="8"/>
    </row>
    <row r="417">
      <c r="A417" s="8"/>
      <c r="B417" s="8"/>
      <c r="C417" s="8"/>
      <c r="D417" s="8"/>
    </row>
    <row r="418">
      <c r="A418" s="8"/>
      <c r="B418" s="8"/>
      <c r="C418" s="8"/>
      <c r="D418" s="8"/>
    </row>
    <row r="419">
      <c r="A419" s="8"/>
      <c r="B419" s="8"/>
      <c r="C419" s="8"/>
      <c r="D419" s="8"/>
    </row>
    <row r="420">
      <c r="A420" s="8"/>
      <c r="B420" s="8"/>
      <c r="C420" s="8"/>
      <c r="D420" s="8"/>
    </row>
    <row r="421">
      <c r="A421" s="8"/>
      <c r="B421" s="8"/>
      <c r="C421" s="8"/>
      <c r="D421" s="8"/>
    </row>
    <row r="422">
      <c r="A422" s="8"/>
      <c r="B422" s="8"/>
      <c r="C422" s="8"/>
      <c r="D422" s="8"/>
    </row>
    <row r="423">
      <c r="A423" s="8"/>
      <c r="B423" s="8"/>
      <c r="C423" s="8"/>
      <c r="D423" s="8"/>
    </row>
    <row r="424">
      <c r="A424" s="8"/>
      <c r="B424" s="8"/>
      <c r="C424" s="8"/>
      <c r="D424" s="8"/>
    </row>
    <row r="425">
      <c r="A425" s="8"/>
      <c r="B425" s="8"/>
      <c r="C425" s="8"/>
      <c r="D425" s="8"/>
    </row>
    <row r="426">
      <c r="A426" s="8"/>
      <c r="B426" s="8"/>
      <c r="C426" s="8"/>
      <c r="D426" s="8"/>
    </row>
    <row r="427">
      <c r="A427" s="8"/>
      <c r="B427" s="8"/>
      <c r="C427" s="8"/>
      <c r="D427" s="8"/>
    </row>
    <row r="428">
      <c r="A428" s="8"/>
      <c r="B428" s="8"/>
      <c r="C428" s="8"/>
      <c r="D428" s="8"/>
    </row>
    <row r="429">
      <c r="A429" s="8"/>
      <c r="B429" s="8"/>
      <c r="C429" s="8"/>
      <c r="D429" s="8"/>
    </row>
    <row r="430">
      <c r="A430" s="8"/>
      <c r="B430" s="8"/>
      <c r="C430" s="8"/>
      <c r="D430" s="8"/>
    </row>
    <row r="431">
      <c r="A431" s="8"/>
      <c r="B431" s="8"/>
      <c r="C431" s="8"/>
      <c r="D431" s="8"/>
    </row>
    <row r="432">
      <c r="A432" s="8"/>
      <c r="B432" s="8"/>
      <c r="C432" s="8"/>
      <c r="D432" s="8"/>
    </row>
    <row r="433">
      <c r="A433" s="8"/>
      <c r="B433" s="8"/>
      <c r="C433" s="8"/>
      <c r="D433" s="8"/>
    </row>
    <row r="434">
      <c r="A434" s="8"/>
      <c r="B434" s="8"/>
      <c r="C434" s="8"/>
      <c r="D434" s="8"/>
    </row>
    <row r="435">
      <c r="A435" s="8"/>
      <c r="B435" s="8"/>
      <c r="C435" s="8"/>
      <c r="D435" s="8"/>
    </row>
    <row r="436">
      <c r="A436" s="8"/>
      <c r="B436" s="8"/>
      <c r="C436" s="8"/>
      <c r="D436" s="8"/>
    </row>
    <row r="437">
      <c r="A437" s="8"/>
      <c r="B437" s="8"/>
      <c r="C437" s="8"/>
      <c r="D437" s="8"/>
    </row>
    <row r="438">
      <c r="A438" s="8"/>
      <c r="B438" s="8"/>
      <c r="C438" s="8"/>
      <c r="D438" s="8"/>
    </row>
    <row r="439">
      <c r="A439" s="8"/>
      <c r="B439" s="8"/>
      <c r="C439" s="8"/>
      <c r="D439" s="8"/>
    </row>
    <row r="440">
      <c r="A440" s="8"/>
      <c r="B440" s="8"/>
      <c r="C440" s="8"/>
      <c r="D440" s="8"/>
    </row>
    <row r="441">
      <c r="A441" s="8"/>
      <c r="B441" s="8"/>
      <c r="C441" s="8"/>
      <c r="D441" s="8"/>
    </row>
    <row r="442">
      <c r="A442" s="8"/>
      <c r="B442" s="8"/>
      <c r="C442" s="8"/>
      <c r="D442" s="8"/>
    </row>
    <row r="443">
      <c r="A443" s="8"/>
      <c r="B443" s="8"/>
      <c r="C443" s="8"/>
      <c r="D443" s="8"/>
    </row>
    <row r="444">
      <c r="A444" s="8"/>
      <c r="B444" s="8"/>
      <c r="C444" s="8"/>
      <c r="D444" s="8"/>
    </row>
    <row r="445">
      <c r="A445" s="8"/>
      <c r="B445" s="8"/>
      <c r="C445" s="8"/>
      <c r="D445" s="8"/>
    </row>
    <row r="446">
      <c r="A446" s="8"/>
      <c r="B446" s="8"/>
      <c r="C446" s="8"/>
      <c r="D446" s="8"/>
    </row>
    <row r="447">
      <c r="A447" s="8"/>
      <c r="B447" s="8"/>
      <c r="C447" s="8"/>
      <c r="D447" s="8"/>
    </row>
    <row r="448">
      <c r="A448" s="8"/>
      <c r="B448" s="8"/>
      <c r="C448" s="8"/>
      <c r="D448" s="8"/>
    </row>
    <row r="449">
      <c r="A449" s="8"/>
      <c r="B449" s="8"/>
      <c r="C449" s="8"/>
      <c r="D449" s="8"/>
    </row>
    <row r="450">
      <c r="A450" s="8"/>
      <c r="B450" s="8"/>
      <c r="C450" s="8"/>
      <c r="D450" s="8"/>
    </row>
    <row r="451">
      <c r="A451" s="8"/>
      <c r="B451" s="8"/>
      <c r="C451" s="8"/>
      <c r="D451" s="8"/>
    </row>
    <row r="452">
      <c r="A452" s="8"/>
      <c r="B452" s="8"/>
      <c r="C452" s="8"/>
      <c r="D452" s="8"/>
    </row>
    <row r="453">
      <c r="A453" s="8"/>
      <c r="B453" s="8"/>
      <c r="C453" s="8"/>
      <c r="D453" s="8"/>
    </row>
    <row r="454">
      <c r="A454" s="8"/>
      <c r="B454" s="8"/>
      <c r="C454" s="8"/>
      <c r="D454" s="8"/>
    </row>
    <row r="455">
      <c r="A455" s="8"/>
      <c r="B455" s="8"/>
      <c r="C455" s="8"/>
      <c r="D455" s="8"/>
    </row>
    <row r="456">
      <c r="A456" s="8"/>
      <c r="B456" s="8"/>
      <c r="C456" s="8"/>
      <c r="D456" s="8"/>
    </row>
    <row r="457">
      <c r="A457" s="8"/>
      <c r="B457" s="8"/>
      <c r="C457" s="8"/>
      <c r="D457" s="8"/>
    </row>
    <row r="458">
      <c r="A458" s="8"/>
      <c r="B458" s="8"/>
      <c r="C458" s="8"/>
      <c r="D458" s="8"/>
    </row>
    <row r="459">
      <c r="A459" s="8"/>
      <c r="B459" s="8"/>
      <c r="C459" s="8"/>
      <c r="D459" s="8"/>
    </row>
    <row r="460">
      <c r="A460" s="8"/>
      <c r="B460" s="8"/>
      <c r="C460" s="8"/>
      <c r="D460" s="8"/>
    </row>
    <row r="461">
      <c r="A461" s="8"/>
      <c r="B461" s="8"/>
      <c r="C461" s="8"/>
      <c r="D461" s="8"/>
    </row>
    <row r="462">
      <c r="A462" s="8"/>
      <c r="B462" s="8"/>
      <c r="C462" s="8"/>
      <c r="D462" s="8"/>
    </row>
    <row r="463">
      <c r="A463" s="8"/>
      <c r="B463" s="8"/>
      <c r="C463" s="8"/>
      <c r="D463" s="8"/>
    </row>
    <row r="464">
      <c r="A464" s="8"/>
      <c r="B464" s="8"/>
      <c r="C464" s="8"/>
      <c r="D464" s="8"/>
    </row>
    <row r="465">
      <c r="A465" s="8"/>
      <c r="B465" s="8"/>
      <c r="C465" s="8"/>
      <c r="D465" s="8"/>
    </row>
    <row r="466">
      <c r="A466" s="8"/>
      <c r="B466" s="8"/>
      <c r="C466" s="8"/>
      <c r="D466" s="8"/>
    </row>
    <row r="467">
      <c r="A467" s="8"/>
      <c r="B467" s="8"/>
      <c r="C467" s="8"/>
      <c r="D467" s="8"/>
    </row>
    <row r="468">
      <c r="A468" s="8"/>
      <c r="B468" s="8"/>
      <c r="C468" s="8"/>
      <c r="D468" s="8"/>
    </row>
    <row r="469">
      <c r="A469" s="8"/>
      <c r="B469" s="8"/>
      <c r="C469" s="8"/>
      <c r="D469" s="8"/>
    </row>
    <row r="470">
      <c r="A470" s="8"/>
      <c r="B470" s="8"/>
      <c r="C470" s="8"/>
      <c r="D470" s="8"/>
    </row>
    <row r="471">
      <c r="A471" s="8"/>
      <c r="B471" s="8"/>
      <c r="C471" s="8"/>
      <c r="D471" s="8"/>
    </row>
    <row r="472">
      <c r="A472" s="8"/>
      <c r="B472" s="8"/>
      <c r="C472" s="8"/>
      <c r="D472" s="8"/>
    </row>
    <row r="473">
      <c r="A473" s="8"/>
      <c r="B473" s="8"/>
      <c r="C473" s="8"/>
      <c r="D473" s="8"/>
    </row>
    <row r="474">
      <c r="A474" s="8"/>
      <c r="B474" s="8"/>
      <c r="C474" s="8"/>
      <c r="D474" s="8"/>
    </row>
    <row r="475">
      <c r="A475" s="8"/>
      <c r="B475" s="8"/>
      <c r="C475" s="8"/>
      <c r="D475" s="8"/>
    </row>
    <row r="476">
      <c r="A476" s="8"/>
      <c r="B476" s="8"/>
      <c r="C476" s="8"/>
      <c r="D476" s="8"/>
    </row>
    <row r="477">
      <c r="A477" s="8"/>
      <c r="B477" s="8"/>
      <c r="C477" s="8"/>
      <c r="D477" s="8"/>
    </row>
    <row r="478">
      <c r="A478" s="8"/>
      <c r="B478" s="8"/>
      <c r="C478" s="8"/>
      <c r="D478" s="8"/>
    </row>
    <row r="479">
      <c r="A479" s="8"/>
      <c r="B479" s="8"/>
      <c r="C479" s="8"/>
      <c r="D479" s="8"/>
    </row>
    <row r="480">
      <c r="A480" s="8"/>
      <c r="B480" s="8"/>
      <c r="C480" s="8"/>
      <c r="D480" s="8"/>
    </row>
    <row r="481">
      <c r="A481" s="8"/>
      <c r="B481" s="8"/>
      <c r="C481" s="8"/>
      <c r="D481" s="8"/>
    </row>
    <row r="482">
      <c r="A482" s="8"/>
      <c r="B482" s="8"/>
      <c r="C482" s="8"/>
      <c r="D482" s="8"/>
    </row>
    <row r="483">
      <c r="A483" s="8"/>
      <c r="B483" s="8"/>
      <c r="C483" s="8"/>
      <c r="D483" s="8"/>
    </row>
    <row r="484">
      <c r="A484" s="8"/>
      <c r="B484" s="8"/>
      <c r="C484" s="8"/>
      <c r="D484" s="8"/>
    </row>
    <row r="485">
      <c r="A485" s="8"/>
      <c r="B485" s="8"/>
      <c r="C485" s="8"/>
      <c r="D485" s="8"/>
    </row>
    <row r="486">
      <c r="A486" s="8"/>
      <c r="B486" s="8"/>
      <c r="C486" s="8"/>
      <c r="D486" s="8"/>
    </row>
    <row r="487">
      <c r="A487" s="8"/>
      <c r="B487" s="8"/>
      <c r="C487" s="8"/>
      <c r="D487" s="8"/>
    </row>
    <row r="488">
      <c r="A488" s="8"/>
      <c r="B488" s="8"/>
      <c r="C488" s="8"/>
      <c r="D488" s="8"/>
    </row>
    <row r="489">
      <c r="A489" s="8"/>
      <c r="B489" s="8"/>
      <c r="C489" s="8"/>
      <c r="D489" s="8"/>
    </row>
    <row r="490">
      <c r="A490" s="8"/>
      <c r="B490" s="8"/>
      <c r="C490" s="8"/>
      <c r="D490" s="8"/>
    </row>
    <row r="491">
      <c r="A491" s="8"/>
      <c r="B491" s="8"/>
      <c r="C491" s="8"/>
      <c r="D491" s="8"/>
    </row>
    <row r="492">
      <c r="A492" s="8"/>
      <c r="B492" s="8"/>
      <c r="C492" s="8"/>
      <c r="D492" s="8"/>
    </row>
    <row r="493">
      <c r="A493" s="8"/>
      <c r="B493" s="8"/>
      <c r="C493" s="8"/>
      <c r="D493" s="8"/>
    </row>
    <row r="494">
      <c r="A494" s="8"/>
      <c r="B494" s="8"/>
      <c r="C494" s="8"/>
      <c r="D494" s="8"/>
    </row>
    <row r="495">
      <c r="A495" s="8"/>
      <c r="B495" s="8"/>
      <c r="C495" s="8"/>
      <c r="D495" s="8"/>
    </row>
    <row r="496">
      <c r="A496" s="8"/>
      <c r="B496" s="8"/>
      <c r="C496" s="8"/>
      <c r="D496" s="8"/>
    </row>
    <row r="497">
      <c r="A497" s="8"/>
      <c r="B497" s="8"/>
      <c r="C497" s="8"/>
      <c r="D497" s="8"/>
    </row>
    <row r="498">
      <c r="A498" s="8"/>
      <c r="B498" s="8"/>
      <c r="C498" s="8"/>
      <c r="D498" s="8"/>
    </row>
    <row r="499">
      <c r="A499" s="8"/>
      <c r="B499" s="8"/>
      <c r="C499" s="8"/>
      <c r="D499" s="8"/>
    </row>
    <row r="500">
      <c r="A500" s="8"/>
      <c r="B500" s="8"/>
      <c r="C500" s="8"/>
      <c r="D500" s="8"/>
    </row>
    <row r="501">
      <c r="A501" s="8"/>
      <c r="B501" s="8"/>
      <c r="C501" s="8"/>
      <c r="D501" s="8"/>
    </row>
    <row r="502">
      <c r="A502" s="8"/>
      <c r="B502" s="8"/>
      <c r="C502" s="8"/>
      <c r="D502" s="8"/>
    </row>
    <row r="503">
      <c r="A503" s="8"/>
      <c r="B503" s="8"/>
      <c r="C503" s="8"/>
      <c r="D503" s="8"/>
    </row>
    <row r="504">
      <c r="A504" s="8"/>
      <c r="B504" s="8"/>
      <c r="C504" s="8"/>
      <c r="D504" s="8"/>
    </row>
    <row r="505">
      <c r="A505" s="8"/>
      <c r="B505" s="8"/>
      <c r="C505" s="8"/>
      <c r="D505" s="8"/>
    </row>
    <row r="506">
      <c r="A506" s="8"/>
      <c r="B506" s="8"/>
      <c r="C506" s="8"/>
      <c r="D506" s="8"/>
    </row>
    <row r="507">
      <c r="A507" s="8"/>
      <c r="B507" s="8"/>
      <c r="C507" s="8"/>
      <c r="D507" s="8"/>
    </row>
    <row r="508">
      <c r="A508" s="8"/>
      <c r="B508" s="8"/>
      <c r="C508" s="8"/>
      <c r="D508" s="8"/>
    </row>
    <row r="509">
      <c r="A509" s="8"/>
      <c r="B509" s="8"/>
      <c r="C509" s="8"/>
      <c r="D509" s="8"/>
    </row>
    <row r="510">
      <c r="A510" s="8"/>
      <c r="B510" s="8"/>
      <c r="C510" s="8"/>
      <c r="D510" s="8"/>
    </row>
    <row r="511">
      <c r="A511" s="8"/>
      <c r="B511" s="8"/>
      <c r="C511" s="8"/>
      <c r="D511" s="8"/>
    </row>
    <row r="512">
      <c r="A512" s="8"/>
      <c r="B512" s="8"/>
      <c r="C512" s="8"/>
      <c r="D512" s="8"/>
    </row>
    <row r="513">
      <c r="A513" s="8"/>
      <c r="B513" s="8"/>
      <c r="C513" s="8"/>
      <c r="D513" s="8"/>
    </row>
    <row r="514">
      <c r="A514" s="8"/>
      <c r="B514" s="8"/>
      <c r="C514" s="8"/>
      <c r="D514" s="8"/>
    </row>
    <row r="515">
      <c r="A515" s="8"/>
      <c r="B515" s="8"/>
      <c r="C515" s="8"/>
      <c r="D515" s="8"/>
    </row>
    <row r="516">
      <c r="A516" s="8"/>
      <c r="B516" s="8"/>
      <c r="C516" s="8"/>
      <c r="D516" s="8"/>
    </row>
    <row r="517">
      <c r="A517" s="8"/>
      <c r="B517" s="8"/>
      <c r="C517" s="8"/>
      <c r="D517" s="8"/>
    </row>
    <row r="518">
      <c r="A518" s="8"/>
      <c r="B518" s="8"/>
      <c r="C518" s="8"/>
      <c r="D518" s="8"/>
    </row>
    <row r="519">
      <c r="A519" s="8"/>
      <c r="B519" s="8"/>
      <c r="C519" s="8"/>
      <c r="D519" s="8"/>
    </row>
    <row r="520">
      <c r="A520" s="8"/>
      <c r="B520" s="8"/>
      <c r="C520" s="8"/>
      <c r="D520" s="8"/>
    </row>
    <row r="521">
      <c r="A521" s="8"/>
      <c r="B521" s="8"/>
      <c r="C521" s="8"/>
      <c r="D521" s="8"/>
    </row>
    <row r="522">
      <c r="A522" s="8"/>
      <c r="B522" s="8"/>
      <c r="C522" s="8"/>
      <c r="D522" s="8"/>
    </row>
    <row r="523">
      <c r="A523" s="8"/>
      <c r="B523" s="8"/>
      <c r="C523" s="8"/>
      <c r="D523" s="8"/>
    </row>
    <row r="524">
      <c r="A524" s="8"/>
      <c r="B524" s="8"/>
      <c r="C524" s="8"/>
      <c r="D524" s="8"/>
    </row>
    <row r="525">
      <c r="A525" s="8"/>
      <c r="B525" s="8"/>
      <c r="C525" s="8"/>
      <c r="D525" s="8"/>
    </row>
    <row r="526">
      <c r="A526" s="8"/>
      <c r="B526" s="8"/>
      <c r="C526" s="8"/>
      <c r="D526" s="8"/>
    </row>
    <row r="527">
      <c r="A527" s="8"/>
      <c r="B527" s="8"/>
      <c r="C527" s="8"/>
      <c r="D527" s="8"/>
    </row>
    <row r="528">
      <c r="A528" s="8"/>
      <c r="B528" s="8"/>
      <c r="C528" s="8"/>
      <c r="D528" s="8"/>
    </row>
    <row r="529">
      <c r="A529" s="8"/>
      <c r="B529" s="8"/>
      <c r="C529" s="8"/>
      <c r="D529" s="8"/>
    </row>
    <row r="530">
      <c r="A530" s="8"/>
      <c r="B530" s="8"/>
      <c r="C530" s="8"/>
      <c r="D530" s="8"/>
    </row>
    <row r="531">
      <c r="A531" s="8"/>
      <c r="B531" s="8"/>
      <c r="C531" s="8"/>
      <c r="D531" s="8"/>
    </row>
    <row r="532">
      <c r="A532" s="8"/>
      <c r="B532" s="8"/>
      <c r="C532" s="8"/>
      <c r="D532" s="8"/>
    </row>
    <row r="533">
      <c r="A533" s="8"/>
      <c r="B533" s="8"/>
      <c r="C533" s="8"/>
      <c r="D533" s="8"/>
    </row>
    <row r="534">
      <c r="A534" s="8"/>
      <c r="B534" s="8"/>
      <c r="C534" s="8"/>
      <c r="D534" s="8"/>
    </row>
    <row r="535">
      <c r="A535" s="8"/>
      <c r="B535" s="8"/>
      <c r="C535" s="8"/>
      <c r="D535" s="8"/>
    </row>
    <row r="536">
      <c r="A536" s="8"/>
      <c r="B536" s="8"/>
      <c r="C536" s="8"/>
      <c r="D536" s="8"/>
    </row>
    <row r="537">
      <c r="A537" s="8"/>
      <c r="B537" s="8"/>
      <c r="C537" s="8"/>
      <c r="D537" s="8"/>
    </row>
    <row r="538">
      <c r="A538" s="8"/>
      <c r="B538" s="8"/>
      <c r="C538" s="8"/>
      <c r="D538" s="8"/>
    </row>
    <row r="539">
      <c r="A539" s="8"/>
      <c r="B539" s="8"/>
      <c r="C539" s="8"/>
      <c r="D539" s="8"/>
    </row>
    <row r="540">
      <c r="A540" s="8"/>
      <c r="B540" s="8"/>
      <c r="C540" s="8"/>
      <c r="D540" s="8"/>
    </row>
    <row r="541">
      <c r="A541" s="8"/>
      <c r="B541" s="8"/>
      <c r="C541" s="8"/>
      <c r="D541" s="8"/>
    </row>
    <row r="542">
      <c r="A542" s="8"/>
      <c r="B542" s="8"/>
      <c r="C542" s="8"/>
      <c r="D542" s="8"/>
    </row>
    <row r="543">
      <c r="A543" s="8"/>
      <c r="B543" s="8"/>
      <c r="C543" s="8"/>
      <c r="D543" s="8"/>
    </row>
    <row r="544">
      <c r="A544" s="8"/>
      <c r="B544" s="8"/>
      <c r="C544" s="8"/>
      <c r="D544" s="8"/>
    </row>
    <row r="545">
      <c r="A545" s="8"/>
      <c r="B545" s="8"/>
      <c r="C545" s="8"/>
      <c r="D545" s="8"/>
    </row>
    <row r="546">
      <c r="A546" s="8"/>
      <c r="B546" s="8"/>
      <c r="C546" s="8"/>
      <c r="D546" s="8"/>
    </row>
    <row r="547">
      <c r="A547" s="8"/>
      <c r="B547" s="8"/>
      <c r="C547" s="8"/>
      <c r="D547" s="8"/>
    </row>
    <row r="548">
      <c r="A548" s="8"/>
      <c r="B548" s="8"/>
      <c r="C548" s="8"/>
      <c r="D548" s="8"/>
    </row>
    <row r="549">
      <c r="A549" s="8"/>
      <c r="B549" s="8"/>
      <c r="C549" s="8"/>
      <c r="D549" s="8"/>
    </row>
    <row r="550">
      <c r="A550" s="8"/>
      <c r="B550" s="8"/>
      <c r="C550" s="8"/>
      <c r="D550" s="8"/>
    </row>
    <row r="551">
      <c r="A551" s="8"/>
      <c r="B551" s="8"/>
      <c r="C551" s="8"/>
      <c r="D551" s="8"/>
    </row>
    <row r="552">
      <c r="A552" s="8"/>
      <c r="B552" s="8"/>
      <c r="C552" s="8"/>
      <c r="D552" s="8"/>
    </row>
    <row r="553">
      <c r="A553" s="8"/>
      <c r="B553" s="8"/>
      <c r="C553" s="8"/>
      <c r="D553" s="8"/>
    </row>
    <row r="554">
      <c r="A554" s="8"/>
      <c r="B554" s="8"/>
      <c r="C554" s="8"/>
      <c r="D554" s="8"/>
    </row>
    <row r="555">
      <c r="A555" s="8"/>
      <c r="B555" s="8"/>
      <c r="C555" s="8"/>
      <c r="D555" s="8"/>
    </row>
    <row r="556">
      <c r="A556" s="8"/>
      <c r="B556" s="8"/>
      <c r="C556" s="8"/>
      <c r="D556" s="8"/>
    </row>
    <row r="557">
      <c r="A557" s="8"/>
      <c r="B557" s="8"/>
      <c r="C557" s="8"/>
      <c r="D557" s="8"/>
    </row>
    <row r="558">
      <c r="A558" s="8"/>
      <c r="B558" s="8"/>
      <c r="C558" s="8"/>
      <c r="D558" s="8"/>
    </row>
    <row r="559">
      <c r="A559" s="8"/>
      <c r="B559" s="8"/>
      <c r="C559" s="8"/>
      <c r="D559" s="8"/>
    </row>
    <row r="560">
      <c r="A560" s="8"/>
      <c r="B560" s="8"/>
      <c r="C560" s="8"/>
      <c r="D560" s="8"/>
    </row>
    <row r="561">
      <c r="A561" s="8"/>
      <c r="B561" s="8"/>
      <c r="C561" s="8"/>
      <c r="D561" s="8"/>
    </row>
    <row r="562">
      <c r="A562" s="8"/>
      <c r="B562" s="8"/>
      <c r="C562" s="8"/>
      <c r="D562" s="8"/>
    </row>
    <row r="563">
      <c r="A563" s="8"/>
      <c r="B563" s="8"/>
      <c r="C563" s="8"/>
      <c r="D563" s="8"/>
    </row>
    <row r="564">
      <c r="A564" s="8"/>
      <c r="B564" s="8"/>
      <c r="C564" s="8"/>
      <c r="D564" s="8"/>
    </row>
    <row r="565">
      <c r="A565" s="8"/>
      <c r="B565" s="8"/>
      <c r="C565" s="8"/>
      <c r="D565" s="8"/>
    </row>
    <row r="566">
      <c r="A566" s="8"/>
      <c r="B566" s="8"/>
      <c r="C566" s="8"/>
      <c r="D566" s="8"/>
    </row>
    <row r="567">
      <c r="A567" s="8"/>
      <c r="B567" s="8"/>
      <c r="C567" s="8"/>
      <c r="D567" s="8"/>
    </row>
    <row r="568">
      <c r="A568" s="8"/>
      <c r="B568" s="8"/>
      <c r="C568" s="8"/>
      <c r="D568" s="8"/>
    </row>
    <row r="569">
      <c r="A569" s="8"/>
      <c r="B569" s="8"/>
      <c r="C569" s="8"/>
      <c r="D569" s="8"/>
    </row>
    <row r="570">
      <c r="A570" s="8"/>
      <c r="B570" s="8"/>
      <c r="C570" s="8"/>
      <c r="D570" s="8"/>
    </row>
    <row r="571">
      <c r="A571" s="8"/>
      <c r="B571" s="8"/>
      <c r="C571" s="8"/>
      <c r="D571" s="8"/>
    </row>
    <row r="572">
      <c r="A572" s="8"/>
      <c r="B572" s="8"/>
      <c r="C572" s="8"/>
      <c r="D572" s="8"/>
    </row>
    <row r="573">
      <c r="A573" s="8"/>
      <c r="B573" s="8"/>
      <c r="C573" s="8"/>
      <c r="D573" s="8"/>
    </row>
    <row r="574">
      <c r="A574" s="8"/>
      <c r="B574" s="8"/>
      <c r="C574" s="8"/>
      <c r="D574" s="8"/>
    </row>
    <row r="575">
      <c r="A575" s="8"/>
      <c r="B575" s="8"/>
      <c r="C575" s="8"/>
      <c r="D575" s="8"/>
    </row>
    <row r="576">
      <c r="A576" s="8"/>
      <c r="B576" s="8"/>
      <c r="C576" s="8"/>
      <c r="D576" s="8"/>
    </row>
    <row r="577">
      <c r="A577" s="8"/>
      <c r="B577" s="8"/>
      <c r="C577" s="8"/>
      <c r="D577" s="8"/>
    </row>
    <row r="578">
      <c r="A578" s="8"/>
      <c r="B578" s="8"/>
      <c r="C578" s="8"/>
      <c r="D578" s="8"/>
    </row>
    <row r="579">
      <c r="A579" s="8"/>
      <c r="B579" s="8"/>
      <c r="C579" s="8"/>
      <c r="D579" s="8"/>
    </row>
    <row r="580">
      <c r="A580" s="8"/>
      <c r="B580" s="8"/>
      <c r="C580" s="8"/>
      <c r="D580" s="8"/>
    </row>
    <row r="581">
      <c r="A581" s="8"/>
      <c r="B581" s="8"/>
      <c r="C581" s="8"/>
      <c r="D581" s="8"/>
    </row>
    <row r="582">
      <c r="A582" s="8"/>
      <c r="B582" s="8"/>
      <c r="C582" s="8"/>
      <c r="D582" s="8"/>
    </row>
    <row r="583">
      <c r="A583" s="8"/>
      <c r="B583" s="8"/>
      <c r="C583" s="8"/>
      <c r="D583" s="8"/>
    </row>
    <row r="584">
      <c r="A584" s="8"/>
      <c r="B584" s="8"/>
      <c r="C584" s="8"/>
      <c r="D584" s="8"/>
    </row>
    <row r="585">
      <c r="A585" s="8"/>
      <c r="B585" s="8"/>
      <c r="C585" s="8"/>
      <c r="D585" s="8"/>
    </row>
    <row r="586">
      <c r="A586" s="8"/>
      <c r="B586" s="8"/>
      <c r="C586" s="8"/>
      <c r="D586" s="8"/>
    </row>
    <row r="587">
      <c r="A587" s="8"/>
      <c r="B587" s="8"/>
      <c r="C587" s="8"/>
      <c r="D587" s="8"/>
    </row>
    <row r="588">
      <c r="A588" s="8"/>
      <c r="B588" s="8"/>
      <c r="C588" s="8"/>
      <c r="D588" s="8"/>
    </row>
    <row r="589">
      <c r="A589" s="8"/>
      <c r="B589" s="8"/>
      <c r="C589" s="8"/>
      <c r="D589" s="8"/>
    </row>
    <row r="590">
      <c r="A590" s="8"/>
      <c r="B590" s="8"/>
      <c r="C590" s="8"/>
      <c r="D590" s="8"/>
    </row>
    <row r="591">
      <c r="A591" s="8"/>
      <c r="B591" s="8"/>
      <c r="C591" s="8"/>
      <c r="D591" s="8"/>
    </row>
    <row r="592">
      <c r="A592" s="8"/>
      <c r="B592" s="8"/>
      <c r="C592" s="8"/>
      <c r="D592" s="8"/>
    </row>
    <row r="593">
      <c r="A593" s="8"/>
      <c r="B593" s="8"/>
      <c r="C593" s="8"/>
      <c r="D593" s="8"/>
    </row>
    <row r="594">
      <c r="A594" s="8"/>
      <c r="B594" s="8"/>
      <c r="C594" s="8"/>
      <c r="D594" s="8"/>
    </row>
    <row r="595">
      <c r="A595" s="8"/>
      <c r="B595" s="8"/>
      <c r="C595" s="8"/>
      <c r="D595" s="8"/>
    </row>
    <row r="596">
      <c r="A596" s="8"/>
      <c r="B596" s="8"/>
      <c r="C596" s="8"/>
      <c r="D596" s="8"/>
    </row>
    <row r="597">
      <c r="A597" s="8"/>
      <c r="B597" s="8"/>
      <c r="C597" s="8"/>
      <c r="D597" s="8"/>
    </row>
    <row r="598">
      <c r="A598" s="8"/>
      <c r="B598" s="8"/>
      <c r="C598" s="8"/>
      <c r="D598" s="8"/>
    </row>
    <row r="599">
      <c r="A599" s="8"/>
      <c r="B599" s="8"/>
      <c r="C599" s="8"/>
      <c r="D599" s="8"/>
    </row>
    <row r="600">
      <c r="A600" s="8"/>
      <c r="B600" s="8"/>
      <c r="C600" s="8"/>
      <c r="D600" s="8"/>
    </row>
    <row r="601">
      <c r="A601" s="8"/>
      <c r="B601" s="8"/>
      <c r="C601" s="8"/>
      <c r="D601" s="8"/>
    </row>
    <row r="602">
      <c r="A602" s="8"/>
      <c r="B602" s="8"/>
      <c r="C602" s="8"/>
      <c r="D602" s="8"/>
    </row>
    <row r="603">
      <c r="A603" s="8"/>
      <c r="B603" s="8"/>
      <c r="C603" s="8"/>
      <c r="D603" s="8"/>
    </row>
    <row r="604">
      <c r="A604" s="8"/>
      <c r="B604" s="8"/>
      <c r="C604" s="8"/>
      <c r="D604" s="8"/>
    </row>
    <row r="605">
      <c r="A605" s="8"/>
      <c r="B605" s="8"/>
      <c r="C605" s="8"/>
      <c r="D605" s="8"/>
    </row>
    <row r="606">
      <c r="A606" s="8"/>
      <c r="B606" s="8"/>
      <c r="C606" s="8"/>
      <c r="D606" s="8"/>
    </row>
    <row r="607">
      <c r="A607" s="8"/>
      <c r="B607" s="8"/>
      <c r="C607" s="8"/>
      <c r="D607" s="8"/>
    </row>
    <row r="608">
      <c r="A608" s="8"/>
      <c r="B608" s="8"/>
      <c r="C608" s="8"/>
      <c r="D608" s="8"/>
    </row>
    <row r="609">
      <c r="A609" s="8"/>
      <c r="B609" s="8"/>
      <c r="C609" s="8"/>
      <c r="D609" s="8"/>
    </row>
    <row r="610">
      <c r="A610" s="8"/>
      <c r="B610" s="8"/>
      <c r="C610" s="8"/>
      <c r="D610" s="8"/>
    </row>
    <row r="611">
      <c r="A611" s="8"/>
      <c r="B611" s="8"/>
      <c r="C611" s="8"/>
      <c r="D611" s="8"/>
    </row>
    <row r="612">
      <c r="A612" s="8"/>
      <c r="B612" s="8"/>
      <c r="C612" s="8"/>
      <c r="D612" s="8"/>
    </row>
    <row r="613">
      <c r="A613" s="8"/>
      <c r="B613" s="8"/>
      <c r="C613" s="8"/>
      <c r="D613" s="8"/>
    </row>
    <row r="614">
      <c r="A614" s="8"/>
      <c r="B614" s="8"/>
      <c r="C614" s="8"/>
      <c r="D614" s="8"/>
    </row>
    <row r="615">
      <c r="A615" s="8"/>
      <c r="B615" s="8"/>
      <c r="C615" s="8"/>
      <c r="D615" s="8"/>
    </row>
    <row r="616">
      <c r="A616" s="8"/>
      <c r="B616" s="8"/>
      <c r="C616" s="8"/>
      <c r="D616" s="8"/>
    </row>
    <row r="617">
      <c r="A617" s="8"/>
      <c r="B617" s="8"/>
      <c r="C617" s="8"/>
      <c r="D617" s="8"/>
    </row>
    <row r="618">
      <c r="A618" s="8"/>
      <c r="B618" s="8"/>
      <c r="C618" s="8"/>
      <c r="D618" s="8"/>
    </row>
    <row r="619">
      <c r="A619" s="8"/>
      <c r="B619" s="8"/>
      <c r="C619" s="8"/>
      <c r="D619" s="8"/>
    </row>
    <row r="620">
      <c r="A620" s="8"/>
      <c r="B620" s="8"/>
      <c r="C620" s="8"/>
      <c r="D620" s="8"/>
    </row>
    <row r="621">
      <c r="A621" s="8"/>
      <c r="B621" s="8"/>
      <c r="C621" s="8"/>
      <c r="D621" s="8"/>
    </row>
    <row r="622">
      <c r="A622" s="8"/>
      <c r="B622" s="8"/>
      <c r="C622" s="8"/>
      <c r="D622" s="8"/>
    </row>
    <row r="623">
      <c r="A623" s="8"/>
      <c r="B623" s="8"/>
      <c r="C623" s="8"/>
      <c r="D623" s="8"/>
    </row>
    <row r="624">
      <c r="A624" s="8"/>
      <c r="B624" s="8"/>
      <c r="C624" s="8"/>
      <c r="D624" s="8"/>
    </row>
    <row r="625">
      <c r="A625" s="8"/>
      <c r="B625" s="8"/>
      <c r="C625" s="8"/>
      <c r="D625" s="8"/>
    </row>
    <row r="626">
      <c r="A626" s="8"/>
      <c r="B626" s="8"/>
      <c r="C626" s="8"/>
      <c r="D626" s="8"/>
    </row>
    <row r="627">
      <c r="A627" s="8"/>
      <c r="B627" s="8"/>
      <c r="C627" s="8"/>
      <c r="D627" s="8"/>
    </row>
    <row r="628">
      <c r="A628" s="8"/>
      <c r="B628" s="8"/>
      <c r="C628" s="8"/>
      <c r="D628" s="8"/>
    </row>
    <row r="629">
      <c r="A629" s="8"/>
      <c r="B629" s="8"/>
      <c r="C629" s="8"/>
      <c r="D629" s="8"/>
    </row>
    <row r="630">
      <c r="A630" s="8"/>
      <c r="B630" s="8"/>
      <c r="C630" s="8"/>
      <c r="D630" s="8"/>
    </row>
    <row r="631">
      <c r="A631" s="8"/>
      <c r="B631" s="8"/>
      <c r="C631" s="8"/>
      <c r="D631" s="8"/>
    </row>
    <row r="632">
      <c r="A632" s="8"/>
      <c r="B632" s="8"/>
      <c r="C632" s="8"/>
      <c r="D632" s="8"/>
    </row>
    <row r="633">
      <c r="A633" s="8"/>
      <c r="B633" s="8"/>
      <c r="C633" s="8"/>
      <c r="D633" s="8"/>
    </row>
    <row r="634">
      <c r="A634" s="8"/>
      <c r="B634" s="8"/>
      <c r="C634" s="8"/>
      <c r="D634" s="8"/>
    </row>
    <row r="635">
      <c r="A635" s="8"/>
      <c r="B635" s="8"/>
      <c r="C635" s="8"/>
      <c r="D635" s="8"/>
    </row>
    <row r="636">
      <c r="A636" s="8"/>
      <c r="B636" s="8"/>
      <c r="C636" s="8"/>
      <c r="D636" s="8"/>
    </row>
    <row r="637">
      <c r="A637" s="8"/>
      <c r="B637" s="8"/>
      <c r="C637" s="8"/>
      <c r="D637" s="8"/>
    </row>
    <row r="638">
      <c r="A638" s="8"/>
      <c r="B638" s="8"/>
      <c r="C638" s="8"/>
      <c r="D638" s="8"/>
    </row>
    <row r="639">
      <c r="A639" s="8"/>
      <c r="B639" s="8"/>
      <c r="C639" s="8"/>
      <c r="D639" s="8"/>
    </row>
    <row r="640">
      <c r="A640" s="8"/>
      <c r="B640" s="8"/>
      <c r="C640" s="8"/>
      <c r="D640" s="8"/>
    </row>
    <row r="641">
      <c r="A641" s="8"/>
      <c r="B641" s="8"/>
      <c r="C641" s="8"/>
      <c r="D641" s="8"/>
    </row>
    <row r="642">
      <c r="A642" s="8"/>
      <c r="B642" s="8"/>
      <c r="C642" s="8"/>
      <c r="D642" s="8"/>
    </row>
    <row r="643">
      <c r="A643" s="8"/>
      <c r="B643" s="8"/>
      <c r="C643" s="8"/>
      <c r="D643" s="8"/>
    </row>
    <row r="644">
      <c r="A644" s="8"/>
      <c r="B644" s="8"/>
      <c r="C644" s="8"/>
      <c r="D644" s="8"/>
    </row>
    <row r="645">
      <c r="A645" s="8"/>
      <c r="B645" s="8"/>
      <c r="C645" s="8"/>
      <c r="D645" s="8"/>
    </row>
    <row r="646">
      <c r="A646" s="8"/>
      <c r="B646" s="8"/>
      <c r="C646" s="8"/>
      <c r="D646" s="8"/>
    </row>
    <row r="647">
      <c r="A647" s="8"/>
      <c r="B647" s="8"/>
      <c r="C647" s="8"/>
      <c r="D647" s="8"/>
    </row>
    <row r="648">
      <c r="A648" s="8"/>
      <c r="B648" s="8"/>
      <c r="C648" s="8"/>
      <c r="D648" s="8"/>
    </row>
    <row r="649">
      <c r="A649" s="8"/>
      <c r="B649" s="8"/>
      <c r="C649" s="8"/>
      <c r="D649" s="8"/>
    </row>
    <row r="650">
      <c r="A650" s="8"/>
      <c r="B650" s="8"/>
      <c r="C650" s="8"/>
      <c r="D650" s="8"/>
    </row>
    <row r="651">
      <c r="A651" s="8"/>
      <c r="B651" s="8"/>
      <c r="C651" s="8"/>
      <c r="D651" s="8"/>
    </row>
    <row r="652">
      <c r="A652" s="8"/>
      <c r="B652" s="8"/>
      <c r="C652" s="8"/>
      <c r="D652" s="8"/>
    </row>
    <row r="653">
      <c r="A653" s="8"/>
      <c r="B653" s="8"/>
      <c r="C653" s="8"/>
      <c r="D653" s="8"/>
    </row>
    <row r="654">
      <c r="A654" s="8"/>
      <c r="B654" s="8"/>
      <c r="C654" s="8"/>
      <c r="D654" s="8"/>
    </row>
    <row r="655">
      <c r="A655" s="8"/>
      <c r="B655" s="8"/>
      <c r="C655" s="8"/>
      <c r="D655" s="8"/>
    </row>
    <row r="656">
      <c r="A656" s="8"/>
      <c r="B656" s="8"/>
      <c r="C656" s="8"/>
      <c r="D656" s="8"/>
    </row>
    <row r="657">
      <c r="A657" s="8"/>
      <c r="B657" s="8"/>
      <c r="C657" s="8"/>
      <c r="D657" s="8"/>
    </row>
    <row r="658">
      <c r="A658" s="8"/>
      <c r="B658" s="8"/>
      <c r="C658" s="8"/>
      <c r="D658" s="8"/>
    </row>
    <row r="659">
      <c r="A659" s="8"/>
      <c r="B659" s="8"/>
      <c r="C659" s="8"/>
      <c r="D659" s="8"/>
    </row>
    <row r="660">
      <c r="A660" s="8"/>
      <c r="B660" s="8"/>
      <c r="C660" s="8"/>
      <c r="D660" s="8"/>
    </row>
    <row r="661">
      <c r="A661" s="8"/>
      <c r="B661" s="8"/>
      <c r="C661" s="8"/>
      <c r="D661" s="8"/>
    </row>
    <row r="662">
      <c r="A662" s="8"/>
      <c r="B662" s="8"/>
      <c r="C662" s="8"/>
      <c r="D662" s="8"/>
    </row>
    <row r="663">
      <c r="A663" s="8"/>
      <c r="B663" s="8"/>
      <c r="C663" s="8"/>
      <c r="D663" s="8"/>
    </row>
    <row r="664">
      <c r="A664" s="8"/>
      <c r="B664" s="8"/>
      <c r="C664" s="8"/>
      <c r="D664" s="8"/>
    </row>
    <row r="665">
      <c r="A665" s="8"/>
      <c r="B665" s="8"/>
      <c r="C665" s="8"/>
      <c r="D665" s="8"/>
    </row>
    <row r="666">
      <c r="A666" s="8"/>
      <c r="B666" s="8"/>
      <c r="C666" s="8"/>
      <c r="D666" s="8"/>
    </row>
    <row r="667">
      <c r="A667" s="8"/>
      <c r="B667" s="8"/>
      <c r="C667" s="8"/>
      <c r="D667" s="8"/>
    </row>
    <row r="668">
      <c r="A668" s="8"/>
      <c r="B668" s="8"/>
      <c r="C668" s="8"/>
      <c r="D668" s="8"/>
    </row>
    <row r="669">
      <c r="A669" s="8"/>
      <c r="B669" s="8"/>
      <c r="C669" s="8"/>
      <c r="D669" s="8"/>
    </row>
    <row r="670">
      <c r="A670" s="8"/>
      <c r="B670" s="8"/>
      <c r="C670" s="8"/>
      <c r="D670" s="8"/>
    </row>
    <row r="671">
      <c r="A671" s="8"/>
      <c r="B671" s="8"/>
      <c r="C671" s="8"/>
      <c r="D671" s="8"/>
    </row>
    <row r="672">
      <c r="A672" s="8"/>
      <c r="B672" s="8"/>
      <c r="C672" s="8"/>
      <c r="D672" s="8"/>
    </row>
    <row r="673">
      <c r="A673" s="8"/>
      <c r="B673" s="8"/>
      <c r="C673" s="8"/>
      <c r="D673" s="8"/>
    </row>
    <row r="674">
      <c r="A674" s="8"/>
      <c r="B674" s="8"/>
      <c r="C674" s="8"/>
      <c r="D674" s="8"/>
    </row>
    <row r="675">
      <c r="A675" s="8"/>
      <c r="B675" s="8"/>
      <c r="C675" s="8"/>
      <c r="D675" s="8"/>
    </row>
    <row r="676">
      <c r="A676" s="8"/>
      <c r="B676" s="8"/>
      <c r="C676" s="8"/>
      <c r="D676" s="8"/>
    </row>
    <row r="677">
      <c r="A677" s="8"/>
      <c r="B677" s="8"/>
      <c r="C677" s="8"/>
      <c r="D677" s="8"/>
    </row>
    <row r="678">
      <c r="A678" s="8"/>
      <c r="B678" s="8"/>
      <c r="C678" s="8"/>
      <c r="D678" s="8"/>
    </row>
    <row r="679">
      <c r="A679" s="8"/>
      <c r="B679" s="8"/>
      <c r="C679" s="8"/>
      <c r="D679" s="8"/>
    </row>
    <row r="680">
      <c r="A680" s="8"/>
      <c r="B680" s="8"/>
      <c r="C680" s="8"/>
      <c r="D680" s="8"/>
    </row>
    <row r="681">
      <c r="A681" s="8"/>
      <c r="B681" s="8"/>
      <c r="C681" s="8"/>
      <c r="D681" s="8"/>
    </row>
    <row r="682">
      <c r="A682" s="8"/>
      <c r="B682" s="8"/>
      <c r="C682" s="8"/>
      <c r="D682" s="8"/>
    </row>
    <row r="683">
      <c r="A683" s="8"/>
      <c r="B683" s="8"/>
      <c r="C683" s="8"/>
      <c r="D683" s="8"/>
    </row>
    <row r="684">
      <c r="A684" s="8"/>
      <c r="B684" s="8"/>
      <c r="C684" s="8"/>
      <c r="D684" s="8"/>
    </row>
    <row r="685">
      <c r="A685" s="8"/>
      <c r="B685" s="8"/>
      <c r="C685" s="8"/>
      <c r="D685" s="8"/>
    </row>
    <row r="686">
      <c r="A686" s="8"/>
      <c r="B686" s="8"/>
      <c r="C686" s="8"/>
      <c r="D686" s="8"/>
    </row>
    <row r="687">
      <c r="A687" s="8"/>
      <c r="B687" s="8"/>
      <c r="C687" s="8"/>
      <c r="D687" s="8"/>
    </row>
    <row r="688">
      <c r="A688" s="8"/>
      <c r="B688" s="8"/>
      <c r="C688" s="8"/>
      <c r="D688" s="8"/>
    </row>
    <row r="689">
      <c r="A689" s="8"/>
      <c r="B689" s="8"/>
      <c r="C689" s="8"/>
      <c r="D689" s="8"/>
    </row>
    <row r="690">
      <c r="A690" s="8"/>
      <c r="B690" s="8"/>
      <c r="C690" s="8"/>
      <c r="D690" s="8"/>
    </row>
    <row r="691">
      <c r="A691" s="8"/>
      <c r="B691" s="8"/>
      <c r="C691" s="8"/>
      <c r="D691" s="8"/>
    </row>
    <row r="692">
      <c r="A692" s="8"/>
      <c r="B692" s="8"/>
      <c r="C692" s="8"/>
      <c r="D692" s="8"/>
    </row>
    <row r="693">
      <c r="A693" s="8"/>
      <c r="B693" s="8"/>
      <c r="C693" s="8"/>
      <c r="D693" s="8"/>
    </row>
    <row r="694">
      <c r="A694" s="8"/>
      <c r="B694" s="8"/>
      <c r="C694" s="8"/>
      <c r="D694" s="8"/>
    </row>
    <row r="695">
      <c r="A695" s="8"/>
      <c r="B695" s="8"/>
      <c r="C695" s="8"/>
      <c r="D695" s="8"/>
    </row>
    <row r="696">
      <c r="A696" s="8"/>
      <c r="B696" s="8"/>
      <c r="C696" s="8"/>
      <c r="D696" s="8"/>
    </row>
    <row r="697">
      <c r="A697" s="8"/>
      <c r="B697" s="8"/>
      <c r="C697" s="8"/>
      <c r="D697" s="8"/>
    </row>
    <row r="698">
      <c r="A698" s="8"/>
      <c r="B698" s="8"/>
      <c r="C698" s="8"/>
      <c r="D698" s="8"/>
    </row>
    <row r="699">
      <c r="A699" s="8"/>
      <c r="B699" s="8"/>
      <c r="C699" s="8"/>
      <c r="D699" s="8"/>
    </row>
    <row r="700">
      <c r="A700" s="8"/>
      <c r="B700" s="8"/>
      <c r="C700" s="8"/>
      <c r="D700" s="8"/>
    </row>
    <row r="701">
      <c r="A701" s="8"/>
      <c r="B701" s="8"/>
      <c r="C701" s="8"/>
      <c r="D701" s="8"/>
    </row>
    <row r="702">
      <c r="A702" s="8"/>
      <c r="B702" s="8"/>
      <c r="C702" s="8"/>
      <c r="D702" s="8"/>
    </row>
    <row r="703">
      <c r="A703" s="8"/>
      <c r="B703" s="8"/>
      <c r="C703" s="8"/>
      <c r="D703" s="8"/>
    </row>
    <row r="704">
      <c r="A704" s="8"/>
      <c r="B704" s="8"/>
      <c r="C704" s="8"/>
      <c r="D704" s="8"/>
    </row>
    <row r="705">
      <c r="A705" s="8"/>
      <c r="B705" s="8"/>
      <c r="C705" s="8"/>
      <c r="D705" s="8"/>
    </row>
    <row r="706">
      <c r="A706" s="8"/>
      <c r="B706" s="8"/>
      <c r="C706" s="8"/>
      <c r="D706" s="8"/>
    </row>
    <row r="707">
      <c r="A707" s="8"/>
      <c r="B707" s="8"/>
      <c r="C707" s="8"/>
      <c r="D707" s="8"/>
    </row>
    <row r="708">
      <c r="A708" s="8"/>
      <c r="B708" s="8"/>
      <c r="C708" s="8"/>
      <c r="D708" s="8"/>
    </row>
    <row r="709">
      <c r="A709" s="8"/>
      <c r="B709" s="8"/>
      <c r="C709" s="8"/>
      <c r="D709" s="8"/>
    </row>
    <row r="710">
      <c r="A710" s="8"/>
      <c r="B710" s="8"/>
      <c r="C710" s="8"/>
      <c r="D710" s="8"/>
    </row>
    <row r="711">
      <c r="A711" s="8"/>
      <c r="B711" s="8"/>
      <c r="C711" s="8"/>
      <c r="D711" s="8"/>
    </row>
    <row r="712">
      <c r="A712" s="8"/>
      <c r="B712" s="8"/>
      <c r="C712" s="8"/>
      <c r="D712" s="8"/>
    </row>
    <row r="713">
      <c r="A713" s="8"/>
      <c r="B713" s="8"/>
      <c r="C713" s="8"/>
      <c r="D713" s="8"/>
    </row>
    <row r="714">
      <c r="A714" s="8"/>
      <c r="B714" s="8"/>
      <c r="C714" s="8"/>
      <c r="D714" s="8"/>
    </row>
    <row r="715">
      <c r="A715" s="8"/>
      <c r="B715" s="8"/>
      <c r="C715" s="8"/>
      <c r="D715" s="8"/>
    </row>
    <row r="716">
      <c r="A716" s="8"/>
      <c r="B716" s="8"/>
      <c r="C716" s="8"/>
      <c r="D716" s="8"/>
    </row>
    <row r="717">
      <c r="A717" s="8"/>
      <c r="B717" s="8"/>
      <c r="C717" s="8"/>
      <c r="D717" s="8"/>
    </row>
    <row r="718">
      <c r="A718" s="8"/>
      <c r="B718" s="8"/>
      <c r="C718" s="8"/>
      <c r="D718" s="8"/>
    </row>
    <row r="719">
      <c r="A719" s="8"/>
      <c r="B719" s="8"/>
      <c r="C719" s="8"/>
      <c r="D719" s="8"/>
    </row>
    <row r="720">
      <c r="A720" s="8"/>
      <c r="B720" s="8"/>
      <c r="C720" s="8"/>
      <c r="D720" s="8"/>
    </row>
    <row r="721">
      <c r="A721" s="8"/>
      <c r="B721" s="8"/>
      <c r="C721" s="8"/>
      <c r="D721" s="8"/>
    </row>
    <row r="722">
      <c r="A722" s="8"/>
      <c r="B722" s="8"/>
      <c r="C722" s="8"/>
      <c r="D722" s="8"/>
    </row>
    <row r="723">
      <c r="A723" s="8"/>
      <c r="B723" s="8"/>
      <c r="C723" s="8"/>
      <c r="D723" s="8"/>
    </row>
    <row r="724">
      <c r="A724" s="8"/>
      <c r="B724" s="8"/>
      <c r="C724" s="8"/>
      <c r="D724" s="8"/>
    </row>
    <row r="725">
      <c r="A725" s="8"/>
      <c r="B725" s="8"/>
      <c r="C725" s="8"/>
      <c r="D725" s="8"/>
    </row>
    <row r="726">
      <c r="A726" s="8"/>
      <c r="B726" s="8"/>
      <c r="C726" s="8"/>
      <c r="D726" s="8"/>
    </row>
    <row r="727">
      <c r="A727" s="8"/>
      <c r="B727" s="8"/>
      <c r="C727" s="8"/>
      <c r="D727" s="8"/>
    </row>
    <row r="728">
      <c r="A728" s="8"/>
      <c r="B728" s="8"/>
      <c r="C728" s="8"/>
      <c r="D728" s="8"/>
    </row>
    <row r="729">
      <c r="A729" s="8"/>
      <c r="B729" s="8"/>
      <c r="C729" s="8"/>
      <c r="D729" s="8"/>
    </row>
    <row r="730">
      <c r="A730" s="8"/>
      <c r="B730" s="8"/>
      <c r="C730" s="8"/>
      <c r="D730" s="8"/>
    </row>
    <row r="731">
      <c r="A731" s="8"/>
      <c r="B731" s="8"/>
      <c r="C731" s="8"/>
      <c r="D731" s="8"/>
    </row>
    <row r="732">
      <c r="A732" s="8"/>
      <c r="B732" s="8"/>
      <c r="C732" s="8"/>
      <c r="D732" s="8"/>
    </row>
    <row r="733">
      <c r="A733" s="8"/>
      <c r="B733" s="8"/>
      <c r="C733" s="8"/>
      <c r="D733" s="8"/>
    </row>
    <row r="734">
      <c r="A734" s="8"/>
      <c r="B734" s="8"/>
      <c r="C734" s="8"/>
      <c r="D734" s="8"/>
    </row>
    <row r="735">
      <c r="A735" s="8"/>
      <c r="B735" s="8"/>
      <c r="C735" s="8"/>
      <c r="D735" s="8"/>
    </row>
    <row r="736">
      <c r="A736" s="8"/>
      <c r="B736" s="8"/>
      <c r="C736" s="8"/>
      <c r="D736" s="8"/>
    </row>
    <row r="737">
      <c r="A737" s="8"/>
      <c r="B737" s="8"/>
      <c r="C737" s="8"/>
      <c r="D737" s="8"/>
    </row>
    <row r="738">
      <c r="A738" s="8"/>
      <c r="B738" s="8"/>
      <c r="C738" s="8"/>
      <c r="D738" s="8"/>
    </row>
    <row r="739">
      <c r="A739" s="8"/>
      <c r="B739" s="8"/>
      <c r="C739" s="8"/>
      <c r="D739" s="8"/>
    </row>
    <row r="740">
      <c r="A740" s="8"/>
      <c r="B740" s="8"/>
      <c r="C740" s="8"/>
      <c r="D740" s="8"/>
    </row>
    <row r="741">
      <c r="A741" s="8"/>
      <c r="B741" s="8"/>
      <c r="C741" s="8"/>
      <c r="D741" s="8"/>
    </row>
    <row r="742">
      <c r="A742" s="8"/>
      <c r="B742" s="8"/>
      <c r="C742" s="8"/>
      <c r="D742" s="8"/>
    </row>
    <row r="743">
      <c r="A743" s="8"/>
      <c r="B743" s="8"/>
      <c r="C743" s="8"/>
      <c r="D743" s="8"/>
    </row>
    <row r="744">
      <c r="A744" s="8"/>
      <c r="B744" s="8"/>
      <c r="C744" s="8"/>
      <c r="D744" s="8"/>
    </row>
    <row r="745">
      <c r="A745" s="8"/>
      <c r="B745" s="8"/>
      <c r="C745" s="8"/>
      <c r="D745" s="8"/>
    </row>
    <row r="746">
      <c r="A746" s="8"/>
      <c r="B746" s="8"/>
      <c r="C746" s="8"/>
      <c r="D746" s="8"/>
    </row>
    <row r="747">
      <c r="A747" s="8"/>
      <c r="B747" s="8"/>
      <c r="C747" s="8"/>
      <c r="D747" s="8"/>
    </row>
    <row r="748">
      <c r="A748" s="8"/>
      <c r="B748" s="8"/>
      <c r="C748" s="8"/>
      <c r="D748" s="8"/>
    </row>
    <row r="749">
      <c r="A749" s="8"/>
      <c r="B749" s="8"/>
      <c r="C749" s="8"/>
      <c r="D749" s="8"/>
    </row>
    <row r="750">
      <c r="A750" s="8"/>
      <c r="B750" s="8"/>
      <c r="C750" s="8"/>
      <c r="D750" s="8"/>
    </row>
    <row r="751">
      <c r="A751" s="8"/>
      <c r="B751" s="8"/>
      <c r="C751" s="8"/>
      <c r="D751" s="8"/>
    </row>
    <row r="752">
      <c r="A752" s="8"/>
      <c r="B752" s="8"/>
      <c r="C752" s="8"/>
      <c r="D752" s="8"/>
    </row>
    <row r="753">
      <c r="A753" s="8"/>
      <c r="B753" s="8"/>
      <c r="C753" s="8"/>
      <c r="D753" s="8"/>
    </row>
    <row r="754">
      <c r="A754" s="8"/>
      <c r="B754" s="8"/>
      <c r="C754" s="8"/>
      <c r="D754" s="8"/>
    </row>
    <row r="755">
      <c r="A755" s="8"/>
      <c r="B755" s="8"/>
      <c r="C755" s="8"/>
      <c r="D755" s="8"/>
    </row>
    <row r="756">
      <c r="A756" s="8"/>
      <c r="B756" s="8"/>
      <c r="C756" s="8"/>
      <c r="D756" s="8"/>
    </row>
    <row r="757">
      <c r="A757" s="8"/>
      <c r="B757" s="8"/>
      <c r="C757" s="8"/>
      <c r="D757" s="8"/>
    </row>
    <row r="758">
      <c r="A758" s="8"/>
      <c r="B758" s="8"/>
      <c r="C758" s="8"/>
      <c r="D758" s="8"/>
    </row>
    <row r="759">
      <c r="A759" s="8"/>
      <c r="B759" s="8"/>
      <c r="C759" s="8"/>
      <c r="D759" s="8"/>
    </row>
    <row r="760">
      <c r="A760" s="8"/>
      <c r="B760" s="8"/>
      <c r="C760" s="8"/>
      <c r="D760" s="8"/>
    </row>
    <row r="761">
      <c r="A761" s="8"/>
      <c r="B761" s="8"/>
      <c r="C761" s="8"/>
      <c r="D761" s="8"/>
    </row>
    <row r="762">
      <c r="A762" s="8"/>
      <c r="B762" s="8"/>
      <c r="C762" s="8"/>
      <c r="D762" s="8"/>
    </row>
    <row r="763">
      <c r="A763" s="8"/>
      <c r="B763" s="8"/>
      <c r="C763" s="8"/>
      <c r="D763" s="8"/>
    </row>
    <row r="764">
      <c r="A764" s="8"/>
      <c r="B764" s="8"/>
      <c r="C764" s="8"/>
      <c r="D764" s="8"/>
    </row>
    <row r="765">
      <c r="A765" s="8"/>
      <c r="B765" s="8"/>
      <c r="C765" s="8"/>
      <c r="D765" s="8"/>
    </row>
    <row r="766">
      <c r="A766" s="8"/>
      <c r="B766" s="8"/>
      <c r="C766" s="8"/>
      <c r="D766" s="8"/>
    </row>
    <row r="767">
      <c r="A767" s="8"/>
      <c r="B767" s="8"/>
      <c r="C767" s="8"/>
      <c r="D767" s="8"/>
    </row>
    <row r="768">
      <c r="A768" s="8"/>
      <c r="B768" s="8"/>
      <c r="C768" s="8"/>
      <c r="D768" s="8"/>
    </row>
    <row r="769">
      <c r="A769" s="8"/>
      <c r="B769" s="8"/>
      <c r="C769" s="8"/>
      <c r="D769" s="8"/>
    </row>
    <row r="770">
      <c r="A770" s="8"/>
      <c r="B770" s="8"/>
      <c r="C770" s="8"/>
      <c r="D770" s="8"/>
    </row>
    <row r="771">
      <c r="A771" s="8"/>
      <c r="B771" s="8"/>
      <c r="C771" s="8"/>
      <c r="D771" s="8"/>
    </row>
    <row r="772">
      <c r="A772" s="8"/>
      <c r="B772" s="8"/>
      <c r="C772" s="8"/>
      <c r="D772" s="8"/>
    </row>
    <row r="773">
      <c r="A773" s="8"/>
      <c r="B773" s="8"/>
      <c r="C773" s="8"/>
      <c r="D773" s="8"/>
    </row>
    <row r="774">
      <c r="A774" s="8"/>
      <c r="B774" s="8"/>
      <c r="C774" s="8"/>
      <c r="D774" s="8"/>
    </row>
    <row r="775">
      <c r="A775" s="8"/>
      <c r="B775" s="8"/>
      <c r="C775" s="8"/>
      <c r="D775" s="8"/>
    </row>
    <row r="776">
      <c r="A776" s="8"/>
      <c r="B776" s="8"/>
      <c r="C776" s="8"/>
      <c r="D776" s="8"/>
    </row>
    <row r="777">
      <c r="A777" s="8"/>
      <c r="B777" s="8"/>
      <c r="C777" s="8"/>
      <c r="D777" s="8"/>
    </row>
    <row r="778">
      <c r="A778" s="8"/>
      <c r="B778" s="8"/>
      <c r="C778" s="8"/>
      <c r="D778" s="8"/>
    </row>
    <row r="779">
      <c r="A779" s="8"/>
      <c r="B779" s="8"/>
      <c r="C779" s="8"/>
      <c r="D779" s="8"/>
    </row>
    <row r="780">
      <c r="A780" s="8"/>
      <c r="B780" s="8"/>
      <c r="C780" s="8"/>
      <c r="D780" s="8"/>
    </row>
    <row r="781">
      <c r="A781" s="8"/>
      <c r="B781" s="8"/>
      <c r="C781" s="8"/>
      <c r="D781" s="8"/>
    </row>
    <row r="782">
      <c r="A782" s="8"/>
      <c r="B782" s="8"/>
      <c r="C782" s="8"/>
      <c r="D782" s="8"/>
    </row>
    <row r="783">
      <c r="A783" s="8"/>
      <c r="B783" s="8"/>
      <c r="C783" s="8"/>
      <c r="D783" s="8"/>
    </row>
    <row r="784">
      <c r="A784" s="8"/>
      <c r="B784" s="8"/>
      <c r="C784" s="8"/>
      <c r="D784" s="8"/>
    </row>
    <row r="785">
      <c r="A785" s="8"/>
      <c r="B785" s="8"/>
      <c r="C785" s="8"/>
      <c r="D785" s="8"/>
    </row>
    <row r="786">
      <c r="A786" s="8"/>
      <c r="B786" s="8"/>
      <c r="C786" s="8"/>
      <c r="D786" s="8"/>
    </row>
    <row r="787">
      <c r="A787" s="8"/>
      <c r="B787" s="8"/>
      <c r="C787" s="8"/>
      <c r="D787" s="8"/>
    </row>
    <row r="788">
      <c r="A788" s="8"/>
      <c r="B788" s="8"/>
      <c r="C788" s="8"/>
      <c r="D788" s="8"/>
    </row>
    <row r="789">
      <c r="A789" s="8"/>
      <c r="B789" s="8"/>
      <c r="C789" s="8"/>
      <c r="D789" s="8"/>
    </row>
    <row r="790">
      <c r="A790" s="8"/>
      <c r="B790" s="8"/>
      <c r="C790" s="8"/>
      <c r="D790" s="8"/>
    </row>
    <row r="791">
      <c r="A791" s="8"/>
      <c r="B791" s="8"/>
      <c r="C791" s="8"/>
      <c r="D791" s="8"/>
    </row>
    <row r="792">
      <c r="A792" s="8"/>
      <c r="B792" s="8"/>
      <c r="C792" s="8"/>
      <c r="D792" s="8"/>
    </row>
    <row r="793">
      <c r="A793" s="8"/>
      <c r="B793" s="8"/>
      <c r="C793" s="8"/>
      <c r="D793" s="8"/>
    </row>
    <row r="794">
      <c r="A794" s="8"/>
      <c r="B794" s="8"/>
      <c r="C794" s="8"/>
      <c r="D794" s="8"/>
    </row>
    <row r="795">
      <c r="A795" s="8"/>
      <c r="B795" s="8"/>
      <c r="C795" s="8"/>
      <c r="D795" s="8"/>
    </row>
    <row r="796">
      <c r="A796" s="8"/>
      <c r="B796" s="8"/>
      <c r="C796" s="8"/>
      <c r="D796" s="8"/>
    </row>
    <row r="797">
      <c r="A797" s="8"/>
      <c r="B797" s="8"/>
      <c r="C797" s="8"/>
      <c r="D797" s="8"/>
    </row>
    <row r="798">
      <c r="A798" s="8"/>
      <c r="B798" s="8"/>
      <c r="C798" s="8"/>
      <c r="D798" s="8"/>
    </row>
    <row r="799">
      <c r="A799" s="8"/>
      <c r="B799" s="8"/>
      <c r="C799" s="8"/>
      <c r="D799" s="8"/>
    </row>
    <row r="800">
      <c r="A800" s="8"/>
      <c r="B800" s="8"/>
      <c r="C800" s="8"/>
      <c r="D800" s="8"/>
    </row>
    <row r="801">
      <c r="A801" s="8"/>
      <c r="B801" s="8"/>
      <c r="C801" s="8"/>
      <c r="D801" s="8"/>
    </row>
    <row r="802">
      <c r="A802" s="8"/>
      <c r="B802" s="8"/>
      <c r="C802" s="8"/>
      <c r="D802" s="8"/>
    </row>
    <row r="803">
      <c r="A803" s="8"/>
      <c r="B803" s="8"/>
      <c r="C803" s="8"/>
      <c r="D803" s="8"/>
    </row>
    <row r="804">
      <c r="A804" s="8"/>
      <c r="B804" s="8"/>
      <c r="C804" s="8"/>
      <c r="D804" s="8"/>
    </row>
    <row r="805">
      <c r="A805" s="8"/>
      <c r="B805" s="8"/>
      <c r="C805" s="8"/>
      <c r="D805" s="8"/>
    </row>
    <row r="806">
      <c r="A806" s="8"/>
      <c r="B806" s="8"/>
      <c r="C806" s="8"/>
      <c r="D806" s="8"/>
    </row>
    <row r="807">
      <c r="A807" s="8"/>
      <c r="B807" s="8"/>
      <c r="C807" s="8"/>
      <c r="D807" s="8"/>
    </row>
    <row r="808">
      <c r="A808" s="8"/>
      <c r="B808" s="8"/>
      <c r="C808" s="8"/>
      <c r="D808" s="8"/>
    </row>
    <row r="809">
      <c r="A809" s="8"/>
      <c r="B809" s="8"/>
      <c r="C809" s="8"/>
      <c r="D809" s="8"/>
    </row>
    <row r="810">
      <c r="A810" s="8"/>
      <c r="B810" s="8"/>
      <c r="C810" s="8"/>
      <c r="D810" s="8"/>
    </row>
    <row r="811">
      <c r="A811" s="8"/>
      <c r="B811" s="8"/>
      <c r="C811" s="8"/>
      <c r="D811" s="8"/>
    </row>
    <row r="812">
      <c r="A812" s="8"/>
      <c r="B812" s="8"/>
      <c r="C812" s="8"/>
      <c r="D812" s="8"/>
    </row>
    <row r="813">
      <c r="A813" s="8"/>
      <c r="B813" s="8"/>
      <c r="C813" s="8"/>
      <c r="D813" s="8"/>
    </row>
    <row r="814">
      <c r="A814" s="8"/>
      <c r="B814" s="8"/>
      <c r="C814" s="8"/>
      <c r="D814" s="8"/>
    </row>
    <row r="815">
      <c r="A815" s="8"/>
      <c r="B815" s="8"/>
      <c r="C815" s="8"/>
      <c r="D815" s="8"/>
    </row>
    <row r="816">
      <c r="A816" s="8"/>
      <c r="B816" s="8"/>
      <c r="C816" s="8"/>
      <c r="D816" s="8"/>
    </row>
    <row r="817">
      <c r="A817" s="8"/>
      <c r="B817" s="8"/>
      <c r="C817" s="8"/>
      <c r="D817" s="8"/>
    </row>
    <row r="818">
      <c r="A818" s="8"/>
      <c r="B818" s="8"/>
      <c r="C818" s="8"/>
      <c r="D818" s="8"/>
    </row>
    <row r="819">
      <c r="A819" s="8"/>
      <c r="B819" s="8"/>
      <c r="C819" s="8"/>
      <c r="D819" s="8"/>
    </row>
    <row r="820">
      <c r="A820" s="8"/>
      <c r="B820" s="8"/>
      <c r="C820" s="8"/>
      <c r="D820" s="8"/>
    </row>
    <row r="821">
      <c r="A821" s="8"/>
      <c r="B821" s="8"/>
      <c r="C821" s="8"/>
      <c r="D821" s="8"/>
    </row>
    <row r="822">
      <c r="A822" s="8"/>
      <c r="B822" s="8"/>
      <c r="C822" s="8"/>
      <c r="D822" s="8"/>
    </row>
    <row r="823">
      <c r="A823" s="8"/>
      <c r="B823" s="8"/>
      <c r="C823" s="8"/>
      <c r="D823" s="8"/>
    </row>
    <row r="824">
      <c r="A824" s="8"/>
      <c r="B824" s="8"/>
      <c r="C824" s="8"/>
      <c r="D824" s="8"/>
    </row>
    <row r="825">
      <c r="A825" s="8"/>
      <c r="B825" s="8"/>
      <c r="C825" s="8"/>
      <c r="D825" s="8"/>
    </row>
    <row r="826">
      <c r="A826" s="8"/>
      <c r="B826" s="8"/>
      <c r="C826" s="8"/>
      <c r="D826" s="8"/>
    </row>
    <row r="827">
      <c r="A827" s="8"/>
      <c r="B827" s="8"/>
      <c r="C827" s="8"/>
      <c r="D827" s="8"/>
    </row>
    <row r="828">
      <c r="A828" s="8"/>
      <c r="B828" s="8"/>
      <c r="C828" s="8"/>
      <c r="D828" s="8"/>
    </row>
    <row r="829">
      <c r="A829" s="8"/>
      <c r="B829" s="8"/>
      <c r="C829" s="8"/>
      <c r="D829" s="8"/>
    </row>
    <row r="830">
      <c r="A830" s="8"/>
      <c r="B830" s="8"/>
      <c r="C830" s="8"/>
      <c r="D830" s="8"/>
    </row>
    <row r="831">
      <c r="A831" s="8"/>
      <c r="B831" s="8"/>
      <c r="C831" s="8"/>
      <c r="D831" s="8"/>
    </row>
    <row r="832">
      <c r="A832" s="8"/>
      <c r="B832" s="8"/>
      <c r="C832" s="8"/>
      <c r="D832" s="8"/>
    </row>
    <row r="833">
      <c r="A833" s="8"/>
      <c r="B833" s="8"/>
      <c r="C833" s="8"/>
      <c r="D833" s="8"/>
    </row>
    <row r="834">
      <c r="A834" s="8"/>
      <c r="B834" s="8"/>
      <c r="C834" s="8"/>
      <c r="D834" s="8"/>
    </row>
    <row r="835">
      <c r="A835" s="8"/>
      <c r="B835" s="8"/>
      <c r="C835" s="8"/>
      <c r="D835" s="8"/>
    </row>
    <row r="836">
      <c r="A836" s="8"/>
      <c r="B836" s="8"/>
      <c r="C836" s="8"/>
      <c r="D836" s="8"/>
    </row>
    <row r="837">
      <c r="A837" s="8"/>
      <c r="B837" s="8"/>
      <c r="C837" s="8"/>
      <c r="D837" s="8"/>
    </row>
    <row r="838">
      <c r="A838" s="8"/>
      <c r="B838" s="8"/>
      <c r="C838" s="8"/>
      <c r="D838" s="8"/>
    </row>
    <row r="839">
      <c r="A839" s="8"/>
      <c r="B839" s="8"/>
      <c r="C839" s="8"/>
      <c r="D839" s="8"/>
    </row>
    <row r="840">
      <c r="A840" s="8"/>
      <c r="B840" s="8"/>
      <c r="C840" s="8"/>
      <c r="D840" s="8"/>
    </row>
    <row r="841">
      <c r="A841" s="8"/>
      <c r="B841" s="8"/>
      <c r="C841" s="8"/>
      <c r="D841" s="8"/>
    </row>
    <row r="842">
      <c r="A842" s="8"/>
      <c r="B842" s="8"/>
      <c r="C842" s="8"/>
      <c r="D842" s="8"/>
    </row>
    <row r="843">
      <c r="A843" s="8"/>
      <c r="B843" s="8"/>
      <c r="C843" s="8"/>
      <c r="D843" s="8"/>
    </row>
    <row r="844">
      <c r="A844" s="8"/>
      <c r="B844" s="8"/>
      <c r="C844" s="8"/>
      <c r="D844" s="8"/>
    </row>
    <row r="845">
      <c r="A845" s="8"/>
      <c r="B845" s="8"/>
      <c r="C845" s="8"/>
      <c r="D845" s="8"/>
    </row>
    <row r="846">
      <c r="A846" s="8"/>
      <c r="B846" s="8"/>
      <c r="C846" s="8"/>
      <c r="D846" s="8"/>
    </row>
    <row r="847">
      <c r="A847" s="8"/>
      <c r="B847" s="8"/>
      <c r="C847" s="8"/>
      <c r="D847" s="8"/>
    </row>
    <row r="848">
      <c r="A848" s="8"/>
      <c r="B848" s="8"/>
      <c r="C848" s="8"/>
      <c r="D848" s="8"/>
    </row>
    <row r="849">
      <c r="A849" s="8"/>
      <c r="B849" s="8"/>
      <c r="C849" s="8"/>
      <c r="D849" s="8"/>
    </row>
    <row r="850">
      <c r="A850" s="8"/>
      <c r="B850" s="8"/>
      <c r="C850" s="8"/>
      <c r="D850" s="8"/>
    </row>
    <row r="851">
      <c r="A851" s="8"/>
      <c r="B851" s="8"/>
      <c r="C851" s="8"/>
      <c r="D851" s="8"/>
    </row>
    <row r="852">
      <c r="A852" s="8"/>
      <c r="B852" s="8"/>
      <c r="C852" s="8"/>
      <c r="D852" s="8"/>
    </row>
    <row r="853">
      <c r="A853" s="8"/>
      <c r="B853" s="8"/>
      <c r="C853" s="8"/>
      <c r="D853" s="8"/>
    </row>
    <row r="854">
      <c r="A854" s="8"/>
      <c r="B854" s="8"/>
      <c r="C854" s="8"/>
      <c r="D854" s="8"/>
    </row>
    <row r="855">
      <c r="A855" s="8"/>
      <c r="B855" s="8"/>
      <c r="C855" s="8"/>
      <c r="D855" s="8"/>
    </row>
    <row r="856">
      <c r="A856" s="8"/>
      <c r="B856" s="8"/>
      <c r="C856" s="8"/>
      <c r="D856" s="8"/>
    </row>
    <row r="857">
      <c r="A857" s="8"/>
      <c r="B857" s="8"/>
      <c r="C857" s="8"/>
      <c r="D857" s="8"/>
    </row>
    <row r="858">
      <c r="A858" s="8"/>
      <c r="B858" s="8"/>
      <c r="C858" s="8"/>
      <c r="D858" s="8"/>
    </row>
    <row r="859">
      <c r="A859" s="8"/>
      <c r="B859" s="8"/>
      <c r="C859" s="8"/>
      <c r="D859" s="8"/>
    </row>
    <row r="860">
      <c r="A860" s="8"/>
      <c r="B860" s="8"/>
      <c r="C860" s="8"/>
      <c r="D860" s="8"/>
    </row>
    <row r="861">
      <c r="A861" s="8"/>
      <c r="B861" s="8"/>
      <c r="C861" s="8"/>
      <c r="D861" s="8"/>
    </row>
    <row r="862">
      <c r="A862" s="8"/>
      <c r="B862" s="8"/>
      <c r="C862" s="8"/>
      <c r="D862" s="8"/>
    </row>
    <row r="863">
      <c r="A863" s="8"/>
      <c r="B863" s="8"/>
      <c r="C863" s="8"/>
      <c r="D863" s="8"/>
    </row>
    <row r="864">
      <c r="A864" s="8"/>
      <c r="B864" s="8"/>
      <c r="C864" s="8"/>
      <c r="D864" s="8"/>
    </row>
    <row r="865">
      <c r="A865" s="8"/>
      <c r="B865" s="8"/>
      <c r="C865" s="8"/>
      <c r="D865" s="8"/>
    </row>
    <row r="866">
      <c r="A866" s="8"/>
      <c r="B866" s="8"/>
      <c r="C866" s="8"/>
      <c r="D866" s="8"/>
    </row>
    <row r="867">
      <c r="A867" s="8"/>
      <c r="B867" s="8"/>
      <c r="C867" s="8"/>
      <c r="D867" s="8"/>
    </row>
    <row r="868">
      <c r="A868" s="8"/>
      <c r="B868" s="8"/>
      <c r="C868" s="8"/>
      <c r="D868" s="8"/>
    </row>
    <row r="869">
      <c r="A869" s="8"/>
      <c r="B869" s="8"/>
      <c r="C869" s="8"/>
      <c r="D869" s="8"/>
    </row>
    <row r="870">
      <c r="A870" s="8"/>
      <c r="B870" s="8"/>
      <c r="C870" s="8"/>
      <c r="D870" s="8"/>
    </row>
    <row r="871">
      <c r="A871" s="8"/>
      <c r="B871" s="8"/>
      <c r="C871" s="8"/>
      <c r="D871" s="8"/>
    </row>
    <row r="872">
      <c r="A872" s="8"/>
      <c r="B872" s="8"/>
      <c r="C872" s="8"/>
      <c r="D872" s="8"/>
    </row>
    <row r="873">
      <c r="A873" s="8"/>
      <c r="B873" s="8"/>
      <c r="C873" s="8"/>
      <c r="D873" s="8"/>
    </row>
    <row r="874">
      <c r="A874" s="8"/>
      <c r="B874" s="8"/>
      <c r="C874" s="8"/>
      <c r="D874" s="8"/>
    </row>
    <row r="875">
      <c r="A875" s="8"/>
      <c r="B875" s="8"/>
      <c r="C875" s="8"/>
      <c r="D875" s="8"/>
    </row>
    <row r="876">
      <c r="A876" s="8"/>
      <c r="B876" s="8"/>
      <c r="C876" s="8"/>
      <c r="D876" s="8"/>
    </row>
    <row r="877">
      <c r="A877" s="8"/>
      <c r="B877" s="8"/>
      <c r="C877" s="8"/>
      <c r="D877" s="8"/>
    </row>
    <row r="878">
      <c r="A878" s="8"/>
      <c r="B878" s="8"/>
      <c r="C878" s="8"/>
      <c r="D878" s="8"/>
    </row>
    <row r="879">
      <c r="A879" s="8"/>
      <c r="B879" s="8"/>
      <c r="C879" s="8"/>
      <c r="D879" s="8"/>
    </row>
    <row r="880">
      <c r="A880" s="8"/>
      <c r="B880" s="8"/>
      <c r="C880" s="8"/>
      <c r="D880" s="8"/>
    </row>
    <row r="881">
      <c r="A881" s="8"/>
      <c r="B881" s="8"/>
      <c r="C881" s="8"/>
      <c r="D881" s="8"/>
    </row>
    <row r="882">
      <c r="A882" s="8"/>
      <c r="B882" s="8"/>
      <c r="C882" s="8"/>
      <c r="D882" s="8"/>
    </row>
    <row r="883">
      <c r="A883" s="8"/>
      <c r="B883" s="8"/>
      <c r="C883" s="8"/>
      <c r="D883" s="8"/>
    </row>
    <row r="884">
      <c r="A884" s="8"/>
      <c r="B884" s="8"/>
      <c r="C884" s="8"/>
      <c r="D884" s="8"/>
    </row>
    <row r="885">
      <c r="A885" s="8"/>
      <c r="B885" s="8"/>
      <c r="C885" s="8"/>
      <c r="D885" s="8"/>
    </row>
    <row r="886">
      <c r="A886" s="8"/>
      <c r="B886" s="8"/>
      <c r="C886" s="8"/>
      <c r="D886" s="8"/>
    </row>
    <row r="887">
      <c r="A887" s="8"/>
      <c r="B887" s="8"/>
      <c r="C887" s="8"/>
      <c r="D887" s="8"/>
    </row>
    <row r="888">
      <c r="A888" s="8"/>
      <c r="B888" s="8"/>
      <c r="C888" s="8"/>
      <c r="D888" s="8"/>
    </row>
    <row r="889">
      <c r="A889" s="8"/>
      <c r="B889" s="8"/>
      <c r="C889" s="8"/>
      <c r="D889" s="8"/>
    </row>
    <row r="890">
      <c r="A890" s="8"/>
      <c r="B890" s="8"/>
      <c r="C890" s="8"/>
      <c r="D890" s="8"/>
    </row>
    <row r="891">
      <c r="A891" s="8"/>
      <c r="B891" s="8"/>
      <c r="C891" s="8"/>
      <c r="D891" s="8"/>
    </row>
    <row r="892">
      <c r="A892" s="8"/>
      <c r="B892" s="8"/>
      <c r="C892" s="8"/>
      <c r="D892" s="8"/>
    </row>
    <row r="893">
      <c r="A893" s="8"/>
      <c r="B893" s="8"/>
      <c r="C893" s="8"/>
      <c r="D893" s="8"/>
    </row>
    <row r="894">
      <c r="A894" s="8"/>
      <c r="B894" s="8"/>
      <c r="C894" s="8"/>
      <c r="D894" s="8"/>
    </row>
    <row r="895">
      <c r="A895" s="8"/>
      <c r="B895" s="8"/>
      <c r="C895" s="8"/>
      <c r="D895" s="8"/>
    </row>
    <row r="896">
      <c r="A896" s="8"/>
      <c r="B896" s="8"/>
      <c r="C896" s="8"/>
      <c r="D896" s="8"/>
    </row>
    <row r="897">
      <c r="A897" s="8"/>
      <c r="B897" s="8"/>
      <c r="C897" s="8"/>
      <c r="D897" s="8"/>
    </row>
    <row r="898">
      <c r="A898" s="8"/>
      <c r="B898" s="8"/>
      <c r="C898" s="8"/>
      <c r="D898" s="8"/>
    </row>
    <row r="899">
      <c r="A899" s="8"/>
      <c r="B899" s="8"/>
      <c r="C899" s="8"/>
      <c r="D899" s="8"/>
    </row>
    <row r="900">
      <c r="A900" s="8"/>
      <c r="B900" s="8"/>
      <c r="C900" s="8"/>
      <c r="D900" s="8"/>
    </row>
    <row r="901">
      <c r="A901" s="8"/>
      <c r="B901" s="8"/>
      <c r="C901" s="8"/>
      <c r="D901" s="8"/>
    </row>
    <row r="902">
      <c r="A902" s="8"/>
      <c r="B902" s="8"/>
      <c r="C902" s="8"/>
      <c r="D902" s="8"/>
    </row>
    <row r="903">
      <c r="A903" s="8"/>
      <c r="B903" s="8"/>
      <c r="C903" s="8"/>
      <c r="D903" s="8"/>
    </row>
    <row r="904">
      <c r="A904" s="8"/>
      <c r="B904" s="8"/>
      <c r="C904" s="8"/>
      <c r="D904" s="8"/>
    </row>
    <row r="905">
      <c r="A905" s="8"/>
      <c r="B905" s="8"/>
      <c r="C905" s="8"/>
      <c r="D905" s="8"/>
    </row>
    <row r="906">
      <c r="A906" s="8"/>
      <c r="B906" s="8"/>
      <c r="C906" s="8"/>
      <c r="D906" s="8"/>
    </row>
    <row r="907">
      <c r="A907" s="8"/>
      <c r="B907" s="8"/>
      <c r="C907" s="8"/>
      <c r="D907" s="8"/>
    </row>
    <row r="908">
      <c r="A908" s="8"/>
      <c r="B908" s="8"/>
      <c r="C908" s="8"/>
      <c r="D908" s="8"/>
    </row>
    <row r="909">
      <c r="A909" s="8"/>
      <c r="B909" s="8"/>
      <c r="C909" s="8"/>
      <c r="D909" s="8"/>
    </row>
    <row r="910">
      <c r="A910" s="8"/>
      <c r="B910" s="8"/>
      <c r="C910" s="8"/>
      <c r="D910" s="8"/>
    </row>
    <row r="911">
      <c r="A911" s="8"/>
      <c r="B911" s="8"/>
      <c r="C911" s="8"/>
      <c r="D911" s="8"/>
    </row>
    <row r="912">
      <c r="A912" s="8"/>
      <c r="B912" s="8"/>
      <c r="C912" s="8"/>
      <c r="D912" s="8"/>
    </row>
    <row r="913">
      <c r="A913" s="8"/>
      <c r="B913" s="8"/>
      <c r="C913" s="8"/>
      <c r="D913" s="8"/>
    </row>
    <row r="914">
      <c r="A914" s="8"/>
      <c r="B914" s="8"/>
      <c r="C914" s="8"/>
      <c r="D914" s="8"/>
    </row>
    <row r="915">
      <c r="A915" s="8"/>
      <c r="B915" s="8"/>
      <c r="C915" s="8"/>
      <c r="D915" s="8"/>
    </row>
    <row r="916">
      <c r="A916" s="8"/>
      <c r="B916" s="8"/>
      <c r="C916" s="8"/>
      <c r="D916" s="8"/>
    </row>
    <row r="917">
      <c r="A917" s="8"/>
      <c r="B917" s="8"/>
      <c r="C917" s="8"/>
      <c r="D917" s="8"/>
    </row>
    <row r="918">
      <c r="A918" s="8"/>
      <c r="B918" s="8"/>
      <c r="C918" s="8"/>
      <c r="D918" s="8"/>
    </row>
    <row r="919">
      <c r="A919" s="8"/>
      <c r="B919" s="8"/>
      <c r="C919" s="8"/>
      <c r="D919" s="8"/>
    </row>
    <row r="920">
      <c r="A920" s="8"/>
      <c r="B920" s="8"/>
      <c r="C920" s="8"/>
      <c r="D920" s="8"/>
    </row>
    <row r="921">
      <c r="A921" s="8"/>
      <c r="B921" s="8"/>
      <c r="C921" s="8"/>
      <c r="D921" s="8"/>
    </row>
    <row r="922">
      <c r="A922" s="8"/>
      <c r="B922" s="8"/>
      <c r="C922" s="8"/>
      <c r="D922" s="8"/>
    </row>
    <row r="923">
      <c r="A923" s="8"/>
      <c r="B923" s="8"/>
      <c r="C923" s="8"/>
      <c r="D923" s="8"/>
    </row>
    <row r="924">
      <c r="A924" s="8"/>
      <c r="B924" s="8"/>
      <c r="C924" s="8"/>
      <c r="D924" s="8"/>
    </row>
    <row r="925">
      <c r="A925" s="8"/>
      <c r="B925" s="8"/>
      <c r="C925" s="8"/>
      <c r="D925" s="8"/>
    </row>
    <row r="926">
      <c r="A926" s="8"/>
      <c r="B926" s="8"/>
      <c r="C926" s="8"/>
      <c r="D926" s="8"/>
    </row>
    <row r="927">
      <c r="A927" s="8"/>
      <c r="B927" s="8"/>
      <c r="C927" s="8"/>
      <c r="D927" s="8"/>
    </row>
    <row r="928">
      <c r="A928" s="8"/>
      <c r="B928" s="8"/>
      <c r="C928" s="8"/>
      <c r="D928" s="8"/>
    </row>
    <row r="929">
      <c r="A929" s="8"/>
      <c r="B929" s="8"/>
      <c r="C929" s="8"/>
      <c r="D929" s="8"/>
    </row>
    <row r="930">
      <c r="A930" s="8"/>
      <c r="B930" s="8"/>
      <c r="C930" s="8"/>
      <c r="D930" s="8"/>
    </row>
    <row r="931">
      <c r="A931" s="8"/>
      <c r="B931" s="8"/>
      <c r="C931" s="8"/>
      <c r="D931" s="8"/>
    </row>
    <row r="932">
      <c r="A932" s="8"/>
      <c r="B932" s="8"/>
      <c r="C932" s="8"/>
      <c r="D932" s="8"/>
    </row>
    <row r="933">
      <c r="A933" s="8"/>
      <c r="B933" s="8"/>
      <c r="C933" s="8"/>
      <c r="D933" s="8"/>
    </row>
    <row r="934">
      <c r="A934" s="8"/>
      <c r="B934" s="8"/>
      <c r="C934" s="8"/>
      <c r="D934" s="8"/>
    </row>
    <row r="935">
      <c r="A935" s="8"/>
      <c r="B935" s="8"/>
      <c r="C935" s="8"/>
      <c r="D935" s="8"/>
    </row>
    <row r="936">
      <c r="A936" s="8"/>
      <c r="B936" s="8"/>
      <c r="C936" s="8"/>
      <c r="D936" s="8"/>
    </row>
    <row r="937">
      <c r="A937" s="8"/>
      <c r="B937" s="8"/>
      <c r="C937" s="8"/>
      <c r="D937" s="8"/>
    </row>
    <row r="938">
      <c r="A938" s="8"/>
      <c r="B938" s="8"/>
      <c r="C938" s="8"/>
      <c r="D938" s="8"/>
    </row>
    <row r="939">
      <c r="A939" s="8"/>
      <c r="B939" s="8"/>
      <c r="C939" s="8"/>
      <c r="D939" s="8"/>
    </row>
    <row r="940">
      <c r="A940" s="8"/>
      <c r="B940" s="8"/>
      <c r="C940" s="8"/>
      <c r="D940" s="8"/>
    </row>
    <row r="941">
      <c r="A941" s="8"/>
      <c r="B941" s="8"/>
      <c r="C941" s="8"/>
      <c r="D941" s="8"/>
    </row>
    <row r="942">
      <c r="A942" s="8"/>
      <c r="B942" s="8"/>
      <c r="C942" s="8"/>
      <c r="D942" s="8"/>
    </row>
    <row r="943">
      <c r="A943" s="8"/>
      <c r="B943" s="8"/>
      <c r="C943" s="8"/>
      <c r="D943" s="8"/>
    </row>
    <row r="944">
      <c r="A944" s="8"/>
      <c r="B944" s="8"/>
      <c r="C944" s="8"/>
      <c r="D944" s="8"/>
    </row>
    <row r="945">
      <c r="A945" s="8"/>
      <c r="B945" s="8"/>
      <c r="C945" s="8"/>
      <c r="D945" s="8"/>
    </row>
    <row r="946">
      <c r="A946" s="8"/>
      <c r="B946" s="8"/>
      <c r="C946" s="8"/>
      <c r="D946" s="8"/>
    </row>
    <row r="947">
      <c r="A947" s="8"/>
      <c r="B947" s="8"/>
      <c r="C947" s="8"/>
      <c r="D947" s="8"/>
    </row>
    <row r="948">
      <c r="A948" s="8"/>
      <c r="B948" s="8"/>
      <c r="C948" s="8"/>
      <c r="D948" s="8"/>
    </row>
    <row r="949">
      <c r="A949" s="8"/>
      <c r="B949" s="8"/>
      <c r="C949" s="8"/>
      <c r="D949" s="8"/>
    </row>
    <row r="950">
      <c r="A950" s="8"/>
      <c r="B950" s="8"/>
      <c r="C950" s="8"/>
      <c r="D950" s="8"/>
    </row>
    <row r="951">
      <c r="A951" s="8"/>
      <c r="B951" s="8"/>
      <c r="C951" s="8"/>
      <c r="D951" s="8"/>
    </row>
    <row r="952">
      <c r="A952" s="8"/>
      <c r="B952" s="8"/>
      <c r="C952" s="8"/>
      <c r="D952" s="8"/>
    </row>
    <row r="953">
      <c r="A953" s="8"/>
      <c r="B953" s="8"/>
      <c r="C953" s="8"/>
      <c r="D953" s="8"/>
    </row>
    <row r="954">
      <c r="A954" s="8"/>
      <c r="B954" s="8"/>
      <c r="C954" s="8"/>
      <c r="D954" s="8"/>
    </row>
    <row r="955">
      <c r="A955" s="8"/>
      <c r="B955" s="8"/>
      <c r="C955" s="8"/>
      <c r="D955" s="8"/>
    </row>
    <row r="956">
      <c r="A956" s="8"/>
      <c r="B956" s="8"/>
      <c r="C956" s="8"/>
      <c r="D956" s="8"/>
    </row>
    <row r="957">
      <c r="A957" s="8"/>
      <c r="B957" s="8"/>
      <c r="C957" s="8"/>
      <c r="D957" s="8"/>
    </row>
    <row r="958">
      <c r="A958" s="8"/>
      <c r="B958" s="8"/>
      <c r="C958" s="8"/>
      <c r="D958" s="8"/>
    </row>
    <row r="959">
      <c r="A959" s="8"/>
      <c r="B959" s="8"/>
      <c r="C959" s="8"/>
      <c r="D959" s="8"/>
    </row>
    <row r="960">
      <c r="A960" s="8"/>
      <c r="B960" s="8"/>
      <c r="C960" s="8"/>
      <c r="D960" s="8"/>
    </row>
    <row r="961">
      <c r="A961" s="8"/>
      <c r="B961" s="8"/>
      <c r="C961" s="8"/>
      <c r="D961" s="8"/>
    </row>
    <row r="962">
      <c r="A962" s="8"/>
      <c r="B962" s="8"/>
      <c r="C962" s="8"/>
      <c r="D962" s="8"/>
    </row>
    <row r="963">
      <c r="A963" s="8"/>
      <c r="B963" s="8"/>
      <c r="C963" s="8"/>
      <c r="D963" s="8"/>
    </row>
    <row r="964">
      <c r="A964" s="8"/>
      <c r="B964" s="8"/>
      <c r="C964" s="8"/>
      <c r="D964" s="8"/>
    </row>
    <row r="965">
      <c r="A965" s="8"/>
      <c r="B965" s="8"/>
      <c r="C965" s="8"/>
      <c r="D965" s="8"/>
    </row>
    <row r="966">
      <c r="A966" s="8"/>
      <c r="B966" s="8"/>
      <c r="C966" s="8"/>
      <c r="D966" s="8"/>
    </row>
    <row r="967">
      <c r="A967" s="8"/>
      <c r="B967" s="8"/>
      <c r="C967" s="8"/>
      <c r="D967" s="8"/>
    </row>
    <row r="968">
      <c r="A968" s="8"/>
      <c r="B968" s="8"/>
      <c r="C968" s="8"/>
      <c r="D968" s="8"/>
    </row>
    <row r="969">
      <c r="A969" s="8"/>
      <c r="B969" s="8"/>
      <c r="C969" s="8"/>
      <c r="D969" s="8"/>
    </row>
    <row r="970">
      <c r="A970" s="8"/>
      <c r="B970" s="8"/>
      <c r="C970" s="8"/>
      <c r="D970" s="8"/>
    </row>
    <row r="971">
      <c r="A971" s="8"/>
      <c r="B971" s="8"/>
      <c r="C971" s="8"/>
      <c r="D971" s="8"/>
    </row>
    <row r="972">
      <c r="A972" s="8"/>
      <c r="B972" s="8"/>
      <c r="C972" s="8"/>
      <c r="D972" s="8"/>
    </row>
    <row r="973">
      <c r="A973" s="8"/>
      <c r="B973" s="8"/>
      <c r="C973" s="8"/>
      <c r="D973" s="8"/>
    </row>
    <row r="974">
      <c r="A974" s="8"/>
      <c r="B974" s="8"/>
      <c r="C974" s="8"/>
      <c r="D974" s="8"/>
    </row>
    <row r="975">
      <c r="A975" s="8"/>
      <c r="B975" s="8"/>
      <c r="C975" s="8"/>
      <c r="D975" s="8"/>
    </row>
    <row r="976">
      <c r="A976" s="8"/>
      <c r="B976" s="8"/>
      <c r="C976" s="8"/>
      <c r="D976" s="8"/>
    </row>
    <row r="977">
      <c r="A977" s="8"/>
      <c r="B977" s="8"/>
      <c r="C977" s="8"/>
      <c r="D977" s="8"/>
    </row>
    <row r="978">
      <c r="A978" s="8"/>
      <c r="B978" s="8"/>
      <c r="C978" s="8"/>
      <c r="D978" s="8"/>
    </row>
    <row r="979">
      <c r="A979" s="8"/>
      <c r="B979" s="8"/>
      <c r="C979" s="8"/>
      <c r="D979" s="8"/>
    </row>
    <row r="980">
      <c r="A980" s="8"/>
      <c r="B980" s="8"/>
      <c r="C980" s="8"/>
      <c r="D980" s="8"/>
    </row>
    <row r="981">
      <c r="A981" s="8"/>
      <c r="B981" s="8"/>
      <c r="C981" s="8"/>
      <c r="D981" s="8"/>
    </row>
    <row r="982">
      <c r="A982" s="8"/>
      <c r="B982" s="8"/>
      <c r="C982" s="8"/>
      <c r="D982" s="8"/>
    </row>
    <row r="983">
      <c r="A983" s="8"/>
      <c r="B983" s="8"/>
      <c r="C983" s="8"/>
      <c r="D983" s="8"/>
    </row>
    <row r="984">
      <c r="A984" s="8"/>
      <c r="B984" s="8"/>
      <c r="C984" s="8"/>
      <c r="D984" s="8"/>
    </row>
    <row r="985">
      <c r="A985" s="8"/>
      <c r="B985" s="8"/>
      <c r="C985" s="8"/>
      <c r="D985" s="8"/>
    </row>
    <row r="986">
      <c r="A986" s="8"/>
      <c r="B986" s="8"/>
      <c r="C986" s="8"/>
      <c r="D986" s="8"/>
    </row>
    <row r="987">
      <c r="A987" s="8"/>
      <c r="B987" s="8"/>
      <c r="C987" s="8"/>
      <c r="D987" s="8"/>
    </row>
    <row r="988">
      <c r="A988" s="8"/>
      <c r="B988" s="8"/>
      <c r="C988" s="8"/>
      <c r="D988" s="8"/>
    </row>
    <row r="989">
      <c r="A989" s="8"/>
      <c r="B989" s="8"/>
      <c r="C989" s="8"/>
      <c r="D989" s="8"/>
    </row>
    <row r="990">
      <c r="A990" s="8"/>
      <c r="B990" s="8"/>
      <c r="C990" s="8"/>
      <c r="D990" s="8"/>
    </row>
    <row r="991">
      <c r="A991" s="8"/>
      <c r="B991" s="8"/>
      <c r="C991" s="8"/>
      <c r="D991" s="8"/>
    </row>
    <row r="992">
      <c r="A992" s="8"/>
      <c r="B992" s="8"/>
      <c r="C992" s="8"/>
      <c r="D992" s="8"/>
    </row>
    <row r="993">
      <c r="A993" s="8"/>
      <c r="B993" s="8"/>
      <c r="C993" s="8"/>
      <c r="D993" s="8"/>
    </row>
    <row r="994">
      <c r="A994" s="8"/>
      <c r="B994" s="8"/>
      <c r="C994" s="8"/>
      <c r="D994" s="8"/>
    </row>
    <row r="995">
      <c r="A995" s="8"/>
      <c r="B995" s="8"/>
      <c r="C995" s="8"/>
      <c r="D995" s="8"/>
    </row>
    <row r="996">
      <c r="A996" s="8"/>
      <c r="B996" s="8"/>
      <c r="C996" s="8"/>
      <c r="D996" s="8"/>
    </row>
    <row r="997">
      <c r="A997" s="8"/>
      <c r="B997" s="8"/>
      <c r="C997" s="8"/>
      <c r="D997" s="8"/>
    </row>
    <row r="998">
      <c r="A998" s="8"/>
      <c r="B998" s="8"/>
      <c r="C998" s="8"/>
      <c r="D998" s="8"/>
    </row>
    <row r="999">
      <c r="A999" s="8"/>
      <c r="B999" s="8"/>
      <c r="C999" s="8"/>
      <c r="D999" s="8"/>
    </row>
    <row r="1000">
      <c r="A1000" s="8"/>
      <c r="B1000" s="8"/>
      <c r="C1000" s="8"/>
      <c r="D1000" s="8"/>
    </row>
  </sheetData>
  <mergeCells count="2">
    <mergeCell ref="B5:C5"/>
    <mergeCell ref="B13:C1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282D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8" max="8" width="16.63"/>
    <col customWidth="1" min="10" max="10" width="20.38"/>
  </cols>
  <sheetData>
    <row r="1" ht="45.0" customHeight="1">
      <c r="A1" s="13" t="s">
        <v>13</v>
      </c>
      <c r="B1" s="13" t="s">
        <v>14</v>
      </c>
      <c r="C1" s="13" t="s">
        <v>15</v>
      </c>
      <c r="D1" s="13" t="s">
        <v>16</v>
      </c>
      <c r="E1" s="13" t="s">
        <v>17</v>
      </c>
      <c r="F1" s="13" t="s">
        <v>18</v>
      </c>
      <c r="G1" s="13" t="s">
        <v>19</v>
      </c>
      <c r="H1" s="13" t="s">
        <v>20</v>
      </c>
      <c r="I1" s="13" t="s">
        <v>21</v>
      </c>
      <c r="J1" s="13" t="s">
        <v>22</v>
      </c>
      <c r="K1" s="13" t="s">
        <v>23</v>
      </c>
      <c r="L1" s="13" t="s">
        <v>24</v>
      </c>
      <c r="M1" s="13" t="s">
        <v>25</v>
      </c>
      <c r="N1" s="13" t="s">
        <v>26</v>
      </c>
    </row>
    <row r="2" ht="25.5" customHeight="1">
      <c r="A2" s="14" t="s">
        <v>27</v>
      </c>
      <c r="B2" s="15" t="s">
        <v>28</v>
      </c>
      <c r="C2" s="15" t="s">
        <v>29</v>
      </c>
      <c r="D2" s="15" t="s">
        <v>30</v>
      </c>
      <c r="E2" s="15" t="s">
        <v>31</v>
      </c>
      <c r="F2" s="15" t="s">
        <v>31</v>
      </c>
      <c r="G2" s="15" t="s">
        <v>32</v>
      </c>
      <c r="H2" s="15" t="s">
        <v>33</v>
      </c>
      <c r="I2" s="15" t="s">
        <v>34</v>
      </c>
      <c r="J2" s="15" t="s">
        <v>35</v>
      </c>
      <c r="K2" s="15"/>
      <c r="L2" s="16"/>
      <c r="M2" s="15" t="s">
        <v>36</v>
      </c>
      <c r="N2" s="17"/>
    </row>
    <row r="3" ht="25.5" customHeight="1">
      <c r="A3" s="18" t="s">
        <v>27</v>
      </c>
      <c r="B3" s="19" t="s">
        <v>37</v>
      </c>
      <c r="C3" s="19" t="s">
        <v>29</v>
      </c>
      <c r="D3" s="19" t="s">
        <v>30</v>
      </c>
      <c r="E3" s="19" t="s">
        <v>31</v>
      </c>
      <c r="F3" s="19" t="s">
        <v>31</v>
      </c>
      <c r="G3" s="19" t="s">
        <v>32</v>
      </c>
      <c r="H3" s="19" t="s">
        <v>33</v>
      </c>
      <c r="I3" s="19" t="s">
        <v>34</v>
      </c>
      <c r="J3" s="19" t="s">
        <v>35</v>
      </c>
      <c r="K3" s="19"/>
      <c r="L3" s="20"/>
      <c r="M3" s="19" t="s">
        <v>36</v>
      </c>
      <c r="N3" s="21"/>
    </row>
    <row r="4" ht="25.5" customHeight="1">
      <c r="A4" s="14" t="s">
        <v>27</v>
      </c>
      <c r="B4" s="15" t="s">
        <v>38</v>
      </c>
      <c r="C4" s="15" t="s">
        <v>29</v>
      </c>
      <c r="D4" s="15" t="s">
        <v>30</v>
      </c>
      <c r="E4" s="15" t="s">
        <v>31</v>
      </c>
      <c r="F4" s="15" t="s">
        <v>31</v>
      </c>
      <c r="G4" s="15" t="s">
        <v>32</v>
      </c>
      <c r="H4" s="15" t="s">
        <v>33</v>
      </c>
      <c r="I4" s="15" t="s">
        <v>34</v>
      </c>
      <c r="J4" s="15" t="s">
        <v>35</v>
      </c>
      <c r="K4" s="15"/>
      <c r="L4" s="16"/>
      <c r="M4" s="15" t="s">
        <v>36</v>
      </c>
      <c r="N4" s="17"/>
    </row>
    <row r="5" ht="25.5" customHeight="1">
      <c r="A5" s="18" t="s">
        <v>27</v>
      </c>
      <c r="B5" s="19" t="s">
        <v>39</v>
      </c>
      <c r="C5" s="19" t="s">
        <v>29</v>
      </c>
      <c r="D5" s="19" t="s">
        <v>30</v>
      </c>
      <c r="E5" s="19" t="s">
        <v>31</v>
      </c>
      <c r="F5" s="19" t="s">
        <v>31</v>
      </c>
      <c r="G5" s="19" t="s">
        <v>32</v>
      </c>
      <c r="H5" s="19" t="s">
        <v>33</v>
      </c>
      <c r="I5" s="19" t="s">
        <v>34</v>
      </c>
      <c r="J5" s="19" t="s">
        <v>35</v>
      </c>
      <c r="K5" s="19"/>
      <c r="L5" s="20"/>
      <c r="M5" s="19" t="s">
        <v>36</v>
      </c>
      <c r="N5" s="21"/>
    </row>
    <row r="6" ht="25.5" customHeight="1">
      <c r="A6" s="14" t="s">
        <v>27</v>
      </c>
      <c r="B6" s="15" t="s">
        <v>40</v>
      </c>
      <c r="C6" s="15" t="s">
        <v>29</v>
      </c>
      <c r="D6" s="15" t="s">
        <v>30</v>
      </c>
      <c r="E6" s="15" t="s">
        <v>31</v>
      </c>
      <c r="F6" s="15" t="s">
        <v>31</v>
      </c>
      <c r="G6" s="15" t="s">
        <v>32</v>
      </c>
      <c r="H6" s="15" t="s">
        <v>33</v>
      </c>
      <c r="I6" s="15" t="s">
        <v>34</v>
      </c>
      <c r="J6" s="15" t="s">
        <v>35</v>
      </c>
      <c r="K6" s="15"/>
      <c r="L6" s="16"/>
      <c r="M6" s="15" t="s">
        <v>36</v>
      </c>
      <c r="N6" s="17"/>
    </row>
    <row r="7" ht="25.5" customHeight="1">
      <c r="A7" s="18" t="s">
        <v>27</v>
      </c>
      <c r="B7" s="19" t="s">
        <v>41</v>
      </c>
      <c r="C7" s="19" t="s">
        <v>29</v>
      </c>
      <c r="D7" s="19" t="s">
        <v>30</v>
      </c>
      <c r="E7" s="19" t="s">
        <v>31</v>
      </c>
      <c r="F7" s="19" t="s">
        <v>31</v>
      </c>
      <c r="G7" s="19" t="s">
        <v>32</v>
      </c>
      <c r="H7" s="19" t="s">
        <v>33</v>
      </c>
      <c r="I7" s="19" t="s">
        <v>34</v>
      </c>
      <c r="J7" s="19" t="s">
        <v>35</v>
      </c>
      <c r="K7" s="19"/>
      <c r="L7" s="20"/>
      <c r="M7" s="19" t="s">
        <v>36</v>
      </c>
      <c r="N7" s="21"/>
    </row>
    <row r="8" ht="25.5" customHeight="1">
      <c r="A8" s="14" t="s">
        <v>27</v>
      </c>
      <c r="B8" s="15" t="s">
        <v>42</v>
      </c>
      <c r="C8" s="15" t="s">
        <v>29</v>
      </c>
      <c r="D8" s="15" t="s">
        <v>30</v>
      </c>
      <c r="E8" s="15" t="s">
        <v>31</v>
      </c>
      <c r="F8" s="15" t="s">
        <v>31</v>
      </c>
      <c r="G8" s="15" t="s">
        <v>32</v>
      </c>
      <c r="H8" s="15" t="s">
        <v>33</v>
      </c>
      <c r="I8" s="15" t="s">
        <v>34</v>
      </c>
      <c r="J8" s="15" t="s">
        <v>35</v>
      </c>
      <c r="K8" s="15"/>
      <c r="L8" s="16"/>
      <c r="M8" s="15" t="s">
        <v>36</v>
      </c>
      <c r="N8" s="17"/>
    </row>
    <row r="9" ht="25.5" customHeight="1">
      <c r="A9" s="18" t="s">
        <v>27</v>
      </c>
      <c r="B9" s="19" t="s">
        <v>43</v>
      </c>
      <c r="C9" s="19" t="s">
        <v>29</v>
      </c>
      <c r="D9" s="19" t="s">
        <v>30</v>
      </c>
      <c r="E9" s="19" t="s">
        <v>31</v>
      </c>
      <c r="F9" s="19" t="s">
        <v>31</v>
      </c>
      <c r="G9" s="19" t="s">
        <v>32</v>
      </c>
      <c r="H9" s="19" t="s">
        <v>33</v>
      </c>
      <c r="I9" s="19" t="s">
        <v>34</v>
      </c>
      <c r="J9" s="19" t="s">
        <v>35</v>
      </c>
      <c r="K9" s="19"/>
      <c r="L9" s="20"/>
      <c r="M9" s="19" t="s">
        <v>36</v>
      </c>
      <c r="N9" s="21"/>
    </row>
    <row r="10" ht="25.5" customHeight="1">
      <c r="A10" s="14" t="s">
        <v>27</v>
      </c>
      <c r="B10" s="15" t="s">
        <v>38</v>
      </c>
      <c r="C10" s="15" t="s">
        <v>29</v>
      </c>
      <c r="D10" s="15" t="s">
        <v>30</v>
      </c>
      <c r="E10" s="15" t="s">
        <v>31</v>
      </c>
      <c r="F10" s="15" t="s">
        <v>31</v>
      </c>
      <c r="G10" s="15" t="s">
        <v>32</v>
      </c>
      <c r="H10" s="15" t="s">
        <v>33</v>
      </c>
      <c r="I10" s="15" t="s">
        <v>34</v>
      </c>
      <c r="J10" s="15" t="s">
        <v>35</v>
      </c>
      <c r="K10" s="15"/>
      <c r="L10" s="16"/>
      <c r="M10" s="15" t="s">
        <v>36</v>
      </c>
      <c r="N10" s="17"/>
    </row>
    <row r="11" ht="25.5" customHeight="1">
      <c r="A11" s="18" t="s">
        <v>27</v>
      </c>
      <c r="B11" s="19" t="s">
        <v>44</v>
      </c>
      <c r="C11" s="19" t="s">
        <v>29</v>
      </c>
      <c r="D11" s="19" t="s">
        <v>30</v>
      </c>
      <c r="E11" s="19" t="s">
        <v>31</v>
      </c>
      <c r="F11" s="19" t="s">
        <v>31</v>
      </c>
      <c r="G11" s="19" t="s">
        <v>32</v>
      </c>
      <c r="H11" s="19" t="s">
        <v>33</v>
      </c>
      <c r="I11" s="19" t="s">
        <v>34</v>
      </c>
      <c r="J11" s="19" t="s">
        <v>35</v>
      </c>
      <c r="K11" s="19"/>
      <c r="L11" s="20"/>
      <c r="M11" s="19" t="s">
        <v>36</v>
      </c>
      <c r="N11" s="21"/>
    </row>
    <row r="12" ht="25.5" customHeight="1">
      <c r="A12" s="14" t="s">
        <v>27</v>
      </c>
      <c r="B12" s="15" t="s">
        <v>44</v>
      </c>
      <c r="C12" s="15" t="s">
        <v>29</v>
      </c>
      <c r="D12" s="15" t="s">
        <v>45</v>
      </c>
      <c r="E12" s="15" t="s">
        <v>31</v>
      </c>
      <c r="F12" s="15" t="s">
        <v>31</v>
      </c>
      <c r="G12" s="15" t="s">
        <v>32</v>
      </c>
      <c r="H12" s="15" t="s">
        <v>33</v>
      </c>
      <c r="I12" s="15" t="s">
        <v>34</v>
      </c>
      <c r="J12" s="15" t="s">
        <v>46</v>
      </c>
      <c r="K12" s="15"/>
      <c r="L12" s="16"/>
      <c r="M12" s="15" t="s">
        <v>36</v>
      </c>
      <c r="N12" s="17"/>
    </row>
    <row r="13" ht="25.5" customHeight="1">
      <c r="A13" s="18" t="s">
        <v>27</v>
      </c>
      <c r="B13" s="19" t="s">
        <v>47</v>
      </c>
      <c r="C13" s="19" t="s">
        <v>29</v>
      </c>
      <c r="D13" s="19" t="s">
        <v>45</v>
      </c>
      <c r="E13" s="19" t="s">
        <v>31</v>
      </c>
      <c r="F13" s="19" t="s">
        <v>31</v>
      </c>
      <c r="G13" s="19" t="s">
        <v>32</v>
      </c>
      <c r="H13" s="19" t="s">
        <v>33</v>
      </c>
      <c r="I13" s="19" t="s">
        <v>34</v>
      </c>
      <c r="J13" s="19" t="s">
        <v>46</v>
      </c>
      <c r="K13" s="19"/>
      <c r="L13" s="20"/>
      <c r="M13" s="19" t="s">
        <v>36</v>
      </c>
      <c r="N13" s="21"/>
    </row>
    <row r="14" ht="25.5" customHeight="1">
      <c r="A14" s="14" t="s">
        <v>27</v>
      </c>
      <c r="B14" s="15" t="s">
        <v>48</v>
      </c>
      <c r="C14" s="15" t="s">
        <v>29</v>
      </c>
      <c r="D14" s="15" t="s">
        <v>45</v>
      </c>
      <c r="E14" s="15" t="s">
        <v>31</v>
      </c>
      <c r="F14" s="15" t="s">
        <v>31</v>
      </c>
      <c r="G14" s="15" t="s">
        <v>32</v>
      </c>
      <c r="H14" s="15" t="s">
        <v>33</v>
      </c>
      <c r="I14" s="15" t="s">
        <v>34</v>
      </c>
      <c r="J14" s="15" t="s">
        <v>46</v>
      </c>
      <c r="K14" s="15"/>
      <c r="L14" s="16"/>
      <c r="M14" s="15" t="s">
        <v>36</v>
      </c>
      <c r="N14" s="17"/>
    </row>
    <row r="15" ht="25.5" customHeight="1">
      <c r="A15" s="18" t="s">
        <v>27</v>
      </c>
      <c r="B15" s="19" t="s">
        <v>49</v>
      </c>
      <c r="C15" s="19" t="s">
        <v>29</v>
      </c>
      <c r="D15" s="19" t="s">
        <v>45</v>
      </c>
      <c r="E15" s="19" t="s">
        <v>31</v>
      </c>
      <c r="F15" s="19" t="s">
        <v>31</v>
      </c>
      <c r="G15" s="19" t="s">
        <v>32</v>
      </c>
      <c r="H15" s="19" t="s">
        <v>33</v>
      </c>
      <c r="I15" s="19" t="s">
        <v>34</v>
      </c>
      <c r="J15" s="19" t="s">
        <v>46</v>
      </c>
      <c r="K15" s="19"/>
      <c r="L15" s="20"/>
      <c r="M15" s="19" t="s">
        <v>36</v>
      </c>
      <c r="N15" s="21"/>
    </row>
    <row r="16" ht="25.5" customHeight="1">
      <c r="A16" s="14" t="s">
        <v>27</v>
      </c>
      <c r="B16" s="15" t="s">
        <v>50</v>
      </c>
      <c r="C16" s="15" t="s">
        <v>29</v>
      </c>
      <c r="D16" s="15" t="s">
        <v>45</v>
      </c>
      <c r="E16" s="15" t="s">
        <v>31</v>
      </c>
      <c r="F16" s="15" t="s">
        <v>31</v>
      </c>
      <c r="G16" s="15" t="s">
        <v>32</v>
      </c>
      <c r="H16" s="15" t="s">
        <v>33</v>
      </c>
      <c r="I16" s="15" t="s">
        <v>34</v>
      </c>
      <c r="J16" s="15" t="s">
        <v>46</v>
      </c>
      <c r="K16" s="15"/>
      <c r="L16" s="16"/>
      <c r="M16" s="15" t="s">
        <v>36</v>
      </c>
      <c r="N16" s="17"/>
    </row>
    <row r="17" ht="25.5" customHeight="1">
      <c r="A17" s="18" t="s">
        <v>27</v>
      </c>
      <c r="B17" s="19" t="s">
        <v>51</v>
      </c>
      <c r="C17" s="19" t="s">
        <v>29</v>
      </c>
      <c r="D17" s="19" t="s">
        <v>45</v>
      </c>
      <c r="E17" s="19" t="s">
        <v>31</v>
      </c>
      <c r="F17" s="19" t="s">
        <v>31</v>
      </c>
      <c r="G17" s="19" t="s">
        <v>32</v>
      </c>
      <c r="H17" s="19" t="s">
        <v>33</v>
      </c>
      <c r="I17" s="19" t="s">
        <v>34</v>
      </c>
      <c r="J17" s="19" t="s">
        <v>46</v>
      </c>
      <c r="K17" s="19"/>
      <c r="L17" s="20"/>
      <c r="M17" s="19" t="s">
        <v>36</v>
      </c>
      <c r="N17" s="21"/>
    </row>
    <row r="18" ht="25.5" customHeight="1">
      <c r="A18" s="14" t="s">
        <v>27</v>
      </c>
      <c r="B18" s="15" t="s">
        <v>52</v>
      </c>
      <c r="C18" s="15" t="s">
        <v>29</v>
      </c>
      <c r="D18" s="15" t="s">
        <v>45</v>
      </c>
      <c r="E18" s="15" t="s">
        <v>31</v>
      </c>
      <c r="F18" s="15" t="s">
        <v>31</v>
      </c>
      <c r="G18" s="15" t="s">
        <v>32</v>
      </c>
      <c r="H18" s="15" t="s">
        <v>33</v>
      </c>
      <c r="I18" s="15" t="s">
        <v>34</v>
      </c>
      <c r="J18" s="15" t="s">
        <v>46</v>
      </c>
      <c r="K18" s="15"/>
      <c r="L18" s="16"/>
      <c r="M18" s="15" t="s">
        <v>36</v>
      </c>
      <c r="N18" s="17"/>
    </row>
    <row r="19" ht="25.5" customHeight="1">
      <c r="A19" s="18" t="s">
        <v>53</v>
      </c>
      <c r="B19" s="19" t="s">
        <v>54</v>
      </c>
      <c r="C19" s="19" t="s">
        <v>29</v>
      </c>
      <c r="D19" s="19" t="s">
        <v>36</v>
      </c>
      <c r="E19" s="19" t="s">
        <v>32</v>
      </c>
      <c r="F19" s="19" t="s">
        <v>31</v>
      </c>
      <c r="G19" s="19" t="s">
        <v>32</v>
      </c>
      <c r="H19" s="19" t="s">
        <v>55</v>
      </c>
      <c r="I19" s="19" t="s">
        <v>34</v>
      </c>
      <c r="J19" s="19" t="s">
        <v>56</v>
      </c>
      <c r="K19" s="19"/>
      <c r="L19" s="20"/>
      <c r="M19" s="19" t="s">
        <v>36</v>
      </c>
      <c r="N19" s="22"/>
    </row>
    <row r="20" ht="25.5" customHeight="1">
      <c r="A20" s="14" t="s">
        <v>53</v>
      </c>
      <c r="B20" s="15" t="s">
        <v>57</v>
      </c>
      <c r="C20" s="15" t="s">
        <v>29</v>
      </c>
      <c r="D20" s="15" t="s">
        <v>36</v>
      </c>
      <c r="E20" s="15" t="s">
        <v>32</v>
      </c>
      <c r="F20" s="15" t="s">
        <v>31</v>
      </c>
      <c r="G20" s="15" t="s">
        <v>32</v>
      </c>
      <c r="H20" s="15" t="s">
        <v>55</v>
      </c>
      <c r="I20" s="15" t="s">
        <v>34</v>
      </c>
      <c r="J20" s="15" t="s">
        <v>56</v>
      </c>
      <c r="K20" s="15"/>
      <c r="L20" s="16"/>
      <c r="M20" s="15" t="s">
        <v>36</v>
      </c>
      <c r="N20" s="23"/>
    </row>
    <row r="21" ht="25.5" customHeight="1">
      <c r="A21" s="18" t="s">
        <v>53</v>
      </c>
      <c r="B21" s="19" t="s">
        <v>58</v>
      </c>
      <c r="C21" s="19" t="s">
        <v>29</v>
      </c>
      <c r="D21" s="19" t="s">
        <v>36</v>
      </c>
      <c r="E21" s="19" t="s">
        <v>32</v>
      </c>
      <c r="F21" s="19" t="s">
        <v>31</v>
      </c>
      <c r="G21" s="19" t="s">
        <v>32</v>
      </c>
      <c r="H21" s="19" t="s">
        <v>55</v>
      </c>
      <c r="I21" s="19" t="s">
        <v>34</v>
      </c>
      <c r="J21" s="19" t="s">
        <v>56</v>
      </c>
      <c r="K21" s="19"/>
      <c r="L21" s="20"/>
      <c r="M21" s="19" t="s">
        <v>36</v>
      </c>
      <c r="N21" s="22"/>
    </row>
    <row r="22" ht="25.5" customHeight="1">
      <c r="A22" s="14" t="s">
        <v>53</v>
      </c>
      <c r="B22" s="15" t="s">
        <v>59</v>
      </c>
      <c r="C22" s="15" t="s">
        <v>29</v>
      </c>
      <c r="D22" s="15" t="s">
        <v>36</v>
      </c>
      <c r="E22" s="15" t="s">
        <v>32</v>
      </c>
      <c r="F22" s="15" t="s">
        <v>31</v>
      </c>
      <c r="G22" s="15" t="s">
        <v>32</v>
      </c>
      <c r="H22" s="15" t="s">
        <v>55</v>
      </c>
      <c r="I22" s="15" t="s">
        <v>34</v>
      </c>
      <c r="J22" s="15" t="s">
        <v>56</v>
      </c>
      <c r="K22" s="15"/>
      <c r="L22" s="16"/>
      <c r="M22" s="15" t="s">
        <v>36</v>
      </c>
      <c r="N22" s="23"/>
    </row>
    <row r="23" ht="25.5" customHeight="1">
      <c r="A23" s="18" t="s">
        <v>53</v>
      </c>
      <c r="B23" s="19" t="s">
        <v>60</v>
      </c>
      <c r="C23" s="19" t="s">
        <v>29</v>
      </c>
      <c r="D23" s="19" t="s">
        <v>36</v>
      </c>
      <c r="E23" s="19" t="s">
        <v>32</v>
      </c>
      <c r="F23" s="19" t="s">
        <v>31</v>
      </c>
      <c r="G23" s="19" t="s">
        <v>32</v>
      </c>
      <c r="H23" s="19" t="s">
        <v>55</v>
      </c>
      <c r="I23" s="19" t="s">
        <v>34</v>
      </c>
      <c r="J23" s="19" t="s">
        <v>56</v>
      </c>
      <c r="K23" s="19"/>
      <c r="L23" s="20"/>
      <c r="M23" s="19" t="s">
        <v>36</v>
      </c>
      <c r="N23" s="22"/>
    </row>
    <row r="24" ht="25.5" customHeight="1">
      <c r="A24" s="14" t="s">
        <v>53</v>
      </c>
      <c r="B24" s="15" t="s">
        <v>61</v>
      </c>
      <c r="C24" s="15" t="s">
        <v>29</v>
      </c>
      <c r="D24" s="15" t="s">
        <v>36</v>
      </c>
      <c r="E24" s="15" t="s">
        <v>32</v>
      </c>
      <c r="F24" s="15" t="s">
        <v>31</v>
      </c>
      <c r="G24" s="15" t="s">
        <v>32</v>
      </c>
      <c r="H24" s="15" t="s">
        <v>55</v>
      </c>
      <c r="I24" s="15" t="s">
        <v>34</v>
      </c>
      <c r="J24" s="15" t="s">
        <v>56</v>
      </c>
      <c r="K24" s="15"/>
      <c r="L24" s="16"/>
      <c r="M24" s="15" t="s">
        <v>36</v>
      </c>
      <c r="N24" s="23"/>
    </row>
    <row r="25" ht="25.5" customHeight="1">
      <c r="A25" s="18" t="s">
        <v>53</v>
      </c>
      <c r="B25" s="19" t="s">
        <v>62</v>
      </c>
      <c r="C25" s="19" t="s">
        <v>29</v>
      </c>
      <c r="D25" s="19" t="s">
        <v>36</v>
      </c>
      <c r="E25" s="19" t="s">
        <v>32</v>
      </c>
      <c r="F25" s="19" t="s">
        <v>31</v>
      </c>
      <c r="G25" s="19" t="s">
        <v>32</v>
      </c>
      <c r="H25" s="19" t="s">
        <v>55</v>
      </c>
      <c r="I25" s="19" t="s">
        <v>34</v>
      </c>
      <c r="J25" s="19" t="s">
        <v>56</v>
      </c>
      <c r="K25" s="19"/>
      <c r="L25" s="20"/>
      <c r="M25" s="19" t="s">
        <v>36</v>
      </c>
      <c r="N25" s="22"/>
    </row>
    <row r="26" ht="25.5" customHeight="1">
      <c r="A26" s="14" t="s">
        <v>53</v>
      </c>
      <c r="B26" s="15" t="s">
        <v>63</v>
      </c>
      <c r="C26" s="15" t="s">
        <v>29</v>
      </c>
      <c r="D26" s="15" t="s">
        <v>36</v>
      </c>
      <c r="E26" s="15" t="s">
        <v>32</v>
      </c>
      <c r="F26" s="15" t="s">
        <v>31</v>
      </c>
      <c r="G26" s="15" t="s">
        <v>32</v>
      </c>
      <c r="H26" s="15" t="s">
        <v>55</v>
      </c>
      <c r="I26" s="15" t="s">
        <v>34</v>
      </c>
      <c r="J26" s="15" t="s">
        <v>56</v>
      </c>
      <c r="K26" s="15"/>
      <c r="L26" s="16"/>
      <c r="M26" s="15" t="s">
        <v>36</v>
      </c>
      <c r="N26" s="23"/>
    </row>
    <row r="27" ht="25.5" customHeight="1">
      <c r="A27" s="18" t="s">
        <v>53</v>
      </c>
      <c r="B27" s="19" t="s">
        <v>64</v>
      </c>
      <c r="C27" s="19" t="s">
        <v>29</v>
      </c>
      <c r="D27" s="19" t="s">
        <v>36</v>
      </c>
      <c r="E27" s="19" t="s">
        <v>32</v>
      </c>
      <c r="F27" s="19" t="s">
        <v>31</v>
      </c>
      <c r="G27" s="19" t="s">
        <v>32</v>
      </c>
      <c r="H27" s="19" t="s">
        <v>55</v>
      </c>
      <c r="I27" s="19" t="s">
        <v>34</v>
      </c>
      <c r="J27" s="19" t="s">
        <v>56</v>
      </c>
      <c r="K27" s="19"/>
      <c r="L27" s="20"/>
      <c r="M27" s="19" t="s">
        <v>36</v>
      </c>
      <c r="N27" s="22"/>
    </row>
    <row r="28" ht="25.5" customHeight="1">
      <c r="A28" s="14" t="s">
        <v>53</v>
      </c>
      <c r="B28" s="15" t="s">
        <v>65</v>
      </c>
      <c r="C28" s="15" t="s">
        <v>29</v>
      </c>
      <c r="D28" s="15" t="s">
        <v>36</v>
      </c>
      <c r="E28" s="15" t="s">
        <v>32</v>
      </c>
      <c r="F28" s="15" t="s">
        <v>31</v>
      </c>
      <c r="G28" s="15" t="s">
        <v>32</v>
      </c>
      <c r="H28" s="15" t="s">
        <v>55</v>
      </c>
      <c r="I28" s="15" t="s">
        <v>34</v>
      </c>
      <c r="J28" s="15" t="s">
        <v>56</v>
      </c>
      <c r="K28" s="15"/>
      <c r="L28" s="16"/>
      <c r="M28" s="15" t="s">
        <v>36</v>
      </c>
      <c r="N28" s="23"/>
    </row>
    <row r="29" ht="25.5" customHeight="1">
      <c r="A29" s="18" t="s">
        <v>53</v>
      </c>
      <c r="B29" s="19" t="s">
        <v>66</v>
      </c>
      <c r="C29" s="19" t="s">
        <v>29</v>
      </c>
      <c r="D29" s="19" t="s">
        <v>36</v>
      </c>
      <c r="E29" s="19" t="s">
        <v>32</v>
      </c>
      <c r="F29" s="19" t="s">
        <v>31</v>
      </c>
      <c r="G29" s="19" t="s">
        <v>32</v>
      </c>
      <c r="H29" s="19" t="s">
        <v>55</v>
      </c>
      <c r="I29" s="19" t="s">
        <v>34</v>
      </c>
      <c r="J29" s="19" t="s">
        <v>56</v>
      </c>
      <c r="K29" s="19"/>
      <c r="L29" s="20"/>
      <c r="M29" s="19" t="s">
        <v>36</v>
      </c>
      <c r="N29" s="22"/>
    </row>
    <row r="30" ht="25.5" customHeight="1">
      <c r="A30" s="14" t="s">
        <v>53</v>
      </c>
      <c r="B30" s="15" t="s">
        <v>67</v>
      </c>
      <c r="C30" s="15" t="s">
        <v>29</v>
      </c>
      <c r="D30" s="15" t="s">
        <v>36</v>
      </c>
      <c r="E30" s="15" t="s">
        <v>32</v>
      </c>
      <c r="F30" s="15" t="s">
        <v>31</v>
      </c>
      <c r="G30" s="15" t="s">
        <v>32</v>
      </c>
      <c r="H30" s="15" t="s">
        <v>55</v>
      </c>
      <c r="I30" s="15" t="s">
        <v>34</v>
      </c>
      <c r="J30" s="15" t="s">
        <v>56</v>
      </c>
      <c r="K30" s="15"/>
      <c r="L30" s="16"/>
      <c r="M30" s="15" t="s">
        <v>36</v>
      </c>
      <c r="N30" s="23"/>
    </row>
    <row r="31" ht="25.5" customHeight="1">
      <c r="A31" s="18" t="s">
        <v>53</v>
      </c>
      <c r="B31" s="19" t="s">
        <v>68</v>
      </c>
      <c r="C31" s="19" t="s">
        <v>69</v>
      </c>
      <c r="D31" s="19" t="s">
        <v>70</v>
      </c>
      <c r="E31" s="19" t="s">
        <v>32</v>
      </c>
      <c r="F31" s="19" t="s">
        <v>31</v>
      </c>
      <c r="G31" s="19" t="s">
        <v>32</v>
      </c>
      <c r="H31" s="19" t="s">
        <v>33</v>
      </c>
      <c r="I31" s="19" t="s">
        <v>34</v>
      </c>
      <c r="J31" s="19" t="s">
        <v>71</v>
      </c>
      <c r="K31" s="19"/>
      <c r="L31" s="20"/>
      <c r="M31" s="19" t="s">
        <v>72</v>
      </c>
      <c r="N31" s="22"/>
    </row>
    <row r="32" ht="25.5" customHeight="1">
      <c r="A32" s="14" t="s">
        <v>53</v>
      </c>
      <c r="B32" s="15" t="s">
        <v>73</v>
      </c>
      <c r="C32" s="15" t="s">
        <v>69</v>
      </c>
      <c r="D32" s="15" t="s">
        <v>34</v>
      </c>
      <c r="E32" s="15" t="s">
        <v>32</v>
      </c>
      <c r="F32" s="15" t="s">
        <v>31</v>
      </c>
      <c r="G32" s="15" t="s">
        <v>32</v>
      </c>
      <c r="H32" s="15" t="s">
        <v>33</v>
      </c>
      <c r="I32" s="15" t="s">
        <v>34</v>
      </c>
      <c r="J32" s="15" t="s">
        <v>71</v>
      </c>
      <c r="K32" s="15"/>
      <c r="L32" s="16"/>
      <c r="M32" s="15" t="s">
        <v>72</v>
      </c>
      <c r="N32" s="23"/>
    </row>
    <row r="33" ht="25.5" customHeight="1">
      <c r="A33" s="18" t="s">
        <v>53</v>
      </c>
      <c r="B33" s="19" t="s">
        <v>74</v>
      </c>
      <c r="C33" s="19" t="s">
        <v>69</v>
      </c>
      <c r="D33" s="19" t="s">
        <v>70</v>
      </c>
      <c r="E33" s="19" t="s">
        <v>32</v>
      </c>
      <c r="F33" s="19" t="s">
        <v>31</v>
      </c>
      <c r="G33" s="19" t="s">
        <v>32</v>
      </c>
      <c r="H33" s="19" t="s">
        <v>33</v>
      </c>
      <c r="I33" s="19" t="s">
        <v>34</v>
      </c>
      <c r="J33" s="19" t="s">
        <v>71</v>
      </c>
      <c r="K33" s="19"/>
      <c r="L33" s="20"/>
      <c r="M33" s="19" t="s">
        <v>72</v>
      </c>
      <c r="N33" s="22"/>
    </row>
    <row r="34" ht="25.5" customHeight="1">
      <c r="A34" s="14" t="s">
        <v>53</v>
      </c>
      <c r="B34" s="15" t="s">
        <v>75</v>
      </c>
      <c r="C34" s="15" t="s">
        <v>69</v>
      </c>
      <c r="D34" s="15" t="s">
        <v>70</v>
      </c>
      <c r="E34" s="15" t="s">
        <v>32</v>
      </c>
      <c r="F34" s="15" t="s">
        <v>31</v>
      </c>
      <c r="G34" s="15" t="s">
        <v>32</v>
      </c>
      <c r="H34" s="15" t="s">
        <v>33</v>
      </c>
      <c r="I34" s="15" t="s">
        <v>34</v>
      </c>
      <c r="J34" s="15" t="s">
        <v>71</v>
      </c>
      <c r="K34" s="15"/>
      <c r="L34" s="16"/>
      <c r="M34" s="15" t="s">
        <v>72</v>
      </c>
      <c r="N34" s="23"/>
    </row>
    <row r="35" ht="25.5" customHeight="1">
      <c r="A35" s="18" t="s">
        <v>53</v>
      </c>
      <c r="B35" s="19" t="s">
        <v>76</v>
      </c>
      <c r="C35" s="19" t="s">
        <v>69</v>
      </c>
      <c r="D35" s="19" t="s">
        <v>70</v>
      </c>
      <c r="E35" s="19" t="s">
        <v>32</v>
      </c>
      <c r="F35" s="19" t="s">
        <v>31</v>
      </c>
      <c r="G35" s="19" t="s">
        <v>32</v>
      </c>
      <c r="H35" s="19" t="s">
        <v>33</v>
      </c>
      <c r="I35" s="19" t="s">
        <v>34</v>
      </c>
      <c r="J35" s="19" t="s">
        <v>71</v>
      </c>
      <c r="K35" s="19"/>
      <c r="L35" s="20"/>
      <c r="M35" s="19" t="s">
        <v>72</v>
      </c>
      <c r="N35" s="22"/>
    </row>
    <row r="36" ht="25.5" customHeight="1">
      <c r="A36" s="14" t="s">
        <v>53</v>
      </c>
      <c r="B36" s="15" t="s">
        <v>77</v>
      </c>
      <c r="C36" s="15" t="s">
        <v>69</v>
      </c>
      <c r="D36" s="15" t="s">
        <v>70</v>
      </c>
      <c r="E36" s="15" t="s">
        <v>32</v>
      </c>
      <c r="F36" s="15" t="s">
        <v>31</v>
      </c>
      <c r="G36" s="15" t="s">
        <v>32</v>
      </c>
      <c r="H36" s="15" t="s">
        <v>33</v>
      </c>
      <c r="I36" s="15" t="s">
        <v>34</v>
      </c>
      <c r="J36" s="15" t="s">
        <v>71</v>
      </c>
      <c r="K36" s="15"/>
      <c r="L36" s="16"/>
      <c r="M36" s="15" t="s">
        <v>72</v>
      </c>
      <c r="N36" s="23"/>
    </row>
    <row r="37" ht="25.5" customHeight="1">
      <c r="A37" s="18" t="s">
        <v>53</v>
      </c>
      <c r="B37" s="19" t="s">
        <v>78</v>
      </c>
      <c r="C37" s="19" t="s">
        <v>69</v>
      </c>
      <c r="D37" s="19" t="s">
        <v>70</v>
      </c>
      <c r="E37" s="19" t="s">
        <v>32</v>
      </c>
      <c r="F37" s="19" t="s">
        <v>31</v>
      </c>
      <c r="G37" s="19" t="s">
        <v>32</v>
      </c>
      <c r="H37" s="19" t="s">
        <v>33</v>
      </c>
      <c r="I37" s="19" t="s">
        <v>34</v>
      </c>
      <c r="J37" s="19" t="s">
        <v>71</v>
      </c>
      <c r="K37" s="19"/>
      <c r="L37" s="20"/>
      <c r="M37" s="19" t="s">
        <v>72</v>
      </c>
      <c r="N37" s="22"/>
    </row>
    <row r="38" ht="25.5" customHeight="1">
      <c r="A38" s="14" t="s">
        <v>53</v>
      </c>
      <c r="B38" s="15" t="s">
        <v>79</v>
      </c>
      <c r="C38" s="15" t="s">
        <v>69</v>
      </c>
      <c r="D38" s="15" t="s">
        <v>70</v>
      </c>
      <c r="E38" s="15" t="s">
        <v>32</v>
      </c>
      <c r="F38" s="15" t="s">
        <v>31</v>
      </c>
      <c r="G38" s="15" t="s">
        <v>32</v>
      </c>
      <c r="H38" s="15" t="s">
        <v>33</v>
      </c>
      <c r="I38" s="15" t="s">
        <v>34</v>
      </c>
      <c r="J38" s="15" t="s">
        <v>71</v>
      </c>
      <c r="K38" s="15"/>
      <c r="L38" s="16"/>
      <c r="M38" s="15" t="s">
        <v>72</v>
      </c>
      <c r="N38" s="23"/>
    </row>
    <row r="39" ht="25.5" customHeight="1">
      <c r="A39" s="18" t="s">
        <v>53</v>
      </c>
      <c r="B39" s="19" t="s">
        <v>80</v>
      </c>
      <c r="C39" s="19" t="s">
        <v>69</v>
      </c>
      <c r="D39" s="19" t="s">
        <v>70</v>
      </c>
      <c r="E39" s="19" t="s">
        <v>32</v>
      </c>
      <c r="F39" s="19" t="s">
        <v>31</v>
      </c>
      <c r="G39" s="19" t="s">
        <v>32</v>
      </c>
      <c r="H39" s="19" t="s">
        <v>33</v>
      </c>
      <c r="I39" s="19" t="s">
        <v>34</v>
      </c>
      <c r="J39" s="19" t="s">
        <v>71</v>
      </c>
      <c r="K39" s="19"/>
      <c r="L39" s="20"/>
      <c r="M39" s="19" t="s">
        <v>72</v>
      </c>
      <c r="N39" s="22"/>
    </row>
    <row r="40" ht="25.5" customHeight="1">
      <c r="A40" s="14" t="s">
        <v>53</v>
      </c>
      <c r="B40" s="15" t="s">
        <v>81</v>
      </c>
      <c r="C40" s="15" t="s">
        <v>69</v>
      </c>
      <c r="D40" s="15" t="s">
        <v>70</v>
      </c>
      <c r="E40" s="15" t="s">
        <v>32</v>
      </c>
      <c r="F40" s="15" t="s">
        <v>31</v>
      </c>
      <c r="G40" s="15" t="s">
        <v>32</v>
      </c>
      <c r="H40" s="15" t="s">
        <v>33</v>
      </c>
      <c r="I40" s="15" t="s">
        <v>34</v>
      </c>
      <c r="J40" s="15" t="s">
        <v>71</v>
      </c>
      <c r="K40" s="15"/>
      <c r="L40" s="16"/>
      <c r="M40" s="15" t="s">
        <v>72</v>
      </c>
      <c r="N40" s="23"/>
    </row>
    <row r="41" ht="25.5" customHeight="1">
      <c r="A41" s="18" t="s">
        <v>53</v>
      </c>
      <c r="B41" s="19" t="s">
        <v>82</v>
      </c>
      <c r="C41" s="19" t="s">
        <v>69</v>
      </c>
      <c r="D41" s="19" t="s">
        <v>70</v>
      </c>
      <c r="E41" s="19" t="s">
        <v>32</v>
      </c>
      <c r="F41" s="19" t="s">
        <v>31</v>
      </c>
      <c r="G41" s="19" t="s">
        <v>32</v>
      </c>
      <c r="H41" s="19" t="s">
        <v>33</v>
      </c>
      <c r="I41" s="19" t="s">
        <v>34</v>
      </c>
      <c r="J41" s="19" t="s">
        <v>71</v>
      </c>
      <c r="K41" s="19"/>
      <c r="L41" s="20"/>
      <c r="M41" s="19" t="s">
        <v>72</v>
      </c>
      <c r="N41" s="22"/>
    </row>
    <row r="42" ht="25.5" customHeight="1">
      <c r="A42" s="14" t="s">
        <v>53</v>
      </c>
      <c r="B42" s="15" t="s">
        <v>83</v>
      </c>
      <c r="C42" s="15" t="s">
        <v>84</v>
      </c>
      <c r="D42" s="15" t="s">
        <v>85</v>
      </c>
      <c r="E42" s="15" t="s">
        <v>34</v>
      </c>
      <c r="F42" s="15" t="s">
        <v>31</v>
      </c>
      <c r="G42" s="15" t="s">
        <v>32</v>
      </c>
      <c r="H42" s="15" t="s">
        <v>33</v>
      </c>
      <c r="I42" s="15" t="s">
        <v>34</v>
      </c>
      <c r="J42" s="15" t="s">
        <v>86</v>
      </c>
      <c r="K42" s="15"/>
      <c r="L42" s="16"/>
      <c r="M42" s="15" t="s">
        <v>87</v>
      </c>
      <c r="N42" s="23"/>
    </row>
    <row r="43" ht="25.5" customHeight="1">
      <c r="A43" s="18" t="s">
        <v>53</v>
      </c>
      <c r="B43" s="19" t="s">
        <v>83</v>
      </c>
      <c r="C43" s="19" t="s">
        <v>84</v>
      </c>
      <c r="D43" s="19" t="s">
        <v>85</v>
      </c>
      <c r="E43" s="19" t="s">
        <v>34</v>
      </c>
      <c r="F43" s="19" t="s">
        <v>31</v>
      </c>
      <c r="G43" s="19" t="s">
        <v>32</v>
      </c>
      <c r="H43" s="19" t="s">
        <v>33</v>
      </c>
      <c r="I43" s="19" t="s">
        <v>34</v>
      </c>
      <c r="J43" s="19" t="s">
        <v>86</v>
      </c>
      <c r="K43" s="19"/>
      <c r="L43" s="20"/>
      <c r="M43" s="19" t="s">
        <v>87</v>
      </c>
      <c r="N43" s="22"/>
    </row>
    <row r="44" ht="25.5" customHeight="1">
      <c r="A44" s="14" t="s">
        <v>53</v>
      </c>
      <c r="B44" s="15" t="s">
        <v>83</v>
      </c>
      <c r="C44" s="15" t="s">
        <v>84</v>
      </c>
      <c r="D44" s="15" t="s">
        <v>85</v>
      </c>
      <c r="E44" s="15" t="s">
        <v>34</v>
      </c>
      <c r="F44" s="15" t="s">
        <v>31</v>
      </c>
      <c r="G44" s="15" t="s">
        <v>32</v>
      </c>
      <c r="H44" s="15" t="s">
        <v>33</v>
      </c>
      <c r="I44" s="15" t="s">
        <v>34</v>
      </c>
      <c r="J44" s="15" t="s">
        <v>86</v>
      </c>
      <c r="K44" s="15"/>
      <c r="L44" s="16"/>
      <c r="M44" s="15" t="s">
        <v>87</v>
      </c>
      <c r="N44" s="23"/>
    </row>
    <row r="45" ht="25.5" customHeight="1">
      <c r="A45" s="18" t="s">
        <v>53</v>
      </c>
      <c r="B45" s="19" t="s">
        <v>83</v>
      </c>
      <c r="C45" s="19" t="s">
        <v>84</v>
      </c>
      <c r="D45" s="19" t="s">
        <v>85</v>
      </c>
      <c r="E45" s="19" t="s">
        <v>34</v>
      </c>
      <c r="F45" s="19" t="s">
        <v>31</v>
      </c>
      <c r="G45" s="19" t="s">
        <v>32</v>
      </c>
      <c r="H45" s="19" t="s">
        <v>33</v>
      </c>
      <c r="I45" s="19" t="s">
        <v>34</v>
      </c>
      <c r="J45" s="19" t="s">
        <v>86</v>
      </c>
      <c r="K45" s="19"/>
      <c r="L45" s="20"/>
      <c r="M45" s="19" t="s">
        <v>87</v>
      </c>
      <c r="N45" s="22"/>
    </row>
    <row r="46" ht="25.5" customHeight="1">
      <c r="A46" s="14" t="s">
        <v>53</v>
      </c>
      <c r="B46" s="15" t="s">
        <v>83</v>
      </c>
      <c r="C46" s="15" t="s">
        <v>84</v>
      </c>
      <c r="D46" s="15" t="s">
        <v>85</v>
      </c>
      <c r="E46" s="15" t="s">
        <v>34</v>
      </c>
      <c r="F46" s="15" t="s">
        <v>31</v>
      </c>
      <c r="G46" s="15" t="s">
        <v>32</v>
      </c>
      <c r="H46" s="15" t="s">
        <v>33</v>
      </c>
      <c r="I46" s="15" t="s">
        <v>34</v>
      </c>
      <c r="J46" s="15" t="s">
        <v>86</v>
      </c>
      <c r="K46" s="15"/>
      <c r="L46" s="16"/>
      <c r="M46" s="15" t="s">
        <v>87</v>
      </c>
      <c r="N46" s="23"/>
    </row>
    <row r="47" ht="25.5" customHeight="1">
      <c r="A47" s="18" t="s">
        <v>53</v>
      </c>
      <c r="B47" s="19" t="s">
        <v>83</v>
      </c>
      <c r="C47" s="19" t="s">
        <v>84</v>
      </c>
      <c r="D47" s="19" t="s">
        <v>85</v>
      </c>
      <c r="E47" s="19" t="s">
        <v>34</v>
      </c>
      <c r="F47" s="19" t="s">
        <v>31</v>
      </c>
      <c r="G47" s="19" t="s">
        <v>32</v>
      </c>
      <c r="H47" s="19" t="s">
        <v>33</v>
      </c>
      <c r="I47" s="19" t="s">
        <v>34</v>
      </c>
      <c r="J47" s="19" t="s">
        <v>86</v>
      </c>
      <c r="K47" s="19"/>
      <c r="L47" s="20"/>
      <c r="M47" s="19" t="s">
        <v>87</v>
      </c>
      <c r="N47" s="22"/>
    </row>
    <row r="48" ht="25.5" customHeight="1">
      <c r="A48" s="14" t="s">
        <v>88</v>
      </c>
      <c r="B48" s="15" t="s">
        <v>89</v>
      </c>
      <c r="C48" s="15" t="s">
        <v>84</v>
      </c>
      <c r="D48" s="15" t="s">
        <v>36</v>
      </c>
      <c r="E48" s="15" t="s">
        <v>34</v>
      </c>
      <c r="F48" s="15" t="s">
        <v>34</v>
      </c>
      <c r="G48" s="15" t="s">
        <v>34</v>
      </c>
      <c r="H48" s="15" t="s">
        <v>34</v>
      </c>
      <c r="I48" s="15" t="s">
        <v>34</v>
      </c>
      <c r="J48" s="15" t="s">
        <v>90</v>
      </c>
      <c r="K48" s="15"/>
      <c r="L48" s="16"/>
      <c r="M48" s="15" t="s">
        <v>36</v>
      </c>
      <c r="N48" s="23"/>
    </row>
    <row r="49" ht="25.5" customHeight="1">
      <c r="A49" s="18" t="s">
        <v>88</v>
      </c>
      <c r="B49" s="19" t="s">
        <v>91</v>
      </c>
      <c r="C49" s="19" t="s">
        <v>92</v>
      </c>
      <c r="D49" s="19" t="s">
        <v>93</v>
      </c>
      <c r="E49" s="19" t="s">
        <v>34</v>
      </c>
      <c r="F49" s="19" t="s">
        <v>34</v>
      </c>
      <c r="G49" s="19" t="s">
        <v>34</v>
      </c>
      <c r="H49" s="19" t="s">
        <v>34</v>
      </c>
      <c r="I49" s="19" t="s">
        <v>34</v>
      </c>
      <c r="J49" s="19" t="s">
        <v>90</v>
      </c>
      <c r="K49" s="19"/>
      <c r="L49" s="20"/>
      <c r="M49" s="19" t="s">
        <v>94</v>
      </c>
      <c r="N49" s="22"/>
    </row>
    <row r="50" ht="25.5" customHeight="1">
      <c r="A50" s="14" t="s">
        <v>88</v>
      </c>
      <c r="B50" s="15" t="s">
        <v>95</v>
      </c>
      <c r="C50" s="15" t="s">
        <v>92</v>
      </c>
      <c r="D50" s="15" t="s">
        <v>96</v>
      </c>
      <c r="E50" s="15" t="s">
        <v>34</v>
      </c>
      <c r="F50" s="15" t="s">
        <v>34</v>
      </c>
      <c r="G50" s="15" t="s">
        <v>34</v>
      </c>
      <c r="H50" s="15" t="s">
        <v>34</v>
      </c>
      <c r="I50" s="15" t="s">
        <v>34</v>
      </c>
      <c r="J50" s="15" t="s">
        <v>90</v>
      </c>
      <c r="K50" s="15"/>
      <c r="L50" s="16"/>
      <c r="M50" s="15" t="s">
        <v>94</v>
      </c>
      <c r="N50" s="23"/>
    </row>
    <row r="51" ht="25.5" customHeight="1">
      <c r="A51" s="18" t="s">
        <v>88</v>
      </c>
      <c r="B51" s="19" t="s">
        <v>97</v>
      </c>
      <c r="C51" s="19" t="s">
        <v>92</v>
      </c>
      <c r="D51" s="19" t="s">
        <v>96</v>
      </c>
      <c r="E51" s="19" t="s">
        <v>34</v>
      </c>
      <c r="F51" s="19" t="s">
        <v>34</v>
      </c>
      <c r="G51" s="19" t="s">
        <v>34</v>
      </c>
      <c r="H51" s="19" t="s">
        <v>34</v>
      </c>
      <c r="I51" s="19" t="s">
        <v>34</v>
      </c>
      <c r="J51" s="19" t="s">
        <v>90</v>
      </c>
      <c r="K51" s="19"/>
      <c r="L51" s="20"/>
      <c r="M51" s="19" t="s">
        <v>94</v>
      </c>
      <c r="N51" s="22"/>
    </row>
    <row r="52" ht="25.5" customHeight="1">
      <c r="A52" s="14" t="s">
        <v>88</v>
      </c>
      <c r="B52" s="15" t="s">
        <v>98</v>
      </c>
      <c r="C52" s="15" t="s">
        <v>92</v>
      </c>
      <c r="D52" s="15" t="s">
        <v>99</v>
      </c>
      <c r="E52" s="15" t="s">
        <v>34</v>
      </c>
      <c r="F52" s="15" t="s">
        <v>34</v>
      </c>
      <c r="G52" s="15" t="s">
        <v>34</v>
      </c>
      <c r="H52" s="15" t="s">
        <v>34</v>
      </c>
      <c r="I52" s="15" t="s">
        <v>34</v>
      </c>
      <c r="J52" s="15" t="s">
        <v>90</v>
      </c>
      <c r="K52" s="15"/>
      <c r="L52" s="16"/>
      <c r="M52" s="15" t="s">
        <v>100</v>
      </c>
      <c r="N52" s="23"/>
    </row>
    <row r="53" ht="25.5" customHeight="1">
      <c r="A53" s="18" t="s">
        <v>88</v>
      </c>
      <c r="B53" s="19" t="s">
        <v>101</v>
      </c>
      <c r="C53" s="19" t="s">
        <v>92</v>
      </c>
      <c r="D53" s="19" t="s">
        <v>99</v>
      </c>
      <c r="E53" s="19" t="s">
        <v>34</v>
      </c>
      <c r="F53" s="19" t="s">
        <v>34</v>
      </c>
      <c r="G53" s="19" t="s">
        <v>34</v>
      </c>
      <c r="H53" s="19" t="s">
        <v>34</v>
      </c>
      <c r="I53" s="19" t="s">
        <v>34</v>
      </c>
      <c r="J53" s="19" t="s">
        <v>90</v>
      </c>
      <c r="K53" s="19"/>
      <c r="L53" s="20"/>
      <c r="M53" s="19" t="s">
        <v>100</v>
      </c>
      <c r="N53" s="22"/>
    </row>
    <row r="54" ht="25.5" customHeight="1">
      <c r="A54" s="14" t="s">
        <v>88</v>
      </c>
      <c r="B54" s="15" t="s">
        <v>102</v>
      </c>
      <c r="C54" s="15" t="s">
        <v>92</v>
      </c>
      <c r="D54" s="15" t="s">
        <v>103</v>
      </c>
      <c r="E54" s="15" t="s">
        <v>34</v>
      </c>
      <c r="F54" s="15" t="s">
        <v>34</v>
      </c>
      <c r="G54" s="15" t="s">
        <v>34</v>
      </c>
      <c r="H54" s="15" t="s">
        <v>34</v>
      </c>
      <c r="I54" s="15" t="s">
        <v>34</v>
      </c>
      <c r="J54" s="15" t="s">
        <v>90</v>
      </c>
      <c r="K54" s="15"/>
      <c r="L54" s="16"/>
      <c r="M54" s="15" t="s">
        <v>104</v>
      </c>
      <c r="N54" s="23"/>
    </row>
    <row r="55" ht="25.5" customHeight="1">
      <c r="A55" s="18" t="s">
        <v>88</v>
      </c>
      <c r="B55" s="19" t="s">
        <v>105</v>
      </c>
      <c r="C55" s="19" t="s">
        <v>92</v>
      </c>
      <c r="D55" s="19" t="s">
        <v>99</v>
      </c>
      <c r="E55" s="19" t="s">
        <v>34</v>
      </c>
      <c r="F55" s="19" t="s">
        <v>34</v>
      </c>
      <c r="G55" s="19" t="s">
        <v>34</v>
      </c>
      <c r="H55" s="19" t="s">
        <v>34</v>
      </c>
      <c r="I55" s="19" t="s">
        <v>34</v>
      </c>
      <c r="J55" s="19" t="s">
        <v>90</v>
      </c>
      <c r="K55" s="19"/>
      <c r="L55" s="20"/>
      <c r="M55" s="19" t="s">
        <v>94</v>
      </c>
      <c r="N55" s="22"/>
    </row>
    <row r="56" ht="25.5" customHeight="1">
      <c r="A56" s="14" t="s">
        <v>88</v>
      </c>
      <c r="B56" s="15" t="s">
        <v>106</v>
      </c>
      <c r="C56" s="15" t="s">
        <v>92</v>
      </c>
      <c r="D56" s="15" t="s">
        <v>99</v>
      </c>
      <c r="E56" s="15" t="s">
        <v>34</v>
      </c>
      <c r="F56" s="15" t="s">
        <v>34</v>
      </c>
      <c r="G56" s="15" t="s">
        <v>34</v>
      </c>
      <c r="H56" s="15" t="s">
        <v>34</v>
      </c>
      <c r="I56" s="15" t="s">
        <v>34</v>
      </c>
      <c r="J56" s="15" t="s">
        <v>90</v>
      </c>
      <c r="K56" s="15"/>
      <c r="L56" s="16"/>
      <c r="M56" s="15" t="s">
        <v>94</v>
      </c>
      <c r="N56" s="23"/>
    </row>
    <row r="57" ht="25.5" customHeight="1">
      <c r="A57" s="18" t="s">
        <v>88</v>
      </c>
      <c r="B57" s="19" t="s">
        <v>107</v>
      </c>
      <c r="C57" s="19" t="s">
        <v>84</v>
      </c>
      <c r="D57" s="19" t="s">
        <v>108</v>
      </c>
      <c r="E57" s="19" t="s">
        <v>34</v>
      </c>
      <c r="F57" s="19" t="s">
        <v>34</v>
      </c>
      <c r="G57" s="19" t="s">
        <v>34</v>
      </c>
      <c r="H57" s="19" t="s">
        <v>34</v>
      </c>
      <c r="I57" s="19" t="s">
        <v>34</v>
      </c>
      <c r="J57" s="19" t="s">
        <v>90</v>
      </c>
      <c r="K57" s="19"/>
      <c r="L57" s="20"/>
      <c r="M57" s="19" t="s">
        <v>109</v>
      </c>
      <c r="N57" s="22"/>
    </row>
    <row r="58" ht="25.5" customHeight="1">
      <c r="A58" s="14" t="s">
        <v>88</v>
      </c>
      <c r="B58" s="15" t="s">
        <v>110</v>
      </c>
      <c r="C58" s="15" t="s">
        <v>84</v>
      </c>
      <c r="D58" s="15" t="s">
        <v>111</v>
      </c>
      <c r="E58" s="15" t="s">
        <v>34</v>
      </c>
      <c r="F58" s="15" t="s">
        <v>34</v>
      </c>
      <c r="G58" s="15" t="s">
        <v>34</v>
      </c>
      <c r="H58" s="15" t="s">
        <v>34</v>
      </c>
      <c r="I58" s="15" t="s">
        <v>34</v>
      </c>
      <c r="J58" s="15" t="s">
        <v>90</v>
      </c>
      <c r="K58" s="15"/>
      <c r="L58" s="16"/>
      <c r="M58" s="15" t="s">
        <v>112</v>
      </c>
      <c r="N58" s="23"/>
    </row>
    <row r="59" ht="25.5" customHeight="1">
      <c r="A59" s="18" t="s">
        <v>88</v>
      </c>
      <c r="B59" s="19" t="s">
        <v>113</v>
      </c>
      <c r="C59" s="19" t="s">
        <v>84</v>
      </c>
      <c r="D59" s="19" t="s">
        <v>108</v>
      </c>
      <c r="E59" s="19" t="s">
        <v>34</v>
      </c>
      <c r="F59" s="19" t="s">
        <v>34</v>
      </c>
      <c r="G59" s="19" t="s">
        <v>34</v>
      </c>
      <c r="H59" s="19" t="s">
        <v>34</v>
      </c>
      <c r="I59" s="19" t="s">
        <v>34</v>
      </c>
      <c r="J59" s="19" t="s">
        <v>90</v>
      </c>
      <c r="K59" s="19"/>
      <c r="L59" s="20"/>
      <c r="M59" s="19" t="s">
        <v>109</v>
      </c>
      <c r="N59" s="22"/>
    </row>
    <row r="60" ht="25.5" customHeight="1">
      <c r="A60" s="14" t="s">
        <v>88</v>
      </c>
      <c r="B60" s="15" t="s">
        <v>114</v>
      </c>
      <c r="C60" s="15" t="s">
        <v>84</v>
      </c>
      <c r="D60" s="15" t="s">
        <v>115</v>
      </c>
      <c r="E60" s="15"/>
      <c r="F60" s="15" t="s">
        <v>34</v>
      </c>
      <c r="G60" s="15" t="s">
        <v>34</v>
      </c>
      <c r="H60" s="15" t="s">
        <v>34</v>
      </c>
      <c r="I60" s="15" t="s">
        <v>34</v>
      </c>
      <c r="J60" s="15" t="s">
        <v>90</v>
      </c>
      <c r="K60" s="15"/>
      <c r="L60" s="16"/>
      <c r="M60" s="15" t="s">
        <v>87</v>
      </c>
      <c r="N60" s="23"/>
    </row>
    <row r="61" ht="25.5" customHeight="1">
      <c r="A61" s="18" t="s">
        <v>47</v>
      </c>
      <c r="B61" s="19" t="s">
        <v>116</v>
      </c>
      <c r="C61" s="19" t="s">
        <v>117</v>
      </c>
      <c r="D61" s="19" t="s">
        <v>117</v>
      </c>
      <c r="E61" s="19" t="s">
        <v>117</v>
      </c>
      <c r="F61" s="19" t="s">
        <v>117</v>
      </c>
      <c r="G61" s="19" t="s">
        <v>117</v>
      </c>
      <c r="H61" s="19" t="s">
        <v>117</v>
      </c>
      <c r="I61" s="19" t="s">
        <v>117</v>
      </c>
      <c r="J61" s="20"/>
      <c r="K61" s="20"/>
      <c r="L61" s="20"/>
      <c r="M61" s="20"/>
      <c r="N61" s="22"/>
    </row>
    <row r="62" ht="25.5" customHeight="1">
      <c r="A62" s="14" t="s">
        <v>118</v>
      </c>
      <c r="B62" s="15" t="s">
        <v>119</v>
      </c>
      <c r="C62" s="15" t="s">
        <v>69</v>
      </c>
      <c r="D62" s="15" t="s">
        <v>120</v>
      </c>
      <c r="E62" s="15" t="s">
        <v>31</v>
      </c>
      <c r="F62" s="15" t="s">
        <v>31</v>
      </c>
      <c r="G62" s="15" t="s">
        <v>32</v>
      </c>
      <c r="H62" s="15" t="s">
        <v>33</v>
      </c>
      <c r="I62" s="15" t="s">
        <v>34</v>
      </c>
      <c r="J62" s="15" t="s">
        <v>121</v>
      </c>
      <c r="K62" s="15"/>
      <c r="L62" s="16"/>
      <c r="M62" s="15" t="s">
        <v>87</v>
      </c>
      <c r="N62" s="17"/>
    </row>
    <row r="63" ht="25.5" customHeight="1">
      <c r="A63" s="18" t="s">
        <v>118</v>
      </c>
      <c r="B63" s="19" t="s">
        <v>122</v>
      </c>
      <c r="C63" s="19" t="s">
        <v>69</v>
      </c>
      <c r="D63" s="19" t="s">
        <v>120</v>
      </c>
      <c r="E63" s="19" t="s">
        <v>31</v>
      </c>
      <c r="F63" s="19" t="s">
        <v>31</v>
      </c>
      <c r="G63" s="19" t="s">
        <v>32</v>
      </c>
      <c r="H63" s="19" t="s">
        <v>33</v>
      </c>
      <c r="I63" s="19" t="s">
        <v>34</v>
      </c>
      <c r="J63" s="19" t="s">
        <v>121</v>
      </c>
      <c r="K63" s="19"/>
      <c r="L63" s="20"/>
      <c r="M63" s="19" t="s">
        <v>87</v>
      </c>
      <c r="N63" s="21"/>
    </row>
    <row r="64" ht="25.5" customHeight="1">
      <c r="A64" s="14" t="s">
        <v>118</v>
      </c>
      <c r="B64" s="15" t="s">
        <v>123</v>
      </c>
      <c r="C64" s="15" t="s">
        <v>69</v>
      </c>
      <c r="D64" s="15" t="s">
        <v>120</v>
      </c>
      <c r="E64" s="15" t="s">
        <v>31</v>
      </c>
      <c r="F64" s="15" t="s">
        <v>31</v>
      </c>
      <c r="G64" s="15" t="s">
        <v>32</v>
      </c>
      <c r="H64" s="15" t="s">
        <v>33</v>
      </c>
      <c r="I64" s="15" t="s">
        <v>34</v>
      </c>
      <c r="J64" s="15" t="s">
        <v>121</v>
      </c>
      <c r="K64" s="15"/>
      <c r="L64" s="16"/>
      <c r="M64" s="15" t="s">
        <v>87</v>
      </c>
      <c r="N64" s="17"/>
    </row>
    <row r="65" ht="25.5" customHeight="1">
      <c r="A65" s="18" t="s">
        <v>118</v>
      </c>
      <c r="B65" s="19" t="s">
        <v>124</v>
      </c>
      <c r="C65" s="19" t="s">
        <v>69</v>
      </c>
      <c r="D65" s="19" t="s">
        <v>120</v>
      </c>
      <c r="E65" s="19" t="s">
        <v>31</v>
      </c>
      <c r="F65" s="19" t="s">
        <v>31</v>
      </c>
      <c r="G65" s="19" t="s">
        <v>32</v>
      </c>
      <c r="H65" s="19" t="s">
        <v>33</v>
      </c>
      <c r="I65" s="19" t="s">
        <v>34</v>
      </c>
      <c r="J65" s="19" t="s">
        <v>121</v>
      </c>
      <c r="K65" s="19"/>
      <c r="L65" s="20"/>
      <c r="M65" s="19" t="s">
        <v>87</v>
      </c>
      <c r="N65" s="21"/>
    </row>
    <row r="66" ht="25.5" customHeight="1">
      <c r="A66" s="14" t="s">
        <v>118</v>
      </c>
      <c r="B66" s="15" t="s">
        <v>125</v>
      </c>
      <c r="C66" s="15" t="s">
        <v>69</v>
      </c>
      <c r="D66" s="15" t="s">
        <v>120</v>
      </c>
      <c r="E66" s="15" t="s">
        <v>31</v>
      </c>
      <c r="F66" s="15" t="s">
        <v>31</v>
      </c>
      <c r="G66" s="15" t="s">
        <v>32</v>
      </c>
      <c r="H66" s="15" t="s">
        <v>33</v>
      </c>
      <c r="I66" s="15" t="s">
        <v>34</v>
      </c>
      <c r="J66" s="15" t="s">
        <v>121</v>
      </c>
      <c r="K66" s="15"/>
      <c r="L66" s="16"/>
      <c r="M66" s="15" t="s">
        <v>87</v>
      </c>
      <c r="N66" s="17"/>
    </row>
    <row r="67" ht="25.5" customHeight="1">
      <c r="A67" s="18" t="s">
        <v>118</v>
      </c>
      <c r="B67" s="19" t="s">
        <v>126</v>
      </c>
      <c r="C67" s="19" t="s">
        <v>69</v>
      </c>
      <c r="D67" s="19" t="s">
        <v>120</v>
      </c>
      <c r="E67" s="19" t="s">
        <v>31</v>
      </c>
      <c r="F67" s="19" t="s">
        <v>31</v>
      </c>
      <c r="G67" s="19" t="s">
        <v>32</v>
      </c>
      <c r="H67" s="19" t="s">
        <v>33</v>
      </c>
      <c r="I67" s="19" t="s">
        <v>34</v>
      </c>
      <c r="J67" s="19" t="s">
        <v>121</v>
      </c>
      <c r="K67" s="19"/>
      <c r="L67" s="20"/>
      <c r="M67" s="19" t="s">
        <v>87</v>
      </c>
      <c r="N67" s="21"/>
    </row>
    <row r="68" ht="25.5" customHeight="1">
      <c r="A68" s="14" t="s">
        <v>118</v>
      </c>
      <c r="B68" s="15" t="s">
        <v>127</v>
      </c>
      <c r="C68" s="15" t="s">
        <v>69</v>
      </c>
      <c r="D68" s="15" t="s">
        <v>120</v>
      </c>
      <c r="E68" s="15" t="s">
        <v>31</v>
      </c>
      <c r="F68" s="15" t="s">
        <v>31</v>
      </c>
      <c r="G68" s="15" t="s">
        <v>32</v>
      </c>
      <c r="H68" s="15" t="s">
        <v>33</v>
      </c>
      <c r="I68" s="15" t="s">
        <v>34</v>
      </c>
      <c r="J68" s="15" t="s">
        <v>121</v>
      </c>
      <c r="K68" s="15"/>
      <c r="L68" s="16"/>
      <c r="M68" s="15" t="s">
        <v>87</v>
      </c>
      <c r="N68" s="17"/>
    </row>
    <row r="69" ht="25.5" customHeight="1">
      <c r="A69" s="18" t="s">
        <v>118</v>
      </c>
      <c r="B69" s="19" t="s">
        <v>128</v>
      </c>
      <c r="C69" s="19" t="s">
        <v>69</v>
      </c>
      <c r="D69" s="19" t="s">
        <v>120</v>
      </c>
      <c r="E69" s="19" t="s">
        <v>31</v>
      </c>
      <c r="F69" s="19" t="s">
        <v>31</v>
      </c>
      <c r="G69" s="19" t="s">
        <v>32</v>
      </c>
      <c r="H69" s="19" t="s">
        <v>33</v>
      </c>
      <c r="I69" s="19" t="s">
        <v>34</v>
      </c>
      <c r="J69" s="19" t="s">
        <v>121</v>
      </c>
      <c r="K69" s="19"/>
      <c r="L69" s="20"/>
      <c r="M69" s="19" t="s">
        <v>87</v>
      </c>
      <c r="N69" s="21"/>
    </row>
    <row r="70" ht="25.5" customHeight="1">
      <c r="A70" s="14" t="s">
        <v>118</v>
      </c>
      <c r="B70" s="15" t="s">
        <v>83</v>
      </c>
      <c r="C70" s="15" t="s">
        <v>29</v>
      </c>
      <c r="D70" s="15" t="s">
        <v>120</v>
      </c>
      <c r="E70" s="15" t="s">
        <v>31</v>
      </c>
      <c r="F70" s="15" t="s">
        <v>31</v>
      </c>
      <c r="G70" s="15" t="s">
        <v>32</v>
      </c>
      <c r="H70" s="15" t="s">
        <v>33</v>
      </c>
      <c r="I70" s="15" t="s">
        <v>34</v>
      </c>
      <c r="J70" s="15" t="s">
        <v>121</v>
      </c>
      <c r="K70" s="15"/>
      <c r="L70" s="16"/>
      <c r="M70" s="15" t="s">
        <v>87</v>
      </c>
      <c r="N70" s="17"/>
    </row>
    <row r="71" ht="25.5" customHeight="1">
      <c r="A71" s="18" t="s">
        <v>118</v>
      </c>
      <c r="B71" s="19" t="s">
        <v>83</v>
      </c>
      <c r="C71" s="19" t="s">
        <v>29</v>
      </c>
      <c r="D71" s="19" t="s">
        <v>120</v>
      </c>
      <c r="E71" s="19" t="s">
        <v>31</v>
      </c>
      <c r="F71" s="19" t="s">
        <v>31</v>
      </c>
      <c r="G71" s="19" t="s">
        <v>32</v>
      </c>
      <c r="H71" s="19" t="s">
        <v>33</v>
      </c>
      <c r="I71" s="19" t="s">
        <v>34</v>
      </c>
      <c r="J71" s="19" t="s">
        <v>121</v>
      </c>
      <c r="K71" s="19"/>
      <c r="L71" s="20"/>
      <c r="M71" s="19" t="s">
        <v>87</v>
      </c>
      <c r="N71" s="21"/>
    </row>
    <row r="72" ht="25.5" customHeight="1">
      <c r="A72" s="14" t="s">
        <v>118</v>
      </c>
      <c r="B72" s="15" t="s">
        <v>83</v>
      </c>
      <c r="C72" s="15" t="s">
        <v>29</v>
      </c>
      <c r="D72" s="15" t="s">
        <v>120</v>
      </c>
      <c r="E72" s="15" t="s">
        <v>31</v>
      </c>
      <c r="F72" s="15" t="s">
        <v>31</v>
      </c>
      <c r="G72" s="15" t="s">
        <v>32</v>
      </c>
      <c r="H72" s="15" t="s">
        <v>33</v>
      </c>
      <c r="I72" s="15" t="s">
        <v>34</v>
      </c>
      <c r="J72" s="15" t="s">
        <v>121</v>
      </c>
      <c r="K72" s="15"/>
      <c r="L72" s="16"/>
      <c r="M72" s="15" t="s">
        <v>87</v>
      </c>
      <c r="N72" s="17"/>
    </row>
    <row r="73" ht="25.5" customHeight="1">
      <c r="A73" s="18" t="s">
        <v>118</v>
      </c>
      <c r="B73" s="19" t="s">
        <v>83</v>
      </c>
      <c r="C73" s="19" t="s">
        <v>29</v>
      </c>
      <c r="D73" s="19" t="s">
        <v>120</v>
      </c>
      <c r="E73" s="19" t="s">
        <v>31</v>
      </c>
      <c r="F73" s="19" t="s">
        <v>31</v>
      </c>
      <c r="G73" s="19" t="s">
        <v>32</v>
      </c>
      <c r="H73" s="19" t="s">
        <v>33</v>
      </c>
      <c r="I73" s="19" t="s">
        <v>34</v>
      </c>
      <c r="J73" s="19" t="s">
        <v>121</v>
      </c>
      <c r="K73" s="19"/>
      <c r="L73" s="20"/>
      <c r="M73" s="19" t="s">
        <v>87</v>
      </c>
      <c r="N73" s="21"/>
    </row>
    <row r="74" ht="25.5" customHeight="1">
      <c r="A74" s="14" t="s">
        <v>118</v>
      </c>
      <c r="B74" s="15" t="s">
        <v>83</v>
      </c>
      <c r="C74" s="15" t="s">
        <v>29</v>
      </c>
      <c r="D74" s="15" t="s">
        <v>120</v>
      </c>
      <c r="E74" s="15" t="s">
        <v>31</v>
      </c>
      <c r="F74" s="15" t="s">
        <v>31</v>
      </c>
      <c r="G74" s="15" t="s">
        <v>32</v>
      </c>
      <c r="H74" s="15" t="s">
        <v>33</v>
      </c>
      <c r="I74" s="15" t="s">
        <v>34</v>
      </c>
      <c r="J74" s="15" t="s">
        <v>121</v>
      </c>
      <c r="K74" s="15"/>
      <c r="L74" s="16"/>
      <c r="M74" s="15" t="s">
        <v>87</v>
      </c>
      <c r="N74" s="17"/>
    </row>
    <row r="75" ht="25.5" customHeight="1">
      <c r="A75" s="18" t="s">
        <v>118</v>
      </c>
      <c r="B75" s="19" t="s">
        <v>83</v>
      </c>
      <c r="C75" s="19" t="s">
        <v>29</v>
      </c>
      <c r="D75" s="19" t="s">
        <v>120</v>
      </c>
      <c r="E75" s="19" t="s">
        <v>31</v>
      </c>
      <c r="F75" s="19" t="s">
        <v>31</v>
      </c>
      <c r="G75" s="19" t="s">
        <v>32</v>
      </c>
      <c r="H75" s="19" t="s">
        <v>33</v>
      </c>
      <c r="I75" s="19" t="s">
        <v>34</v>
      </c>
      <c r="J75" s="19" t="s">
        <v>121</v>
      </c>
      <c r="K75" s="19"/>
      <c r="L75" s="20"/>
      <c r="M75" s="19" t="s">
        <v>87</v>
      </c>
      <c r="N75" s="21"/>
    </row>
    <row r="76" ht="25.5" customHeight="1">
      <c r="A76" s="14" t="s">
        <v>118</v>
      </c>
      <c r="B76" s="15" t="s">
        <v>83</v>
      </c>
      <c r="C76" s="15" t="s">
        <v>29</v>
      </c>
      <c r="D76" s="15" t="s">
        <v>120</v>
      </c>
      <c r="E76" s="15" t="s">
        <v>31</v>
      </c>
      <c r="F76" s="15" t="s">
        <v>31</v>
      </c>
      <c r="G76" s="15" t="s">
        <v>32</v>
      </c>
      <c r="H76" s="15" t="s">
        <v>33</v>
      </c>
      <c r="I76" s="15" t="s">
        <v>34</v>
      </c>
      <c r="J76" s="15" t="s">
        <v>121</v>
      </c>
      <c r="K76" s="15"/>
      <c r="L76" s="16"/>
      <c r="M76" s="15" t="s">
        <v>87</v>
      </c>
      <c r="N76" s="17"/>
    </row>
    <row r="77" ht="25.5" customHeight="1">
      <c r="A77" s="18" t="s">
        <v>118</v>
      </c>
      <c r="B77" s="19" t="s">
        <v>83</v>
      </c>
      <c r="C77" s="19" t="s">
        <v>29</v>
      </c>
      <c r="D77" s="19" t="s">
        <v>120</v>
      </c>
      <c r="E77" s="19" t="s">
        <v>31</v>
      </c>
      <c r="F77" s="19" t="s">
        <v>31</v>
      </c>
      <c r="G77" s="19" t="s">
        <v>32</v>
      </c>
      <c r="H77" s="19" t="s">
        <v>33</v>
      </c>
      <c r="I77" s="19" t="s">
        <v>34</v>
      </c>
      <c r="J77" s="19" t="s">
        <v>121</v>
      </c>
      <c r="K77" s="19"/>
      <c r="L77" s="20"/>
      <c r="M77" s="19" t="s">
        <v>87</v>
      </c>
      <c r="N77" s="21"/>
    </row>
    <row r="78" ht="25.5" customHeight="1">
      <c r="A78" s="14" t="s">
        <v>118</v>
      </c>
      <c r="B78" s="15" t="s">
        <v>83</v>
      </c>
      <c r="C78" s="15" t="s">
        <v>29</v>
      </c>
      <c r="D78" s="15" t="s">
        <v>120</v>
      </c>
      <c r="E78" s="15" t="s">
        <v>31</v>
      </c>
      <c r="F78" s="15" t="s">
        <v>31</v>
      </c>
      <c r="G78" s="15" t="s">
        <v>32</v>
      </c>
      <c r="H78" s="15" t="s">
        <v>33</v>
      </c>
      <c r="I78" s="15" t="s">
        <v>34</v>
      </c>
      <c r="J78" s="15" t="s">
        <v>121</v>
      </c>
      <c r="K78" s="15"/>
      <c r="L78" s="16"/>
      <c r="M78" s="15" t="s">
        <v>87</v>
      </c>
      <c r="N78" s="17"/>
    </row>
    <row r="79" ht="25.5" customHeight="1">
      <c r="A79" s="18" t="s">
        <v>118</v>
      </c>
      <c r="B79" s="19" t="s">
        <v>83</v>
      </c>
      <c r="C79" s="19" t="s">
        <v>29</v>
      </c>
      <c r="D79" s="19" t="s">
        <v>120</v>
      </c>
      <c r="E79" s="19" t="s">
        <v>31</v>
      </c>
      <c r="F79" s="19" t="s">
        <v>31</v>
      </c>
      <c r="G79" s="19" t="s">
        <v>32</v>
      </c>
      <c r="H79" s="19" t="s">
        <v>33</v>
      </c>
      <c r="I79" s="19" t="s">
        <v>34</v>
      </c>
      <c r="J79" s="19" t="s">
        <v>121</v>
      </c>
      <c r="K79" s="19"/>
      <c r="L79" s="20"/>
      <c r="M79" s="19" t="s">
        <v>87</v>
      </c>
      <c r="N79" s="21"/>
    </row>
    <row r="80" ht="25.5" customHeight="1">
      <c r="A80" s="14" t="s">
        <v>118</v>
      </c>
      <c r="B80" s="15" t="s">
        <v>83</v>
      </c>
      <c r="C80" s="15" t="s">
        <v>29</v>
      </c>
      <c r="D80" s="15" t="s">
        <v>120</v>
      </c>
      <c r="E80" s="15" t="s">
        <v>31</v>
      </c>
      <c r="F80" s="15" t="s">
        <v>31</v>
      </c>
      <c r="G80" s="15" t="s">
        <v>32</v>
      </c>
      <c r="H80" s="15" t="s">
        <v>33</v>
      </c>
      <c r="I80" s="15" t="s">
        <v>34</v>
      </c>
      <c r="J80" s="15" t="s">
        <v>121</v>
      </c>
      <c r="K80" s="15"/>
      <c r="L80" s="16"/>
      <c r="M80" s="15" t="s">
        <v>87</v>
      </c>
      <c r="N80" s="17"/>
    </row>
    <row r="81" ht="25.5" customHeight="1">
      <c r="A81" s="18" t="s">
        <v>118</v>
      </c>
      <c r="B81" s="19" t="s">
        <v>83</v>
      </c>
      <c r="C81" s="19" t="s">
        <v>29</v>
      </c>
      <c r="D81" s="19" t="s">
        <v>120</v>
      </c>
      <c r="E81" s="19" t="s">
        <v>31</v>
      </c>
      <c r="F81" s="19" t="s">
        <v>31</v>
      </c>
      <c r="G81" s="19" t="s">
        <v>32</v>
      </c>
      <c r="H81" s="19" t="s">
        <v>33</v>
      </c>
      <c r="I81" s="19" t="s">
        <v>34</v>
      </c>
      <c r="J81" s="19" t="s">
        <v>121</v>
      </c>
      <c r="K81" s="19"/>
      <c r="L81" s="20"/>
      <c r="M81" s="19" t="s">
        <v>87</v>
      </c>
      <c r="N81" s="21"/>
    </row>
    <row r="82" ht="25.5" customHeight="1">
      <c r="A82" s="14" t="s">
        <v>129</v>
      </c>
      <c r="B82" s="15" t="s">
        <v>130</v>
      </c>
      <c r="C82" s="15" t="s">
        <v>84</v>
      </c>
      <c r="D82" s="15" t="s">
        <v>131</v>
      </c>
      <c r="E82" s="15" t="s">
        <v>34</v>
      </c>
      <c r="F82" s="15" t="s">
        <v>34</v>
      </c>
      <c r="G82" s="15" t="s">
        <v>34</v>
      </c>
      <c r="H82" s="15" t="s">
        <v>34</v>
      </c>
      <c r="I82" s="15" t="s">
        <v>34</v>
      </c>
      <c r="J82" s="15" t="s">
        <v>132</v>
      </c>
      <c r="K82" s="15"/>
      <c r="L82" s="16"/>
      <c r="M82" s="15" t="s">
        <v>36</v>
      </c>
      <c r="N82" s="23"/>
    </row>
    <row r="83" ht="25.5" customHeight="1">
      <c r="A83" s="18" t="s">
        <v>129</v>
      </c>
      <c r="B83" s="19" t="s">
        <v>133</v>
      </c>
      <c r="C83" s="19" t="s">
        <v>84</v>
      </c>
      <c r="D83" s="19" t="s">
        <v>131</v>
      </c>
      <c r="E83" s="19" t="s">
        <v>34</v>
      </c>
      <c r="F83" s="19" t="s">
        <v>34</v>
      </c>
      <c r="G83" s="19" t="s">
        <v>34</v>
      </c>
      <c r="H83" s="19" t="s">
        <v>34</v>
      </c>
      <c r="I83" s="19" t="s">
        <v>34</v>
      </c>
      <c r="J83" s="19" t="s">
        <v>132</v>
      </c>
      <c r="K83" s="19"/>
      <c r="L83" s="20"/>
      <c r="M83" s="19" t="s">
        <v>36</v>
      </c>
      <c r="N83" s="22"/>
    </row>
    <row r="84" ht="25.5" customHeight="1">
      <c r="A84" s="14" t="s">
        <v>129</v>
      </c>
      <c r="B84" s="15" t="s">
        <v>134</v>
      </c>
      <c r="C84" s="15" t="s">
        <v>84</v>
      </c>
      <c r="D84" s="15" t="s">
        <v>131</v>
      </c>
      <c r="E84" s="15" t="s">
        <v>34</v>
      </c>
      <c r="F84" s="15" t="s">
        <v>34</v>
      </c>
      <c r="G84" s="15" t="s">
        <v>34</v>
      </c>
      <c r="H84" s="15" t="s">
        <v>34</v>
      </c>
      <c r="I84" s="15" t="s">
        <v>34</v>
      </c>
      <c r="J84" s="15" t="s">
        <v>132</v>
      </c>
      <c r="K84" s="15"/>
      <c r="L84" s="16"/>
      <c r="M84" s="15" t="s">
        <v>36</v>
      </c>
      <c r="N84" s="23"/>
    </row>
    <row r="85" ht="25.5" customHeight="1">
      <c r="A85" s="18" t="s">
        <v>129</v>
      </c>
      <c r="B85" s="19" t="s">
        <v>135</v>
      </c>
      <c r="C85" s="19" t="s">
        <v>84</v>
      </c>
      <c r="D85" s="19" t="s">
        <v>131</v>
      </c>
      <c r="E85" s="19" t="s">
        <v>34</v>
      </c>
      <c r="F85" s="19" t="s">
        <v>34</v>
      </c>
      <c r="G85" s="19" t="s">
        <v>34</v>
      </c>
      <c r="H85" s="19" t="s">
        <v>34</v>
      </c>
      <c r="I85" s="19" t="s">
        <v>34</v>
      </c>
      <c r="J85" s="19" t="s">
        <v>136</v>
      </c>
      <c r="K85" s="19"/>
      <c r="L85" s="19"/>
      <c r="M85" s="19" t="s">
        <v>87</v>
      </c>
      <c r="N85" s="22"/>
    </row>
    <row r="86" ht="25.5" customHeight="1">
      <c r="A86" s="14" t="s">
        <v>129</v>
      </c>
      <c r="B86" s="15" t="s">
        <v>137</v>
      </c>
      <c r="C86" s="15" t="s">
        <v>84</v>
      </c>
      <c r="D86" s="15" t="s">
        <v>138</v>
      </c>
      <c r="E86" s="15" t="s">
        <v>34</v>
      </c>
      <c r="F86" s="15" t="s">
        <v>34</v>
      </c>
      <c r="G86" s="15" t="s">
        <v>34</v>
      </c>
      <c r="H86" s="15" t="s">
        <v>34</v>
      </c>
      <c r="I86" s="15" t="s">
        <v>34</v>
      </c>
      <c r="J86" s="15" t="s">
        <v>139</v>
      </c>
      <c r="K86" s="15" t="s">
        <v>32</v>
      </c>
      <c r="L86" s="15" t="s">
        <v>140</v>
      </c>
      <c r="M86" s="15" t="s">
        <v>141</v>
      </c>
      <c r="N86" s="23"/>
    </row>
    <row r="87" ht="25.5" customHeight="1">
      <c r="A87" s="18" t="s">
        <v>129</v>
      </c>
      <c r="B87" s="19" t="s">
        <v>142</v>
      </c>
      <c r="C87" s="19" t="s">
        <v>143</v>
      </c>
      <c r="D87" s="19" t="s">
        <v>144</v>
      </c>
      <c r="E87" s="19" t="s">
        <v>34</v>
      </c>
      <c r="F87" s="19" t="s">
        <v>34</v>
      </c>
      <c r="G87" s="19" t="s">
        <v>34</v>
      </c>
      <c r="H87" s="19" t="s">
        <v>34</v>
      </c>
      <c r="I87" s="19" t="s">
        <v>34</v>
      </c>
      <c r="J87" s="19" t="s">
        <v>145</v>
      </c>
      <c r="K87" s="19"/>
      <c r="L87" s="20"/>
      <c r="M87" s="19" t="s">
        <v>100</v>
      </c>
      <c r="N87" s="22"/>
    </row>
    <row r="88" ht="25.5" customHeight="1">
      <c r="A88" s="14" t="s">
        <v>129</v>
      </c>
      <c r="B88" s="15" t="s">
        <v>146</v>
      </c>
      <c r="C88" s="15" t="s">
        <v>29</v>
      </c>
      <c r="D88" s="15" t="s">
        <v>147</v>
      </c>
      <c r="E88" s="15" t="s">
        <v>34</v>
      </c>
      <c r="F88" s="15" t="s">
        <v>34</v>
      </c>
      <c r="G88" s="15" t="s">
        <v>34</v>
      </c>
      <c r="H88" s="15" t="s">
        <v>34</v>
      </c>
      <c r="I88" s="15" t="s">
        <v>34</v>
      </c>
      <c r="J88" s="15" t="s">
        <v>148</v>
      </c>
      <c r="K88" s="15"/>
      <c r="L88" s="16"/>
      <c r="M88" s="15" t="s">
        <v>149</v>
      </c>
      <c r="N88" s="23"/>
    </row>
    <row r="89" ht="25.5" customHeight="1">
      <c r="A89" s="18" t="s">
        <v>129</v>
      </c>
      <c r="B89" s="19" t="s">
        <v>150</v>
      </c>
      <c r="C89" s="19" t="s">
        <v>29</v>
      </c>
      <c r="D89" s="19" t="s">
        <v>147</v>
      </c>
      <c r="E89" s="19" t="s">
        <v>34</v>
      </c>
      <c r="F89" s="19" t="s">
        <v>34</v>
      </c>
      <c r="G89" s="19" t="s">
        <v>34</v>
      </c>
      <c r="H89" s="19" t="s">
        <v>34</v>
      </c>
      <c r="I89" s="19" t="s">
        <v>34</v>
      </c>
      <c r="J89" s="19" t="s">
        <v>148</v>
      </c>
      <c r="K89" s="19"/>
      <c r="L89" s="20"/>
      <c r="M89" s="19" t="s">
        <v>149</v>
      </c>
      <c r="N89" s="22"/>
    </row>
    <row r="90" ht="25.5" customHeight="1">
      <c r="A90" s="14" t="s">
        <v>129</v>
      </c>
      <c r="B90" s="15" t="s">
        <v>151</v>
      </c>
      <c r="C90" s="15" t="s">
        <v>29</v>
      </c>
      <c r="D90" s="15" t="s">
        <v>147</v>
      </c>
      <c r="E90" s="15" t="s">
        <v>34</v>
      </c>
      <c r="F90" s="15" t="s">
        <v>34</v>
      </c>
      <c r="G90" s="15" t="s">
        <v>34</v>
      </c>
      <c r="H90" s="15" t="s">
        <v>34</v>
      </c>
      <c r="I90" s="15" t="s">
        <v>34</v>
      </c>
      <c r="J90" s="15" t="s">
        <v>148</v>
      </c>
      <c r="K90" s="15"/>
      <c r="L90" s="16"/>
      <c r="M90" s="15" t="s">
        <v>149</v>
      </c>
      <c r="N90" s="23"/>
    </row>
    <row r="91" ht="25.5" customHeight="1">
      <c r="A91" s="18" t="s">
        <v>129</v>
      </c>
      <c r="B91" s="19" t="s">
        <v>146</v>
      </c>
      <c r="C91" s="19" t="s">
        <v>152</v>
      </c>
      <c r="D91" s="19" t="s">
        <v>153</v>
      </c>
      <c r="E91" s="19" t="s">
        <v>34</v>
      </c>
      <c r="F91" s="19" t="s">
        <v>34</v>
      </c>
      <c r="G91" s="19" t="s">
        <v>34</v>
      </c>
      <c r="H91" s="19" t="s">
        <v>34</v>
      </c>
      <c r="I91" s="19" t="s">
        <v>34</v>
      </c>
      <c r="J91" s="19" t="s">
        <v>90</v>
      </c>
      <c r="K91" s="19"/>
      <c r="L91" s="20"/>
      <c r="M91" s="19" t="s">
        <v>154</v>
      </c>
      <c r="N91" s="22"/>
    </row>
    <row r="92" ht="25.5" customHeight="1">
      <c r="A92" s="14" t="s">
        <v>155</v>
      </c>
      <c r="B92" s="15" t="s">
        <v>146</v>
      </c>
      <c r="C92" s="15" t="s">
        <v>29</v>
      </c>
      <c r="D92" s="15" t="s">
        <v>156</v>
      </c>
      <c r="E92" s="15" t="s">
        <v>32</v>
      </c>
      <c r="F92" s="15" t="s">
        <v>32</v>
      </c>
      <c r="G92" s="16"/>
      <c r="H92" s="16"/>
      <c r="I92" s="15" t="s">
        <v>34</v>
      </c>
      <c r="J92" s="15" t="s">
        <v>90</v>
      </c>
      <c r="K92" s="15"/>
      <c r="L92" s="16"/>
      <c r="M92" s="15" t="s">
        <v>149</v>
      </c>
      <c r="N92" s="23"/>
    </row>
    <row r="93" ht="25.5" customHeight="1">
      <c r="A93" s="18" t="s">
        <v>155</v>
      </c>
      <c r="B93" s="19" t="s">
        <v>157</v>
      </c>
      <c r="C93" s="19" t="s">
        <v>158</v>
      </c>
      <c r="D93" s="19" t="s">
        <v>159</v>
      </c>
      <c r="E93" s="19" t="s">
        <v>32</v>
      </c>
      <c r="F93" s="19" t="s">
        <v>31</v>
      </c>
      <c r="G93" s="19" t="s">
        <v>32</v>
      </c>
      <c r="H93" s="19" t="s">
        <v>33</v>
      </c>
      <c r="I93" s="19" t="s">
        <v>34</v>
      </c>
      <c r="J93" s="19" t="s">
        <v>160</v>
      </c>
      <c r="K93" s="19"/>
      <c r="L93" s="20"/>
      <c r="M93" s="19" t="s">
        <v>154</v>
      </c>
      <c r="N93" s="22"/>
    </row>
    <row r="94" ht="25.5" customHeight="1">
      <c r="A94" s="14" t="s">
        <v>155</v>
      </c>
      <c r="B94" s="15" t="s">
        <v>161</v>
      </c>
      <c r="C94" s="15" t="s">
        <v>162</v>
      </c>
      <c r="D94" s="15" t="s">
        <v>159</v>
      </c>
      <c r="E94" s="15" t="s">
        <v>32</v>
      </c>
      <c r="F94" s="15" t="s">
        <v>31</v>
      </c>
      <c r="G94" s="15" t="s">
        <v>32</v>
      </c>
      <c r="H94" s="15" t="s">
        <v>33</v>
      </c>
      <c r="I94" s="15" t="s">
        <v>34</v>
      </c>
      <c r="J94" s="15" t="s">
        <v>163</v>
      </c>
      <c r="K94" s="15"/>
      <c r="L94" s="16"/>
      <c r="M94" s="15" t="s">
        <v>154</v>
      </c>
      <c r="N94" s="23"/>
    </row>
    <row r="95" ht="25.5" customHeight="1">
      <c r="A95" s="18" t="s">
        <v>155</v>
      </c>
      <c r="B95" s="19" t="s">
        <v>164</v>
      </c>
      <c r="C95" s="19" t="s">
        <v>165</v>
      </c>
      <c r="D95" s="19" t="s">
        <v>159</v>
      </c>
      <c r="E95" s="19" t="s">
        <v>32</v>
      </c>
      <c r="F95" s="19" t="s">
        <v>31</v>
      </c>
      <c r="G95" s="19" t="s">
        <v>32</v>
      </c>
      <c r="H95" s="19" t="s">
        <v>33</v>
      </c>
      <c r="I95" s="19" t="s">
        <v>34</v>
      </c>
      <c r="J95" s="19" t="s">
        <v>166</v>
      </c>
      <c r="K95" s="19"/>
      <c r="L95" s="19"/>
      <c r="M95" s="19" t="s">
        <v>154</v>
      </c>
      <c r="N95" s="22"/>
    </row>
    <row r="96" ht="25.5" customHeight="1">
      <c r="A96" s="14" t="s">
        <v>155</v>
      </c>
      <c r="B96" s="15" t="s">
        <v>167</v>
      </c>
      <c r="C96" s="15" t="s">
        <v>29</v>
      </c>
      <c r="D96" s="15" t="s">
        <v>168</v>
      </c>
      <c r="E96" s="15" t="s">
        <v>31</v>
      </c>
      <c r="F96" s="15" t="s">
        <v>34</v>
      </c>
      <c r="G96" s="15" t="s">
        <v>32</v>
      </c>
      <c r="H96" s="15" t="s">
        <v>33</v>
      </c>
      <c r="I96" s="15" t="s">
        <v>34</v>
      </c>
      <c r="J96" s="15" t="s">
        <v>169</v>
      </c>
      <c r="K96" s="15"/>
      <c r="L96" s="16"/>
      <c r="M96" s="15" t="s">
        <v>170</v>
      </c>
      <c r="N96" s="23"/>
    </row>
    <row r="97" ht="25.5" customHeight="1">
      <c r="A97" s="18" t="s">
        <v>155</v>
      </c>
      <c r="B97" s="19" t="s">
        <v>171</v>
      </c>
      <c r="C97" s="19" t="s">
        <v>29</v>
      </c>
      <c r="D97" s="19" t="s">
        <v>172</v>
      </c>
      <c r="E97" s="19" t="s">
        <v>32</v>
      </c>
      <c r="F97" s="19" t="s">
        <v>32</v>
      </c>
      <c r="G97" s="19" t="s">
        <v>31</v>
      </c>
      <c r="H97" s="19" t="s">
        <v>173</v>
      </c>
      <c r="I97" s="19" t="s">
        <v>34</v>
      </c>
      <c r="J97" s="19" t="s">
        <v>174</v>
      </c>
      <c r="K97" s="19"/>
      <c r="L97" s="20"/>
      <c r="M97" s="19" t="s">
        <v>170</v>
      </c>
      <c r="N97" s="22"/>
    </row>
    <row r="98" ht="25.5" customHeight="1">
      <c r="A98" s="14" t="s">
        <v>155</v>
      </c>
      <c r="B98" s="15" t="s">
        <v>175</v>
      </c>
      <c r="C98" s="15" t="s">
        <v>165</v>
      </c>
      <c r="D98" s="15" t="s">
        <v>176</v>
      </c>
      <c r="E98" s="15" t="s">
        <v>32</v>
      </c>
      <c r="F98" s="15" t="s">
        <v>31</v>
      </c>
      <c r="G98" s="15" t="s">
        <v>32</v>
      </c>
      <c r="H98" s="15" t="s">
        <v>33</v>
      </c>
      <c r="I98" s="15" t="s">
        <v>34</v>
      </c>
      <c r="J98" s="15" t="s">
        <v>177</v>
      </c>
      <c r="K98" s="15"/>
      <c r="L98" s="16"/>
      <c r="M98" s="15" t="s">
        <v>178</v>
      </c>
      <c r="N98" s="23"/>
    </row>
    <row r="99" ht="25.5" customHeight="1">
      <c r="A99" s="18" t="s">
        <v>155</v>
      </c>
      <c r="B99" s="19" t="s">
        <v>179</v>
      </c>
      <c r="C99" s="19" t="s">
        <v>165</v>
      </c>
      <c r="D99" s="19" t="s">
        <v>180</v>
      </c>
      <c r="E99" s="19" t="s">
        <v>32</v>
      </c>
      <c r="F99" s="19" t="s">
        <v>31</v>
      </c>
      <c r="G99" s="19" t="s">
        <v>32</v>
      </c>
      <c r="H99" s="19" t="s">
        <v>33</v>
      </c>
      <c r="I99" s="19" t="s">
        <v>34</v>
      </c>
      <c r="J99" s="19" t="s">
        <v>177</v>
      </c>
      <c r="K99" s="19"/>
      <c r="L99" s="20"/>
      <c r="M99" s="19" t="s">
        <v>178</v>
      </c>
      <c r="N99" s="22"/>
    </row>
    <row r="100" ht="25.5" customHeight="1">
      <c r="A100" s="14" t="s">
        <v>155</v>
      </c>
      <c r="B100" s="15" t="s">
        <v>181</v>
      </c>
      <c r="C100" s="15" t="s">
        <v>158</v>
      </c>
      <c r="D100" s="15" t="s">
        <v>182</v>
      </c>
      <c r="E100" s="15" t="s">
        <v>32</v>
      </c>
      <c r="F100" s="15" t="s">
        <v>31</v>
      </c>
      <c r="G100" s="15" t="s">
        <v>32</v>
      </c>
      <c r="H100" s="15" t="s">
        <v>33</v>
      </c>
      <c r="I100" s="15" t="s">
        <v>34</v>
      </c>
      <c r="J100" s="15" t="s">
        <v>183</v>
      </c>
      <c r="K100" s="15"/>
      <c r="L100" s="16"/>
      <c r="M100" s="15" t="s">
        <v>154</v>
      </c>
      <c r="N100" s="23"/>
    </row>
    <row r="101" ht="25.5" customHeight="1">
      <c r="A101" s="18" t="s">
        <v>155</v>
      </c>
      <c r="B101" s="19" t="s">
        <v>135</v>
      </c>
      <c r="C101" s="19" t="s">
        <v>184</v>
      </c>
      <c r="D101" s="19" t="s">
        <v>34</v>
      </c>
      <c r="E101" s="19" t="s">
        <v>34</v>
      </c>
      <c r="F101" s="19" t="s">
        <v>34</v>
      </c>
      <c r="G101" s="19" t="s">
        <v>34</v>
      </c>
      <c r="H101" s="19" t="s">
        <v>34</v>
      </c>
      <c r="I101" s="19" t="s">
        <v>34</v>
      </c>
      <c r="J101" s="20"/>
      <c r="K101" s="20"/>
      <c r="L101" s="20"/>
      <c r="M101" s="19" t="s">
        <v>185</v>
      </c>
      <c r="N101" s="22"/>
    </row>
    <row r="102" ht="25.5" customHeight="1">
      <c r="A102" s="14" t="s">
        <v>155</v>
      </c>
      <c r="B102" s="15" t="s">
        <v>186</v>
      </c>
      <c r="C102" s="15" t="s">
        <v>184</v>
      </c>
      <c r="D102" s="15" t="s">
        <v>34</v>
      </c>
      <c r="E102" s="15" t="s">
        <v>34</v>
      </c>
      <c r="F102" s="15" t="s">
        <v>34</v>
      </c>
      <c r="G102" s="15" t="s">
        <v>34</v>
      </c>
      <c r="H102" s="15" t="s">
        <v>34</v>
      </c>
      <c r="I102" s="15" t="s">
        <v>34</v>
      </c>
      <c r="J102" s="16"/>
      <c r="K102" s="16"/>
      <c r="L102" s="16"/>
      <c r="M102" s="15" t="s">
        <v>185</v>
      </c>
      <c r="N102" s="23"/>
    </row>
    <row r="103" ht="25.5" customHeight="1">
      <c r="A103" s="18" t="s">
        <v>155</v>
      </c>
      <c r="B103" s="19" t="s">
        <v>187</v>
      </c>
      <c r="C103" s="19" t="s">
        <v>184</v>
      </c>
      <c r="D103" s="19" t="s">
        <v>34</v>
      </c>
      <c r="E103" s="19" t="s">
        <v>34</v>
      </c>
      <c r="F103" s="19" t="s">
        <v>34</v>
      </c>
      <c r="G103" s="19" t="s">
        <v>34</v>
      </c>
      <c r="H103" s="19" t="s">
        <v>34</v>
      </c>
      <c r="I103" s="19" t="s">
        <v>34</v>
      </c>
      <c r="J103" s="20"/>
      <c r="K103" s="20"/>
      <c r="L103" s="20"/>
      <c r="M103" s="19" t="s">
        <v>185</v>
      </c>
      <c r="N103" s="22"/>
    </row>
    <row r="104" ht="25.5" customHeight="1">
      <c r="A104" s="14" t="s">
        <v>155</v>
      </c>
      <c r="B104" s="15" t="s">
        <v>83</v>
      </c>
      <c r="C104" s="15" t="s">
        <v>184</v>
      </c>
      <c r="D104" s="15" t="s">
        <v>34</v>
      </c>
      <c r="E104" s="15" t="s">
        <v>34</v>
      </c>
      <c r="F104" s="15" t="s">
        <v>34</v>
      </c>
      <c r="G104" s="15" t="s">
        <v>34</v>
      </c>
      <c r="H104" s="15" t="s">
        <v>34</v>
      </c>
      <c r="I104" s="15" t="s">
        <v>34</v>
      </c>
      <c r="J104" s="16"/>
      <c r="K104" s="16"/>
      <c r="L104" s="16"/>
      <c r="M104" s="15" t="s">
        <v>188</v>
      </c>
      <c r="N104" s="23"/>
    </row>
    <row r="105" ht="25.5" customHeight="1">
      <c r="A105" s="18" t="s">
        <v>155</v>
      </c>
      <c r="B105" s="19" t="s">
        <v>189</v>
      </c>
      <c r="C105" s="19" t="s">
        <v>184</v>
      </c>
      <c r="D105" s="19" t="s">
        <v>34</v>
      </c>
      <c r="E105" s="19" t="s">
        <v>34</v>
      </c>
      <c r="F105" s="19" t="s">
        <v>34</v>
      </c>
      <c r="G105" s="19" t="s">
        <v>34</v>
      </c>
      <c r="H105" s="19" t="s">
        <v>34</v>
      </c>
      <c r="I105" s="19" t="s">
        <v>34</v>
      </c>
      <c r="J105" s="20"/>
      <c r="K105" s="20"/>
      <c r="L105" s="20"/>
      <c r="M105" s="19" t="s">
        <v>185</v>
      </c>
      <c r="N105" s="22"/>
    </row>
    <row r="106" ht="25.5" customHeight="1">
      <c r="A106" s="14" t="s">
        <v>155</v>
      </c>
      <c r="B106" s="15" t="s">
        <v>190</v>
      </c>
      <c r="C106" s="15" t="s">
        <v>184</v>
      </c>
      <c r="D106" s="15" t="s">
        <v>34</v>
      </c>
      <c r="E106" s="15" t="s">
        <v>34</v>
      </c>
      <c r="F106" s="15" t="s">
        <v>34</v>
      </c>
      <c r="G106" s="15" t="s">
        <v>34</v>
      </c>
      <c r="H106" s="15" t="s">
        <v>34</v>
      </c>
      <c r="I106" s="15" t="s">
        <v>34</v>
      </c>
      <c r="J106" s="16"/>
      <c r="K106" s="16"/>
      <c r="L106" s="16"/>
      <c r="M106" s="15" t="s">
        <v>185</v>
      </c>
      <c r="N106" s="23"/>
    </row>
    <row r="107" ht="25.5" customHeight="1">
      <c r="A107" s="18" t="s">
        <v>155</v>
      </c>
      <c r="B107" s="19" t="s">
        <v>130</v>
      </c>
      <c r="C107" s="19" t="s">
        <v>184</v>
      </c>
      <c r="D107" s="19" t="s">
        <v>34</v>
      </c>
      <c r="E107" s="19" t="s">
        <v>34</v>
      </c>
      <c r="F107" s="19" t="s">
        <v>34</v>
      </c>
      <c r="G107" s="19" t="s">
        <v>34</v>
      </c>
      <c r="H107" s="19" t="s">
        <v>34</v>
      </c>
      <c r="I107" s="19" t="s">
        <v>34</v>
      </c>
      <c r="J107" s="20"/>
      <c r="K107" s="20"/>
      <c r="L107" s="20"/>
      <c r="M107" s="19" t="s">
        <v>185</v>
      </c>
      <c r="N107" s="22"/>
    </row>
    <row r="108" ht="25.5" customHeight="1">
      <c r="A108" s="14" t="s">
        <v>155</v>
      </c>
      <c r="B108" s="15" t="s">
        <v>191</v>
      </c>
      <c r="C108" s="15" t="s">
        <v>184</v>
      </c>
      <c r="D108" s="15" t="s">
        <v>34</v>
      </c>
      <c r="E108" s="15" t="s">
        <v>34</v>
      </c>
      <c r="F108" s="15" t="s">
        <v>34</v>
      </c>
      <c r="G108" s="15" t="s">
        <v>34</v>
      </c>
      <c r="H108" s="15" t="s">
        <v>34</v>
      </c>
      <c r="I108" s="15" t="s">
        <v>34</v>
      </c>
      <c r="J108" s="16"/>
      <c r="K108" s="16"/>
      <c r="L108" s="16"/>
      <c r="M108" s="15" t="s">
        <v>185</v>
      </c>
      <c r="N108" s="23"/>
    </row>
    <row r="109" ht="25.5" customHeight="1">
      <c r="A109" s="18" t="s">
        <v>155</v>
      </c>
      <c r="B109" s="19" t="s">
        <v>192</v>
      </c>
      <c r="C109" s="19" t="s">
        <v>184</v>
      </c>
      <c r="D109" s="19" t="s">
        <v>34</v>
      </c>
      <c r="E109" s="19" t="s">
        <v>34</v>
      </c>
      <c r="F109" s="19" t="s">
        <v>34</v>
      </c>
      <c r="G109" s="19" t="s">
        <v>34</v>
      </c>
      <c r="H109" s="19" t="s">
        <v>34</v>
      </c>
      <c r="I109" s="19" t="s">
        <v>34</v>
      </c>
      <c r="J109" s="20"/>
      <c r="K109" s="20"/>
      <c r="L109" s="20"/>
      <c r="M109" s="19" t="s">
        <v>185</v>
      </c>
      <c r="N109" s="22"/>
    </row>
    <row r="110" ht="25.5" customHeight="1">
      <c r="A110" s="14" t="s">
        <v>155</v>
      </c>
      <c r="B110" s="15" t="s">
        <v>193</v>
      </c>
      <c r="C110" s="15" t="s">
        <v>184</v>
      </c>
      <c r="D110" s="15" t="s">
        <v>34</v>
      </c>
      <c r="E110" s="15" t="s">
        <v>34</v>
      </c>
      <c r="F110" s="15" t="s">
        <v>34</v>
      </c>
      <c r="G110" s="15" t="s">
        <v>34</v>
      </c>
      <c r="H110" s="15" t="s">
        <v>34</v>
      </c>
      <c r="I110" s="15" t="s">
        <v>34</v>
      </c>
      <c r="J110" s="16"/>
      <c r="K110" s="16"/>
      <c r="L110" s="16"/>
      <c r="M110" s="15" t="s">
        <v>185</v>
      </c>
      <c r="N110" s="23"/>
    </row>
    <row r="111" ht="25.5" customHeight="1">
      <c r="A111" s="18" t="s">
        <v>155</v>
      </c>
      <c r="B111" s="19" t="s">
        <v>133</v>
      </c>
      <c r="C111" s="19" t="s">
        <v>184</v>
      </c>
      <c r="D111" s="19" t="s">
        <v>34</v>
      </c>
      <c r="E111" s="19" t="s">
        <v>34</v>
      </c>
      <c r="F111" s="19" t="s">
        <v>34</v>
      </c>
      <c r="G111" s="19" t="s">
        <v>34</v>
      </c>
      <c r="H111" s="19" t="s">
        <v>34</v>
      </c>
      <c r="I111" s="19" t="s">
        <v>34</v>
      </c>
      <c r="J111" s="20"/>
      <c r="K111" s="20"/>
      <c r="L111" s="20"/>
      <c r="M111" s="19" t="s">
        <v>185</v>
      </c>
      <c r="N111" s="22"/>
    </row>
    <row r="112" ht="25.5" customHeight="1">
      <c r="A112" s="14" t="s">
        <v>155</v>
      </c>
      <c r="B112" s="15" t="s">
        <v>194</v>
      </c>
      <c r="C112" s="15" t="s">
        <v>184</v>
      </c>
      <c r="D112" s="15" t="s">
        <v>34</v>
      </c>
      <c r="E112" s="15" t="s">
        <v>34</v>
      </c>
      <c r="F112" s="15" t="s">
        <v>34</v>
      </c>
      <c r="G112" s="15" t="s">
        <v>34</v>
      </c>
      <c r="H112" s="15" t="s">
        <v>34</v>
      </c>
      <c r="I112" s="15" t="s">
        <v>34</v>
      </c>
      <c r="J112" s="16"/>
      <c r="K112" s="16"/>
      <c r="L112" s="16"/>
      <c r="M112" s="15" t="s">
        <v>185</v>
      </c>
      <c r="N112" s="23"/>
    </row>
    <row r="113" ht="25.5" customHeight="1">
      <c r="A113" s="18" t="s">
        <v>155</v>
      </c>
      <c r="B113" s="19" t="s">
        <v>195</v>
      </c>
      <c r="C113" s="19" t="s">
        <v>184</v>
      </c>
      <c r="D113" s="19" t="s">
        <v>34</v>
      </c>
      <c r="E113" s="19" t="s">
        <v>34</v>
      </c>
      <c r="F113" s="19" t="s">
        <v>34</v>
      </c>
      <c r="G113" s="19" t="s">
        <v>34</v>
      </c>
      <c r="H113" s="19" t="s">
        <v>34</v>
      </c>
      <c r="I113" s="19" t="s">
        <v>34</v>
      </c>
      <c r="J113" s="20"/>
      <c r="K113" s="20"/>
      <c r="L113" s="20"/>
      <c r="M113" s="19" t="s">
        <v>185</v>
      </c>
      <c r="N113" s="22"/>
    </row>
    <row r="114" ht="25.5" customHeight="1">
      <c r="A114" s="14" t="s">
        <v>155</v>
      </c>
      <c r="B114" s="15" t="s">
        <v>52</v>
      </c>
      <c r="C114" s="15" t="s">
        <v>184</v>
      </c>
      <c r="D114" s="15" t="s">
        <v>34</v>
      </c>
      <c r="E114" s="15" t="s">
        <v>34</v>
      </c>
      <c r="F114" s="15" t="s">
        <v>34</v>
      </c>
      <c r="G114" s="15" t="s">
        <v>34</v>
      </c>
      <c r="H114" s="15" t="s">
        <v>34</v>
      </c>
      <c r="I114" s="15" t="s">
        <v>34</v>
      </c>
      <c r="J114" s="16"/>
      <c r="K114" s="16"/>
      <c r="L114" s="16"/>
      <c r="M114" s="15" t="s">
        <v>185</v>
      </c>
      <c r="N114" s="23"/>
    </row>
    <row r="115" ht="25.5" customHeight="1">
      <c r="A115" s="18" t="s">
        <v>155</v>
      </c>
      <c r="B115" s="19" t="s">
        <v>196</v>
      </c>
      <c r="C115" s="19" t="s">
        <v>184</v>
      </c>
      <c r="D115" s="19" t="s">
        <v>34</v>
      </c>
      <c r="E115" s="19" t="s">
        <v>34</v>
      </c>
      <c r="F115" s="19" t="s">
        <v>34</v>
      </c>
      <c r="G115" s="19" t="s">
        <v>34</v>
      </c>
      <c r="H115" s="19" t="s">
        <v>34</v>
      </c>
      <c r="I115" s="19" t="s">
        <v>34</v>
      </c>
      <c r="J115" s="20"/>
      <c r="K115" s="20"/>
      <c r="L115" s="20"/>
      <c r="M115" s="19" t="s">
        <v>185</v>
      </c>
      <c r="N115" s="22"/>
    </row>
    <row r="116" ht="25.5" customHeight="1">
      <c r="A116" s="14" t="s">
        <v>155</v>
      </c>
      <c r="B116" s="15" t="s">
        <v>197</v>
      </c>
      <c r="C116" s="15" t="s">
        <v>184</v>
      </c>
      <c r="D116" s="15" t="s">
        <v>34</v>
      </c>
      <c r="E116" s="15" t="s">
        <v>34</v>
      </c>
      <c r="F116" s="15" t="s">
        <v>34</v>
      </c>
      <c r="G116" s="15" t="s">
        <v>34</v>
      </c>
      <c r="H116" s="15" t="s">
        <v>34</v>
      </c>
      <c r="I116" s="15" t="s">
        <v>34</v>
      </c>
      <c r="J116" s="16"/>
      <c r="K116" s="16"/>
      <c r="L116" s="16"/>
      <c r="M116" s="15" t="s">
        <v>185</v>
      </c>
      <c r="N116" s="23"/>
    </row>
    <row r="117" ht="25.5" customHeight="1">
      <c r="A117" s="18" t="s">
        <v>155</v>
      </c>
      <c r="B117" s="19" t="s">
        <v>198</v>
      </c>
      <c r="C117" s="19" t="s">
        <v>184</v>
      </c>
      <c r="D117" s="19" t="s">
        <v>34</v>
      </c>
      <c r="E117" s="19" t="s">
        <v>34</v>
      </c>
      <c r="F117" s="19" t="s">
        <v>34</v>
      </c>
      <c r="G117" s="19" t="s">
        <v>34</v>
      </c>
      <c r="H117" s="19" t="s">
        <v>34</v>
      </c>
      <c r="I117" s="19" t="s">
        <v>34</v>
      </c>
      <c r="J117" s="20"/>
      <c r="K117" s="20"/>
      <c r="L117" s="20"/>
      <c r="M117" s="19" t="s">
        <v>185</v>
      </c>
      <c r="N117" s="22"/>
    </row>
    <row r="118" ht="25.5" customHeight="1">
      <c r="A118" s="14" t="s">
        <v>155</v>
      </c>
      <c r="B118" s="15" t="s">
        <v>199</v>
      </c>
      <c r="C118" s="15" t="s">
        <v>184</v>
      </c>
      <c r="D118" s="15" t="s">
        <v>34</v>
      </c>
      <c r="E118" s="15" t="s">
        <v>34</v>
      </c>
      <c r="F118" s="15" t="s">
        <v>34</v>
      </c>
      <c r="G118" s="15" t="s">
        <v>34</v>
      </c>
      <c r="H118" s="15" t="s">
        <v>34</v>
      </c>
      <c r="I118" s="15" t="s">
        <v>34</v>
      </c>
      <c r="J118" s="16"/>
      <c r="K118" s="16"/>
      <c r="L118" s="16"/>
      <c r="M118" s="15" t="s">
        <v>185</v>
      </c>
      <c r="N118" s="23"/>
    </row>
    <row r="119" ht="25.5" customHeight="1">
      <c r="A119" s="18" t="s">
        <v>155</v>
      </c>
      <c r="B119" s="19" t="s">
        <v>41</v>
      </c>
      <c r="C119" s="19" t="s">
        <v>184</v>
      </c>
      <c r="D119" s="19" t="s">
        <v>34</v>
      </c>
      <c r="E119" s="19" t="s">
        <v>34</v>
      </c>
      <c r="F119" s="19" t="s">
        <v>34</v>
      </c>
      <c r="G119" s="19" t="s">
        <v>34</v>
      </c>
      <c r="H119" s="19" t="s">
        <v>34</v>
      </c>
      <c r="I119" s="19" t="s">
        <v>34</v>
      </c>
      <c r="J119" s="20"/>
      <c r="K119" s="20"/>
      <c r="L119" s="20"/>
      <c r="M119" s="19" t="s">
        <v>185</v>
      </c>
      <c r="N119" s="22"/>
    </row>
    <row r="120" ht="25.5" customHeight="1">
      <c r="A120" s="14" t="s">
        <v>200</v>
      </c>
      <c r="B120" s="15" t="s">
        <v>201</v>
      </c>
      <c r="C120" s="15" t="s">
        <v>29</v>
      </c>
      <c r="D120" s="15" t="s">
        <v>202</v>
      </c>
      <c r="E120" s="15" t="s">
        <v>32</v>
      </c>
      <c r="F120" s="15" t="s">
        <v>31</v>
      </c>
      <c r="G120" s="15" t="s">
        <v>32</v>
      </c>
      <c r="H120" s="15" t="s">
        <v>33</v>
      </c>
      <c r="I120" s="15" t="s">
        <v>34</v>
      </c>
      <c r="J120" s="15" t="s">
        <v>203</v>
      </c>
      <c r="K120" s="15"/>
      <c r="L120" s="16"/>
      <c r="M120" s="15" t="s">
        <v>36</v>
      </c>
      <c r="N120" s="23"/>
    </row>
    <row r="121" ht="25.5" customHeight="1">
      <c r="A121" s="18" t="s">
        <v>200</v>
      </c>
      <c r="B121" s="19" t="s">
        <v>204</v>
      </c>
      <c r="C121" s="19" t="s">
        <v>29</v>
      </c>
      <c r="D121" s="19" t="s">
        <v>202</v>
      </c>
      <c r="E121" s="19" t="s">
        <v>32</v>
      </c>
      <c r="F121" s="19" t="s">
        <v>31</v>
      </c>
      <c r="G121" s="19" t="s">
        <v>32</v>
      </c>
      <c r="H121" s="19" t="s">
        <v>33</v>
      </c>
      <c r="I121" s="24" t="s">
        <v>205</v>
      </c>
      <c r="J121" s="19" t="s">
        <v>206</v>
      </c>
      <c r="K121" s="19"/>
      <c r="L121" s="20"/>
      <c r="M121" s="19" t="s">
        <v>36</v>
      </c>
      <c r="N121" s="22"/>
    </row>
    <row r="122" ht="25.5" customHeight="1">
      <c r="A122" s="14" t="s">
        <v>200</v>
      </c>
      <c r="B122" s="15" t="s">
        <v>204</v>
      </c>
      <c r="C122" s="15" t="s">
        <v>29</v>
      </c>
      <c r="D122" s="15" t="s">
        <v>202</v>
      </c>
      <c r="E122" s="15" t="s">
        <v>32</v>
      </c>
      <c r="F122" s="15" t="s">
        <v>31</v>
      </c>
      <c r="G122" s="15" t="s">
        <v>32</v>
      </c>
      <c r="H122" s="15" t="s">
        <v>33</v>
      </c>
      <c r="I122" s="24" t="s">
        <v>207</v>
      </c>
      <c r="J122" s="15" t="s">
        <v>206</v>
      </c>
      <c r="K122" s="15"/>
      <c r="L122" s="16"/>
      <c r="M122" s="15" t="s">
        <v>36</v>
      </c>
      <c r="N122" s="23"/>
    </row>
    <row r="123" ht="25.5" customHeight="1">
      <c r="A123" s="18" t="s">
        <v>200</v>
      </c>
      <c r="B123" s="19" t="s">
        <v>208</v>
      </c>
      <c r="C123" s="19" t="s">
        <v>29</v>
      </c>
      <c r="D123" s="19" t="s">
        <v>209</v>
      </c>
      <c r="E123" s="19" t="s">
        <v>32</v>
      </c>
      <c r="F123" s="19" t="s">
        <v>31</v>
      </c>
      <c r="G123" s="19" t="s">
        <v>32</v>
      </c>
      <c r="H123" s="19" t="s">
        <v>33</v>
      </c>
      <c r="I123" s="24" t="s">
        <v>210</v>
      </c>
      <c r="J123" s="19" t="s">
        <v>90</v>
      </c>
      <c r="K123" s="19"/>
      <c r="L123" s="20"/>
      <c r="M123" s="19" t="s">
        <v>87</v>
      </c>
      <c r="N123" s="22"/>
    </row>
    <row r="124" ht="25.5" customHeight="1">
      <c r="A124" s="14" t="s">
        <v>200</v>
      </c>
      <c r="B124" s="15" t="s">
        <v>211</v>
      </c>
      <c r="C124" s="15" t="s">
        <v>29</v>
      </c>
      <c r="D124" s="15" t="s">
        <v>209</v>
      </c>
      <c r="E124" s="15" t="s">
        <v>32</v>
      </c>
      <c r="F124" s="15" t="s">
        <v>31</v>
      </c>
      <c r="G124" s="15" t="s">
        <v>32</v>
      </c>
      <c r="H124" s="15" t="s">
        <v>33</v>
      </c>
      <c r="I124" s="24" t="s">
        <v>210</v>
      </c>
      <c r="J124" s="15" t="s">
        <v>90</v>
      </c>
      <c r="K124" s="15"/>
      <c r="L124" s="16"/>
      <c r="M124" s="15" t="s">
        <v>87</v>
      </c>
      <c r="N124" s="23"/>
    </row>
    <row r="125" ht="25.5" customHeight="1">
      <c r="A125" s="18" t="s">
        <v>212</v>
      </c>
      <c r="B125" s="19" t="s">
        <v>213</v>
      </c>
      <c r="C125" s="19" t="s">
        <v>29</v>
      </c>
      <c r="D125" s="19" t="s">
        <v>214</v>
      </c>
      <c r="E125" s="19" t="s">
        <v>32</v>
      </c>
      <c r="F125" s="19" t="s">
        <v>31</v>
      </c>
      <c r="G125" s="19" t="s">
        <v>31</v>
      </c>
      <c r="H125" s="19" t="s">
        <v>34</v>
      </c>
      <c r="I125" s="19" t="s">
        <v>34</v>
      </c>
      <c r="J125" s="19" t="s">
        <v>215</v>
      </c>
      <c r="K125" s="19" t="s">
        <v>216</v>
      </c>
      <c r="L125" s="20"/>
      <c r="M125" s="19" t="s">
        <v>214</v>
      </c>
      <c r="N125" s="22"/>
    </row>
    <row r="126" ht="25.5" customHeight="1">
      <c r="A126" s="14" t="s">
        <v>212</v>
      </c>
      <c r="B126" s="15" t="s">
        <v>217</v>
      </c>
      <c r="C126" s="15" t="s">
        <v>29</v>
      </c>
      <c r="D126" s="15" t="s">
        <v>218</v>
      </c>
      <c r="E126" s="15" t="s">
        <v>32</v>
      </c>
      <c r="F126" s="15" t="s">
        <v>31</v>
      </c>
      <c r="G126" s="15" t="s">
        <v>32</v>
      </c>
      <c r="H126" s="15" t="s">
        <v>33</v>
      </c>
      <c r="I126" s="15" t="s">
        <v>219</v>
      </c>
      <c r="J126" s="15" t="s">
        <v>220</v>
      </c>
      <c r="K126" s="15"/>
      <c r="L126" s="16"/>
      <c r="M126" s="15" t="s">
        <v>214</v>
      </c>
      <c r="N126" s="23"/>
    </row>
    <row r="127" ht="25.5" customHeight="1">
      <c r="A127" s="18" t="s">
        <v>212</v>
      </c>
      <c r="B127" s="19" t="s">
        <v>221</v>
      </c>
      <c r="C127" s="19" t="s">
        <v>29</v>
      </c>
      <c r="D127" s="19" t="s">
        <v>218</v>
      </c>
      <c r="E127" s="19" t="s">
        <v>32</v>
      </c>
      <c r="F127" s="19" t="s">
        <v>31</v>
      </c>
      <c r="G127" s="19" t="s">
        <v>32</v>
      </c>
      <c r="H127" s="19" t="s">
        <v>33</v>
      </c>
      <c r="I127" s="19" t="s">
        <v>34</v>
      </c>
      <c r="J127" s="25" t="s">
        <v>222</v>
      </c>
      <c r="K127" s="25"/>
      <c r="L127" s="20"/>
      <c r="M127" s="19" t="s">
        <v>100</v>
      </c>
      <c r="N127" s="22"/>
    </row>
    <row r="128" ht="25.5" customHeight="1">
      <c r="A128" s="14" t="s">
        <v>212</v>
      </c>
      <c r="B128" s="15" t="s">
        <v>223</v>
      </c>
      <c r="C128" s="15" t="s">
        <v>29</v>
      </c>
      <c r="D128" s="15" t="s">
        <v>224</v>
      </c>
      <c r="E128" s="15" t="s">
        <v>32</v>
      </c>
      <c r="F128" s="15" t="s">
        <v>31</v>
      </c>
      <c r="G128" s="15" t="s">
        <v>32</v>
      </c>
      <c r="H128" s="15" t="s">
        <v>33</v>
      </c>
      <c r="I128" s="26" t="s">
        <v>225</v>
      </c>
      <c r="J128" s="15" t="s">
        <v>226</v>
      </c>
      <c r="K128" s="15"/>
      <c r="L128" s="16"/>
      <c r="M128" s="15" t="s">
        <v>100</v>
      </c>
      <c r="N128" s="23"/>
    </row>
    <row r="129" ht="25.5" customHeight="1">
      <c r="A129" s="18" t="s">
        <v>212</v>
      </c>
      <c r="B129" s="19" t="s">
        <v>227</v>
      </c>
      <c r="C129" s="19" t="s">
        <v>29</v>
      </c>
      <c r="D129" s="19" t="s">
        <v>224</v>
      </c>
      <c r="E129" s="19" t="s">
        <v>32</v>
      </c>
      <c r="F129" s="19" t="s">
        <v>31</v>
      </c>
      <c r="G129" s="19" t="s">
        <v>32</v>
      </c>
      <c r="H129" s="19" t="s">
        <v>33</v>
      </c>
      <c r="I129" s="26" t="s">
        <v>225</v>
      </c>
      <c r="J129" s="19" t="s">
        <v>226</v>
      </c>
      <c r="K129" s="19"/>
      <c r="L129" s="20"/>
      <c r="M129" s="19" t="s">
        <v>100</v>
      </c>
      <c r="N129" s="22"/>
    </row>
    <row r="130" ht="25.5" customHeight="1">
      <c r="A130" s="14" t="s">
        <v>212</v>
      </c>
      <c r="B130" s="15" t="s">
        <v>47</v>
      </c>
      <c r="C130" s="15" t="s">
        <v>29</v>
      </c>
      <c r="D130" s="15" t="s">
        <v>228</v>
      </c>
      <c r="E130" s="15" t="s">
        <v>32</v>
      </c>
      <c r="F130" s="15" t="s">
        <v>31</v>
      </c>
      <c r="G130" s="15" t="s">
        <v>32</v>
      </c>
      <c r="H130" s="15" t="s">
        <v>33</v>
      </c>
      <c r="I130" s="15" t="s">
        <v>34</v>
      </c>
      <c r="J130" s="15" t="s">
        <v>229</v>
      </c>
      <c r="K130" s="15"/>
      <c r="L130" s="16"/>
      <c r="M130" s="15" t="s">
        <v>141</v>
      </c>
      <c r="N130" s="23"/>
    </row>
    <row r="131" ht="25.5" customHeight="1">
      <c r="A131" s="18" t="s">
        <v>212</v>
      </c>
      <c r="B131" s="19" t="s">
        <v>230</v>
      </c>
      <c r="C131" s="19" t="s">
        <v>29</v>
      </c>
      <c r="D131" s="19" t="s">
        <v>228</v>
      </c>
      <c r="E131" s="19" t="s">
        <v>32</v>
      </c>
      <c r="F131" s="19" t="s">
        <v>31</v>
      </c>
      <c r="G131" s="19" t="s">
        <v>32</v>
      </c>
      <c r="H131" s="19" t="s">
        <v>33</v>
      </c>
      <c r="I131" s="19" t="s">
        <v>34</v>
      </c>
      <c r="J131" s="19" t="s">
        <v>229</v>
      </c>
      <c r="K131" s="19"/>
      <c r="L131" s="20"/>
      <c r="M131" s="19" t="s">
        <v>141</v>
      </c>
      <c r="N131" s="22"/>
    </row>
    <row r="132" ht="25.5" customHeight="1">
      <c r="A132" s="14" t="s">
        <v>212</v>
      </c>
      <c r="B132" s="15" t="s">
        <v>231</v>
      </c>
      <c r="C132" s="15" t="s">
        <v>29</v>
      </c>
      <c r="D132" s="15" t="s">
        <v>228</v>
      </c>
      <c r="E132" s="15" t="s">
        <v>32</v>
      </c>
      <c r="F132" s="15" t="s">
        <v>31</v>
      </c>
      <c r="G132" s="15" t="s">
        <v>32</v>
      </c>
      <c r="H132" s="15" t="s">
        <v>33</v>
      </c>
      <c r="I132" s="15" t="s">
        <v>34</v>
      </c>
      <c r="J132" s="15" t="s">
        <v>229</v>
      </c>
      <c r="K132" s="15"/>
      <c r="L132" s="16"/>
      <c r="M132" s="15" t="s">
        <v>141</v>
      </c>
      <c r="N132" s="23"/>
    </row>
    <row r="133" ht="25.5" customHeight="1">
      <c r="A133" s="18" t="s">
        <v>232</v>
      </c>
      <c r="B133" s="19" t="s">
        <v>83</v>
      </c>
      <c r="C133" s="19" t="s">
        <v>29</v>
      </c>
      <c r="D133" s="19" t="s">
        <v>233</v>
      </c>
      <c r="E133" s="19" t="s">
        <v>117</v>
      </c>
      <c r="F133" s="19" t="s">
        <v>117</v>
      </c>
      <c r="G133" s="19" t="s">
        <v>117</v>
      </c>
      <c r="H133" s="19" t="s">
        <v>117</v>
      </c>
      <c r="I133" s="19" t="s">
        <v>117</v>
      </c>
      <c r="J133" s="19" t="s">
        <v>234</v>
      </c>
      <c r="K133" s="19" t="s">
        <v>117</v>
      </c>
      <c r="L133" s="20"/>
      <c r="M133" s="19" t="s">
        <v>235</v>
      </c>
      <c r="N133" s="22"/>
    </row>
    <row r="134" ht="25.5" customHeight="1">
      <c r="A134" s="14" t="s">
        <v>232</v>
      </c>
      <c r="B134" s="15" t="s">
        <v>83</v>
      </c>
      <c r="C134" s="15" t="s">
        <v>29</v>
      </c>
      <c r="D134" s="15" t="s">
        <v>233</v>
      </c>
      <c r="E134" s="15" t="s">
        <v>117</v>
      </c>
      <c r="F134" s="15" t="s">
        <v>117</v>
      </c>
      <c r="G134" s="15" t="s">
        <v>117</v>
      </c>
      <c r="H134" s="15" t="s">
        <v>117</v>
      </c>
      <c r="I134" s="15" t="s">
        <v>117</v>
      </c>
      <c r="J134" s="15" t="s">
        <v>236</v>
      </c>
      <c r="K134" s="15" t="s">
        <v>117</v>
      </c>
      <c r="L134" s="16"/>
      <c r="M134" s="15" t="s">
        <v>235</v>
      </c>
      <c r="N134" s="23"/>
    </row>
    <row r="135" ht="25.5" customHeight="1">
      <c r="A135" s="18" t="s">
        <v>232</v>
      </c>
      <c r="B135" s="19" t="s">
        <v>83</v>
      </c>
      <c r="C135" s="19" t="s">
        <v>29</v>
      </c>
      <c r="D135" s="19" t="s">
        <v>233</v>
      </c>
      <c r="E135" s="19" t="s">
        <v>117</v>
      </c>
      <c r="F135" s="19" t="s">
        <v>117</v>
      </c>
      <c r="G135" s="19" t="s">
        <v>117</v>
      </c>
      <c r="H135" s="19" t="s">
        <v>117</v>
      </c>
      <c r="I135" s="19" t="s">
        <v>117</v>
      </c>
      <c r="J135" s="19" t="s">
        <v>237</v>
      </c>
      <c r="K135" s="19" t="s">
        <v>117</v>
      </c>
      <c r="L135" s="20"/>
      <c r="M135" s="19" t="s">
        <v>235</v>
      </c>
      <c r="N135" s="22"/>
    </row>
    <row r="136" ht="25.5" customHeight="1">
      <c r="A136" s="14" t="s">
        <v>232</v>
      </c>
      <c r="B136" s="15" t="s">
        <v>83</v>
      </c>
      <c r="C136" s="15" t="s">
        <v>29</v>
      </c>
      <c r="D136" s="15" t="s">
        <v>233</v>
      </c>
      <c r="E136" s="15" t="s">
        <v>117</v>
      </c>
      <c r="F136" s="15" t="s">
        <v>117</v>
      </c>
      <c r="G136" s="15" t="s">
        <v>117</v>
      </c>
      <c r="H136" s="15" t="s">
        <v>117</v>
      </c>
      <c r="I136" s="15" t="s">
        <v>117</v>
      </c>
      <c r="J136" s="15" t="s">
        <v>238</v>
      </c>
      <c r="K136" s="15" t="s">
        <v>117</v>
      </c>
      <c r="L136" s="16"/>
      <c r="M136" s="15" t="s">
        <v>235</v>
      </c>
      <c r="N136" s="23"/>
    </row>
    <row r="137" ht="25.5" customHeight="1">
      <c r="A137" s="18" t="s">
        <v>232</v>
      </c>
      <c r="B137" s="19" t="s">
        <v>83</v>
      </c>
      <c r="C137" s="19" t="s">
        <v>29</v>
      </c>
      <c r="D137" s="19" t="s">
        <v>233</v>
      </c>
      <c r="E137" s="19" t="s">
        <v>117</v>
      </c>
      <c r="F137" s="19" t="s">
        <v>117</v>
      </c>
      <c r="G137" s="19" t="s">
        <v>117</v>
      </c>
      <c r="H137" s="19" t="s">
        <v>117</v>
      </c>
      <c r="I137" s="19" t="s">
        <v>117</v>
      </c>
      <c r="J137" s="19" t="s">
        <v>239</v>
      </c>
      <c r="K137" s="19" t="s">
        <v>117</v>
      </c>
      <c r="L137" s="20"/>
      <c r="M137" s="19" t="s">
        <v>235</v>
      </c>
      <c r="N137" s="22"/>
    </row>
    <row r="138" ht="25.5" customHeight="1">
      <c r="A138" s="14" t="s">
        <v>232</v>
      </c>
      <c r="B138" s="15" t="s">
        <v>231</v>
      </c>
      <c r="C138" s="15" t="s">
        <v>29</v>
      </c>
      <c r="D138" s="15" t="s">
        <v>233</v>
      </c>
      <c r="E138" s="15" t="s">
        <v>117</v>
      </c>
      <c r="F138" s="15" t="s">
        <v>117</v>
      </c>
      <c r="G138" s="15" t="s">
        <v>117</v>
      </c>
      <c r="H138" s="15" t="s">
        <v>117</v>
      </c>
      <c r="I138" s="15" t="s">
        <v>117</v>
      </c>
      <c r="J138" s="15" t="s">
        <v>240</v>
      </c>
      <c r="K138" s="15" t="s">
        <v>117</v>
      </c>
      <c r="L138" s="16"/>
      <c r="M138" s="15" t="s">
        <v>235</v>
      </c>
      <c r="N138" s="23"/>
    </row>
    <row r="139" ht="25.5" customHeight="1">
      <c r="A139" s="18" t="s">
        <v>232</v>
      </c>
      <c r="B139" s="19" t="s">
        <v>83</v>
      </c>
      <c r="C139" s="19" t="s">
        <v>29</v>
      </c>
      <c r="D139" s="19" t="s">
        <v>233</v>
      </c>
      <c r="E139" s="19" t="s">
        <v>117</v>
      </c>
      <c r="F139" s="19" t="s">
        <v>117</v>
      </c>
      <c r="G139" s="19" t="s">
        <v>117</v>
      </c>
      <c r="H139" s="19" t="s">
        <v>117</v>
      </c>
      <c r="I139" s="19" t="s">
        <v>117</v>
      </c>
      <c r="J139" s="19" t="s">
        <v>241</v>
      </c>
      <c r="K139" s="19" t="s">
        <v>117</v>
      </c>
      <c r="L139" s="20"/>
      <c r="M139" s="19" t="s">
        <v>235</v>
      </c>
      <c r="N139" s="22"/>
    </row>
    <row r="140" ht="25.5" customHeight="1">
      <c r="A140" s="14" t="s">
        <v>232</v>
      </c>
      <c r="B140" s="15" t="s">
        <v>242</v>
      </c>
      <c r="C140" s="15" t="s">
        <v>29</v>
      </c>
      <c r="D140" s="15" t="s">
        <v>233</v>
      </c>
      <c r="E140" s="15" t="s">
        <v>117</v>
      </c>
      <c r="F140" s="15" t="s">
        <v>117</v>
      </c>
      <c r="G140" s="15" t="s">
        <v>117</v>
      </c>
      <c r="H140" s="15" t="s">
        <v>117</v>
      </c>
      <c r="I140" s="15" t="s">
        <v>117</v>
      </c>
      <c r="J140" s="15" t="s">
        <v>243</v>
      </c>
      <c r="K140" s="15" t="s">
        <v>117</v>
      </c>
      <c r="L140" s="16"/>
      <c r="M140" s="15" t="s">
        <v>235</v>
      </c>
      <c r="N140" s="23"/>
    </row>
    <row r="141" ht="25.5" customHeight="1">
      <c r="A141" s="18" t="s">
        <v>232</v>
      </c>
      <c r="B141" s="19" t="s">
        <v>83</v>
      </c>
      <c r="C141" s="19" t="s">
        <v>29</v>
      </c>
      <c r="D141" s="19" t="s">
        <v>233</v>
      </c>
      <c r="E141" s="19" t="s">
        <v>117</v>
      </c>
      <c r="F141" s="19" t="s">
        <v>117</v>
      </c>
      <c r="G141" s="19" t="s">
        <v>117</v>
      </c>
      <c r="H141" s="19" t="s">
        <v>117</v>
      </c>
      <c r="I141" s="19" t="s">
        <v>117</v>
      </c>
      <c r="J141" s="19" t="s">
        <v>244</v>
      </c>
      <c r="K141" s="19" t="s">
        <v>117</v>
      </c>
      <c r="L141" s="20"/>
      <c r="M141" s="19" t="s">
        <v>235</v>
      </c>
      <c r="N141" s="22"/>
    </row>
    <row r="142" ht="25.5" customHeight="1">
      <c r="A142" s="14" t="s">
        <v>245</v>
      </c>
      <c r="B142" s="15" t="s">
        <v>201</v>
      </c>
      <c r="C142" s="15" t="s">
        <v>29</v>
      </c>
      <c r="D142" s="15" t="s">
        <v>36</v>
      </c>
      <c r="E142" s="15" t="s">
        <v>32</v>
      </c>
      <c r="F142" s="15" t="s">
        <v>31</v>
      </c>
      <c r="G142" s="15" t="s">
        <v>32</v>
      </c>
      <c r="H142" s="15" t="s">
        <v>33</v>
      </c>
      <c r="I142" s="15" t="s">
        <v>34</v>
      </c>
      <c r="J142" s="15" t="s">
        <v>246</v>
      </c>
      <c r="K142" s="15"/>
      <c r="L142" s="16"/>
      <c r="M142" s="15" t="s">
        <v>36</v>
      </c>
      <c r="N142" s="23"/>
    </row>
    <row r="143" ht="25.5" customHeight="1">
      <c r="A143" s="18" t="s">
        <v>245</v>
      </c>
      <c r="B143" s="19" t="s">
        <v>247</v>
      </c>
      <c r="C143" s="19" t="s">
        <v>29</v>
      </c>
      <c r="D143" s="19" t="s">
        <v>248</v>
      </c>
      <c r="E143" s="19" t="s">
        <v>31</v>
      </c>
      <c r="F143" s="19" t="s">
        <v>32</v>
      </c>
      <c r="G143" s="19" t="s">
        <v>32</v>
      </c>
      <c r="H143" s="19" t="s">
        <v>33</v>
      </c>
      <c r="I143" s="19" t="s">
        <v>34</v>
      </c>
      <c r="J143" s="19" t="s">
        <v>249</v>
      </c>
      <c r="K143" s="19"/>
      <c r="L143" s="19" t="s">
        <v>250</v>
      </c>
      <c r="M143" s="19" t="s">
        <v>251</v>
      </c>
      <c r="N143" s="22"/>
    </row>
    <row r="144" ht="25.5" customHeight="1">
      <c r="A144" s="14" t="s">
        <v>245</v>
      </c>
      <c r="B144" s="15" t="s">
        <v>252</v>
      </c>
      <c r="C144" s="15" t="s">
        <v>29</v>
      </c>
      <c r="D144" s="15" t="s">
        <v>248</v>
      </c>
      <c r="E144" s="15" t="s">
        <v>31</v>
      </c>
      <c r="F144" s="15" t="s">
        <v>32</v>
      </c>
      <c r="G144" s="15" t="s">
        <v>32</v>
      </c>
      <c r="H144" s="15" t="s">
        <v>33</v>
      </c>
      <c r="I144" s="15" t="s">
        <v>34</v>
      </c>
      <c r="J144" s="15" t="s">
        <v>249</v>
      </c>
      <c r="K144" s="15"/>
      <c r="L144" s="15" t="s">
        <v>250</v>
      </c>
      <c r="M144" s="15" t="s">
        <v>251</v>
      </c>
      <c r="N144" s="23"/>
    </row>
    <row r="145" ht="25.5" customHeight="1">
      <c r="A145" s="18" t="s">
        <v>245</v>
      </c>
      <c r="B145" s="19" t="s">
        <v>211</v>
      </c>
      <c r="C145" s="19" t="s">
        <v>29</v>
      </c>
      <c r="D145" s="19" t="s">
        <v>253</v>
      </c>
      <c r="E145" s="19" t="s">
        <v>32</v>
      </c>
      <c r="F145" s="19" t="s">
        <v>32</v>
      </c>
      <c r="G145" s="19" t="s">
        <v>32</v>
      </c>
      <c r="H145" s="19" t="s">
        <v>33</v>
      </c>
      <c r="I145" s="19" t="s">
        <v>34</v>
      </c>
      <c r="J145" s="19" t="s">
        <v>249</v>
      </c>
      <c r="K145" s="19"/>
      <c r="L145" s="19" t="s">
        <v>250</v>
      </c>
      <c r="M145" s="19" t="s">
        <v>254</v>
      </c>
      <c r="N145" s="22"/>
    </row>
    <row r="146" ht="25.5" customHeight="1">
      <c r="A146" s="14" t="s">
        <v>245</v>
      </c>
      <c r="B146" s="15" t="s">
        <v>208</v>
      </c>
      <c r="C146" s="15" t="s">
        <v>29</v>
      </c>
      <c r="D146" s="15" t="s">
        <v>253</v>
      </c>
      <c r="E146" s="15" t="s">
        <v>32</v>
      </c>
      <c r="F146" s="15" t="s">
        <v>31</v>
      </c>
      <c r="G146" s="15" t="s">
        <v>32</v>
      </c>
      <c r="H146" s="15" t="s">
        <v>33</v>
      </c>
      <c r="I146" s="15" t="s">
        <v>34</v>
      </c>
      <c r="J146" s="15" t="s">
        <v>249</v>
      </c>
      <c r="K146" s="15"/>
      <c r="L146" s="16"/>
      <c r="M146" s="15" t="s">
        <v>254</v>
      </c>
      <c r="N146" s="23"/>
    </row>
    <row r="147" ht="25.5" customHeight="1">
      <c r="A147" s="18" t="s">
        <v>245</v>
      </c>
      <c r="B147" s="19" t="s">
        <v>44</v>
      </c>
      <c r="C147" s="19" t="s">
        <v>29</v>
      </c>
      <c r="D147" s="19" t="s">
        <v>253</v>
      </c>
      <c r="E147" s="19" t="s">
        <v>31</v>
      </c>
      <c r="F147" s="19" t="s">
        <v>31</v>
      </c>
      <c r="G147" s="19" t="s">
        <v>32</v>
      </c>
      <c r="H147" s="19" t="s">
        <v>33</v>
      </c>
      <c r="I147" s="19" t="s">
        <v>34</v>
      </c>
      <c r="J147" s="19" t="s">
        <v>249</v>
      </c>
      <c r="K147" s="19"/>
      <c r="L147" s="20"/>
      <c r="M147" s="19" t="s">
        <v>254</v>
      </c>
      <c r="N147" s="22"/>
    </row>
    <row r="148" ht="25.5" customHeight="1">
      <c r="A148" s="14" t="s">
        <v>245</v>
      </c>
      <c r="B148" s="15" t="s">
        <v>200</v>
      </c>
      <c r="C148" s="15" t="s">
        <v>255</v>
      </c>
      <c r="D148" s="15" t="s">
        <v>253</v>
      </c>
      <c r="E148" s="15" t="s">
        <v>31</v>
      </c>
      <c r="F148" s="15" t="s">
        <v>31</v>
      </c>
      <c r="G148" s="15" t="s">
        <v>32</v>
      </c>
      <c r="H148" s="15" t="s">
        <v>33</v>
      </c>
      <c r="I148" s="15" t="s">
        <v>34</v>
      </c>
      <c r="J148" s="15" t="s">
        <v>249</v>
      </c>
      <c r="K148" s="15"/>
      <c r="L148" s="16"/>
      <c r="M148" s="15" t="s">
        <v>254</v>
      </c>
      <c r="N148" s="23"/>
    </row>
    <row r="149" ht="25.5" customHeight="1">
      <c r="A149" s="18" t="s">
        <v>211</v>
      </c>
      <c r="B149" s="19" t="s">
        <v>201</v>
      </c>
      <c r="C149" s="19" t="s">
        <v>69</v>
      </c>
      <c r="D149" s="19" t="s">
        <v>36</v>
      </c>
      <c r="E149" s="19" t="s">
        <v>34</v>
      </c>
      <c r="F149" s="19" t="s">
        <v>34</v>
      </c>
      <c r="G149" s="19" t="s">
        <v>34</v>
      </c>
      <c r="H149" s="19" t="s">
        <v>34</v>
      </c>
      <c r="I149" s="19" t="s">
        <v>34</v>
      </c>
      <c r="J149" s="19" t="s">
        <v>256</v>
      </c>
      <c r="K149" s="19"/>
      <c r="L149" s="20"/>
      <c r="M149" s="19" t="s">
        <v>36</v>
      </c>
      <c r="N149" s="22"/>
    </row>
    <row r="150" ht="25.5" customHeight="1">
      <c r="A150" s="14" t="s">
        <v>211</v>
      </c>
      <c r="B150" s="15" t="s">
        <v>201</v>
      </c>
      <c r="C150" s="15" t="s">
        <v>69</v>
      </c>
      <c r="D150" s="15" t="s">
        <v>257</v>
      </c>
      <c r="E150" s="15" t="s">
        <v>34</v>
      </c>
      <c r="F150" s="15" t="s">
        <v>34</v>
      </c>
      <c r="G150" s="15" t="s">
        <v>34</v>
      </c>
      <c r="H150" s="15" t="s">
        <v>34</v>
      </c>
      <c r="I150" s="15" t="s">
        <v>34</v>
      </c>
      <c r="J150" s="15" t="s">
        <v>257</v>
      </c>
      <c r="K150" s="15"/>
      <c r="L150" s="16"/>
      <c r="M150" s="15" t="s">
        <v>36</v>
      </c>
      <c r="N150" s="23"/>
    </row>
    <row r="151" ht="25.5" customHeight="1">
      <c r="A151" s="18" t="s">
        <v>211</v>
      </c>
      <c r="B151" s="19" t="s">
        <v>258</v>
      </c>
      <c r="C151" s="19" t="s">
        <v>69</v>
      </c>
      <c r="D151" s="19" t="s">
        <v>257</v>
      </c>
      <c r="E151" s="19" t="s">
        <v>34</v>
      </c>
      <c r="F151" s="19" t="s">
        <v>34</v>
      </c>
      <c r="G151" s="19" t="s">
        <v>34</v>
      </c>
      <c r="H151" s="19" t="s">
        <v>34</v>
      </c>
      <c r="I151" s="19" t="s">
        <v>34</v>
      </c>
      <c r="J151" s="19" t="s">
        <v>259</v>
      </c>
      <c r="K151" s="19"/>
      <c r="L151" s="20"/>
      <c r="M151" s="19" t="s">
        <v>100</v>
      </c>
      <c r="N151" s="22"/>
    </row>
    <row r="152" ht="25.5" customHeight="1">
      <c r="A152" s="14" t="s">
        <v>211</v>
      </c>
      <c r="B152" s="15" t="s">
        <v>213</v>
      </c>
      <c r="C152" s="15" t="s">
        <v>69</v>
      </c>
      <c r="D152" s="15" t="s">
        <v>257</v>
      </c>
      <c r="E152" s="15" t="s">
        <v>34</v>
      </c>
      <c r="F152" s="15" t="s">
        <v>34</v>
      </c>
      <c r="G152" s="15" t="s">
        <v>34</v>
      </c>
      <c r="H152" s="15" t="s">
        <v>34</v>
      </c>
      <c r="I152" s="15" t="s">
        <v>34</v>
      </c>
      <c r="J152" s="15" t="s">
        <v>259</v>
      </c>
      <c r="K152" s="15"/>
      <c r="L152" s="16"/>
      <c r="M152" s="15" t="s">
        <v>100</v>
      </c>
      <c r="N152" s="23"/>
    </row>
    <row r="153" ht="25.5" customHeight="1">
      <c r="A153" s="18" t="s">
        <v>211</v>
      </c>
      <c r="B153" s="19" t="s">
        <v>260</v>
      </c>
      <c r="C153" s="19" t="s">
        <v>69</v>
      </c>
      <c r="D153" s="19" t="s">
        <v>257</v>
      </c>
      <c r="E153" s="19" t="s">
        <v>34</v>
      </c>
      <c r="F153" s="19" t="s">
        <v>34</v>
      </c>
      <c r="G153" s="19" t="s">
        <v>34</v>
      </c>
      <c r="H153" s="19" t="s">
        <v>34</v>
      </c>
      <c r="I153" s="19" t="s">
        <v>34</v>
      </c>
      <c r="J153" s="19" t="s">
        <v>259</v>
      </c>
      <c r="K153" s="19"/>
      <c r="L153" s="20"/>
      <c r="M153" s="19" t="s">
        <v>100</v>
      </c>
      <c r="N153" s="22"/>
    </row>
    <row r="154" ht="25.5" customHeight="1">
      <c r="A154" s="14" t="s">
        <v>211</v>
      </c>
      <c r="B154" s="15" t="s">
        <v>261</v>
      </c>
      <c r="C154" s="15" t="s">
        <v>69</v>
      </c>
      <c r="D154" s="15" t="s">
        <v>257</v>
      </c>
      <c r="E154" s="15" t="s">
        <v>34</v>
      </c>
      <c r="F154" s="15" t="s">
        <v>34</v>
      </c>
      <c r="G154" s="15" t="s">
        <v>34</v>
      </c>
      <c r="H154" s="15" t="s">
        <v>34</v>
      </c>
      <c r="I154" s="15" t="s">
        <v>34</v>
      </c>
      <c r="J154" s="15" t="s">
        <v>259</v>
      </c>
      <c r="K154" s="15"/>
      <c r="L154" s="16"/>
      <c r="M154" s="15" t="s">
        <v>100</v>
      </c>
      <c r="N154" s="23"/>
    </row>
    <row r="155" ht="25.5" customHeight="1">
      <c r="A155" s="18" t="s">
        <v>211</v>
      </c>
      <c r="B155" s="19" t="s">
        <v>262</v>
      </c>
      <c r="C155" s="19" t="s">
        <v>69</v>
      </c>
      <c r="D155" s="19" t="s">
        <v>257</v>
      </c>
      <c r="E155" s="19" t="s">
        <v>34</v>
      </c>
      <c r="F155" s="19" t="s">
        <v>34</v>
      </c>
      <c r="G155" s="19" t="s">
        <v>34</v>
      </c>
      <c r="H155" s="19" t="s">
        <v>34</v>
      </c>
      <c r="I155" s="19" t="s">
        <v>34</v>
      </c>
      <c r="J155" s="19" t="s">
        <v>259</v>
      </c>
      <c r="K155" s="19"/>
      <c r="L155" s="20"/>
      <c r="M155" s="19" t="s">
        <v>100</v>
      </c>
      <c r="N155" s="22"/>
    </row>
    <row r="156" ht="25.5" customHeight="1">
      <c r="A156" s="14" t="s">
        <v>211</v>
      </c>
      <c r="B156" s="15" t="s">
        <v>263</v>
      </c>
      <c r="C156" s="15" t="s">
        <v>69</v>
      </c>
      <c r="D156" s="15" t="s">
        <v>257</v>
      </c>
      <c r="E156" s="15" t="s">
        <v>34</v>
      </c>
      <c r="F156" s="15" t="s">
        <v>34</v>
      </c>
      <c r="G156" s="15" t="s">
        <v>34</v>
      </c>
      <c r="H156" s="15" t="s">
        <v>34</v>
      </c>
      <c r="I156" s="15" t="s">
        <v>34</v>
      </c>
      <c r="J156" s="15" t="s">
        <v>259</v>
      </c>
      <c r="K156" s="15"/>
      <c r="L156" s="16"/>
      <c r="M156" s="15" t="s">
        <v>100</v>
      </c>
      <c r="N156" s="23"/>
    </row>
    <row r="157" ht="25.5" customHeight="1">
      <c r="A157" s="18" t="s">
        <v>211</v>
      </c>
      <c r="B157" s="19" t="s">
        <v>264</v>
      </c>
      <c r="C157" s="19" t="s">
        <v>69</v>
      </c>
      <c r="D157" s="19" t="s">
        <v>257</v>
      </c>
      <c r="E157" s="19" t="s">
        <v>34</v>
      </c>
      <c r="F157" s="19" t="s">
        <v>34</v>
      </c>
      <c r="G157" s="19" t="s">
        <v>34</v>
      </c>
      <c r="H157" s="19" t="s">
        <v>34</v>
      </c>
      <c r="I157" s="19" t="s">
        <v>34</v>
      </c>
      <c r="J157" s="19" t="s">
        <v>259</v>
      </c>
      <c r="K157" s="19"/>
      <c r="L157" s="20"/>
      <c r="M157" s="19" t="s">
        <v>265</v>
      </c>
      <c r="N157" s="22"/>
    </row>
    <row r="158" ht="25.5" customHeight="1">
      <c r="A158" s="14" t="s">
        <v>211</v>
      </c>
      <c r="B158" s="15" t="s">
        <v>266</v>
      </c>
      <c r="C158" s="15" t="s">
        <v>69</v>
      </c>
      <c r="D158" s="15" t="s">
        <v>257</v>
      </c>
      <c r="E158" s="15" t="s">
        <v>34</v>
      </c>
      <c r="F158" s="15" t="s">
        <v>34</v>
      </c>
      <c r="G158" s="15" t="s">
        <v>34</v>
      </c>
      <c r="H158" s="15" t="s">
        <v>34</v>
      </c>
      <c r="I158" s="15" t="s">
        <v>34</v>
      </c>
      <c r="J158" s="15" t="s">
        <v>259</v>
      </c>
      <c r="K158" s="15"/>
      <c r="L158" s="16"/>
      <c r="M158" s="15" t="s">
        <v>100</v>
      </c>
      <c r="N158" s="23"/>
    </row>
    <row r="159" ht="25.5" customHeight="1">
      <c r="A159" s="18" t="s">
        <v>211</v>
      </c>
      <c r="B159" s="19" t="s">
        <v>267</v>
      </c>
      <c r="C159" s="19" t="s">
        <v>69</v>
      </c>
      <c r="D159" s="19" t="s">
        <v>257</v>
      </c>
      <c r="E159" s="19" t="s">
        <v>34</v>
      </c>
      <c r="F159" s="19" t="s">
        <v>34</v>
      </c>
      <c r="G159" s="19" t="s">
        <v>34</v>
      </c>
      <c r="H159" s="19" t="s">
        <v>34</v>
      </c>
      <c r="I159" s="19" t="s">
        <v>34</v>
      </c>
      <c r="J159" s="19" t="s">
        <v>259</v>
      </c>
      <c r="K159" s="19"/>
      <c r="L159" s="20"/>
      <c r="M159" s="19" t="s">
        <v>100</v>
      </c>
      <c r="N159" s="22"/>
    </row>
    <row r="160" ht="25.5" customHeight="1">
      <c r="A160" s="14" t="s">
        <v>211</v>
      </c>
      <c r="B160" s="15" t="s">
        <v>268</v>
      </c>
      <c r="C160" s="15" t="s">
        <v>69</v>
      </c>
      <c r="D160" s="15" t="s">
        <v>257</v>
      </c>
      <c r="E160" s="15" t="s">
        <v>34</v>
      </c>
      <c r="F160" s="15" t="s">
        <v>34</v>
      </c>
      <c r="G160" s="15" t="s">
        <v>34</v>
      </c>
      <c r="H160" s="15" t="s">
        <v>34</v>
      </c>
      <c r="I160" s="15" t="s">
        <v>34</v>
      </c>
      <c r="J160" s="15" t="s">
        <v>259</v>
      </c>
      <c r="K160" s="15"/>
      <c r="L160" s="16"/>
      <c r="M160" s="15" t="s">
        <v>100</v>
      </c>
      <c r="N160" s="23"/>
    </row>
    <row r="161" ht="25.5" customHeight="1">
      <c r="A161" s="18" t="s">
        <v>211</v>
      </c>
      <c r="B161" s="19" t="s">
        <v>269</v>
      </c>
      <c r="C161" s="19" t="s">
        <v>69</v>
      </c>
      <c r="D161" s="19" t="s">
        <v>257</v>
      </c>
      <c r="E161" s="19" t="s">
        <v>34</v>
      </c>
      <c r="F161" s="19" t="s">
        <v>34</v>
      </c>
      <c r="G161" s="19" t="s">
        <v>34</v>
      </c>
      <c r="H161" s="19" t="s">
        <v>34</v>
      </c>
      <c r="I161" s="19" t="s">
        <v>34</v>
      </c>
      <c r="J161" s="19" t="s">
        <v>259</v>
      </c>
      <c r="K161" s="19"/>
      <c r="L161" s="20"/>
      <c r="M161" s="19" t="s">
        <v>100</v>
      </c>
      <c r="N161" s="22"/>
    </row>
    <row r="162" ht="25.5" customHeight="1">
      <c r="A162" s="14" t="s">
        <v>211</v>
      </c>
      <c r="B162" s="15" t="s">
        <v>270</v>
      </c>
      <c r="C162" s="15" t="s">
        <v>69</v>
      </c>
      <c r="D162" s="15" t="s">
        <v>257</v>
      </c>
      <c r="E162" s="15" t="s">
        <v>34</v>
      </c>
      <c r="F162" s="15" t="s">
        <v>34</v>
      </c>
      <c r="G162" s="15" t="s">
        <v>34</v>
      </c>
      <c r="H162" s="15" t="s">
        <v>34</v>
      </c>
      <c r="I162" s="15" t="s">
        <v>34</v>
      </c>
      <c r="J162" s="15" t="s">
        <v>259</v>
      </c>
      <c r="K162" s="15"/>
      <c r="L162" s="16"/>
      <c r="M162" s="15" t="s">
        <v>100</v>
      </c>
      <c r="N162" s="23"/>
    </row>
    <row r="163" ht="25.5" customHeight="1">
      <c r="A163" s="18" t="s">
        <v>211</v>
      </c>
      <c r="B163" s="19" t="s">
        <v>271</v>
      </c>
      <c r="C163" s="19" t="s">
        <v>69</v>
      </c>
      <c r="D163" s="19" t="s">
        <v>257</v>
      </c>
      <c r="E163" s="19" t="s">
        <v>34</v>
      </c>
      <c r="F163" s="19" t="s">
        <v>34</v>
      </c>
      <c r="G163" s="19" t="s">
        <v>34</v>
      </c>
      <c r="H163" s="19" t="s">
        <v>34</v>
      </c>
      <c r="I163" s="19" t="s">
        <v>34</v>
      </c>
      <c r="J163" s="19" t="s">
        <v>259</v>
      </c>
      <c r="K163" s="19"/>
      <c r="L163" s="20"/>
      <c r="M163" s="19" t="s">
        <v>100</v>
      </c>
      <c r="N163" s="22"/>
    </row>
    <row r="164" ht="25.5" customHeight="1">
      <c r="A164" s="14" t="s">
        <v>211</v>
      </c>
      <c r="B164" s="15" t="s">
        <v>272</v>
      </c>
      <c r="C164" s="15" t="s">
        <v>69</v>
      </c>
      <c r="D164" s="15" t="s">
        <v>257</v>
      </c>
      <c r="E164" s="15" t="s">
        <v>34</v>
      </c>
      <c r="F164" s="15" t="s">
        <v>34</v>
      </c>
      <c r="G164" s="15" t="s">
        <v>34</v>
      </c>
      <c r="H164" s="15" t="s">
        <v>34</v>
      </c>
      <c r="I164" s="15" t="s">
        <v>34</v>
      </c>
      <c r="J164" s="15" t="s">
        <v>259</v>
      </c>
      <c r="K164" s="15"/>
      <c r="L164" s="16"/>
      <c r="M164" s="15" t="s">
        <v>100</v>
      </c>
      <c r="N164" s="23"/>
    </row>
    <row r="165" ht="25.5" customHeight="1">
      <c r="A165" s="18" t="s">
        <v>211</v>
      </c>
      <c r="B165" s="19" t="s">
        <v>273</v>
      </c>
      <c r="C165" s="19" t="s">
        <v>69</v>
      </c>
      <c r="D165" s="19" t="s">
        <v>257</v>
      </c>
      <c r="E165" s="19" t="s">
        <v>34</v>
      </c>
      <c r="F165" s="19" t="s">
        <v>34</v>
      </c>
      <c r="G165" s="19" t="s">
        <v>34</v>
      </c>
      <c r="H165" s="19" t="s">
        <v>34</v>
      </c>
      <c r="I165" s="19" t="s">
        <v>34</v>
      </c>
      <c r="J165" s="19" t="s">
        <v>259</v>
      </c>
      <c r="K165" s="19"/>
      <c r="L165" s="20"/>
      <c r="M165" s="19" t="s">
        <v>100</v>
      </c>
      <c r="N165" s="22"/>
    </row>
    <row r="166" ht="25.5" customHeight="1">
      <c r="A166" s="14" t="s">
        <v>211</v>
      </c>
      <c r="B166" s="15" t="s">
        <v>274</v>
      </c>
      <c r="C166" s="15" t="s">
        <v>69</v>
      </c>
      <c r="D166" s="15" t="s">
        <v>257</v>
      </c>
      <c r="E166" s="15" t="s">
        <v>34</v>
      </c>
      <c r="F166" s="15" t="s">
        <v>34</v>
      </c>
      <c r="G166" s="15" t="s">
        <v>34</v>
      </c>
      <c r="H166" s="15" t="s">
        <v>34</v>
      </c>
      <c r="I166" s="15" t="s">
        <v>34</v>
      </c>
      <c r="J166" s="15" t="s">
        <v>259</v>
      </c>
      <c r="K166" s="15"/>
      <c r="L166" s="16"/>
      <c r="M166" s="15" t="s">
        <v>100</v>
      </c>
      <c r="N166" s="23"/>
    </row>
    <row r="167" ht="25.5" customHeight="1">
      <c r="A167" s="18" t="s">
        <v>211</v>
      </c>
      <c r="B167" s="19" t="s">
        <v>275</v>
      </c>
      <c r="C167" s="19" t="s">
        <v>69</v>
      </c>
      <c r="D167" s="19" t="s">
        <v>257</v>
      </c>
      <c r="E167" s="19" t="s">
        <v>34</v>
      </c>
      <c r="F167" s="19" t="s">
        <v>34</v>
      </c>
      <c r="G167" s="19" t="s">
        <v>34</v>
      </c>
      <c r="H167" s="19" t="s">
        <v>34</v>
      </c>
      <c r="I167" s="19" t="s">
        <v>34</v>
      </c>
      <c r="J167" s="19" t="s">
        <v>259</v>
      </c>
      <c r="K167" s="19"/>
      <c r="L167" s="20"/>
      <c r="M167" s="19" t="s">
        <v>100</v>
      </c>
      <c r="N167" s="22"/>
    </row>
    <row r="168" ht="25.5" customHeight="1">
      <c r="A168" s="14" t="s">
        <v>211</v>
      </c>
      <c r="B168" s="15" t="s">
        <v>110</v>
      </c>
      <c r="C168" s="15" t="s">
        <v>69</v>
      </c>
      <c r="D168" s="15" t="s">
        <v>111</v>
      </c>
      <c r="E168" s="15" t="s">
        <v>34</v>
      </c>
      <c r="F168" s="15" t="s">
        <v>34</v>
      </c>
      <c r="G168" s="15" t="s">
        <v>34</v>
      </c>
      <c r="H168" s="15" t="s">
        <v>34</v>
      </c>
      <c r="I168" s="15" t="s">
        <v>34</v>
      </c>
      <c r="J168" s="15" t="s">
        <v>90</v>
      </c>
      <c r="K168" s="15"/>
      <c r="L168" s="16"/>
      <c r="M168" s="15" t="s">
        <v>112</v>
      </c>
      <c r="N168" s="23"/>
    </row>
    <row r="169" ht="25.5" customHeight="1">
      <c r="A169" s="18" t="s">
        <v>211</v>
      </c>
      <c r="B169" s="19" t="s">
        <v>276</v>
      </c>
      <c r="C169" s="19" t="s">
        <v>69</v>
      </c>
      <c r="D169" s="19" t="s">
        <v>108</v>
      </c>
      <c r="E169" s="19" t="s">
        <v>34</v>
      </c>
      <c r="F169" s="19" t="s">
        <v>34</v>
      </c>
      <c r="G169" s="19" t="s">
        <v>34</v>
      </c>
      <c r="H169" s="19" t="s">
        <v>34</v>
      </c>
      <c r="I169" s="19" t="s">
        <v>34</v>
      </c>
      <c r="J169" s="19" t="s">
        <v>90</v>
      </c>
      <c r="K169" s="19"/>
      <c r="L169" s="20"/>
      <c r="M169" s="19" t="s">
        <v>109</v>
      </c>
      <c r="N169" s="22"/>
    </row>
    <row r="170" ht="25.5" customHeight="1">
      <c r="A170" s="14" t="s">
        <v>211</v>
      </c>
      <c r="B170" s="15" t="s">
        <v>277</v>
      </c>
      <c r="C170" s="15" t="s">
        <v>69</v>
      </c>
      <c r="D170" s="15" t="s">
        <v>111</v>
      </c>
      <c r="E170" s="15" t="s">
        <v>34</v>
      </c>
      <c r="F170" s="15" t="s">
        <v>34</v>
      </c>
      <c r="G170" s="15" t="s">
        <v>34</v>
      </c>
      <c r="H170" s="15" t="s">
        <v>34</v>
      </c>
      <c r="I170" s="15" t="s">
        <v>34</v>
      </c>
      <c r="J170" s="15" t="s">
        <v>90</v>
      </c>
      <c r="K170" s="15"/>
      <c r="L170" s="16"/>
      <c r="M170" s="15" t="s">
        <v>112</v>
      </c>
      <c r="N170" s="23"/>
    </row>
    <row r="171" ht="25.5" customHeight="1">
      <c r="A171" s="18" t="s">
        <v>211</v>
      </c>
      <c r="B171" s="19" t="s">
        <v>113</v>
      </c>
      <c r="C171" s="19" t="s">
        <v>69</v>
      </c>
      <c r="D171" s="19" t="s">
        <v>108</v>
      </c>
      <c r="E171" s="19" t="s">
        <v>34</v>
      </c>
      <c r="F171" s="19" t="s">
        <v>34</v>
      </c>
      <c r="G171" s="19" t="s">
        <v>34</v>
      </c>
      <c r="H171" s="19" t="s">
        <v>34</v>
      </c>
      <c r="I171" s="19" t="s">
        <v>34</v>
      </c>
      <c r="J171" s="19" t="s">
        <v>90</v>
      </c>
      <c r="K171" s="19"/>
      <c r="L171" s="20"/>
      <c r="M171" s="19" t="s">
        <v>109</v>
      </c>
      <c r="N171" s="22"/>
    </row>
    <row r="172" ht="25.5" customHeight="1">
      <c r="A172" s="14" t="s">
        <v>211</v>
      </c>
      <c r="B172" s="15" t="s">
        <v>278</v>
      </c>
      <c r="C172" s="15" t="s">
        <v>69</v>
      </c>
      <c r="D172" s="15" t="s">
        <v>111</v>
      </c>
      <c r="E172" s="15" t="s">
        <v>34</v>
      </c>
      <c r="F172" s="15" t="s">
        <v>34</v>
      </c>
      <c r="G172" s="15" t="s">
        <v>34</v>
      </c>
      <c r="H172" s="15" t="s">
        <v>34</v>
      </c>
      <c r="I172" s="15" t="s">
        <v>34</v>
      </c>
      <c r="J172" s="15" t="s">
        <v>90</v>
      </c>
      <c r="K172" s="15"/>
      <c r="L172" s="16"/>
      <c r="M172" s="15" t="s">
        <v>112</v>
      </c>
      <c r="N172" s="23"/>
    </row>
    <row r="173" ht="25.5" customHeight="1">
      <c r="A173" s="18" t="s">
        <v>211</v>
      </c>
      <c r="B173" s="19" t="s">
        <v>279</v>
      </c>
      <c r="C173" s="19" t="s">
        <v>69</v>
      </c>
      <c r="D173" s="19" t="s">
        <v>108</v>
      </c>
      <c r="E173" s="19" t="s">
        <v>34</v>
      </c>
      <c r="F173" s="19" t="s">
        <v>34</v>
      </c>
      <c r="G173" s="19" t="s">
        <v>34</v>
      </c>
      <c r="H173" s="19" t="s">
        <v>34</v>
      </c>
      <c r="I173" s="19" t="s">
        <v>34</v>
      </c>
      <c r="J173" s="19" t="s">
        <v>90</v>
      </c>
      <c r="K173" s="19"/>
      <c r="L173" s="20"/>
      <c r="M173" s="19" t="s">
        <v>251</v>
      </c>
      <c r="N173" s="22"/>
    </row>
    <row r="174" ht="25.5" customHeight="1">
      <c r="A174" s="14" t="s">
        <v>211</v>
      </c>
      <c r="B174" s="15" t="s">
        <v>280</v>
      </c>
      <c r="C174" s="15" t="s">
        <v>69</v>
      </c>
      <c r="D174" s="15" t="s">
        <v>108</v>
      </c>
      <c r="E174" s="15" t="s">
        <v>34</v>
      </c>
      <c r="F174" s="15" t="s">
        <v>34</v>
      </c>
      <c r="G174" s="15" t="s">
        <v>34</v>
      </c>
      <c r="H174" s="15" t="s">
        <v>34</v>
      </c>
      <c r="I174" s="15" t="s">
        <v>34</v>
      </c>
      <c r="J174" s="15" t="s">
        <v>90</v>
      </c>
      <c r="K174" s="15"/>
      <c r="L174" s="16"/>
      <c r="M174" s="15" t="s">
        <v>251</v>
      </c>
      <c r="N174" s="23"/>
    </row>
    <row r="175" ht="25.5" customHeight="1">
      <c r="A175" s="18" t="s">
        <v>281</v>
      </c>
      <c r="B175" s="19" t="s">
        <v>282</v>
      </c>
      <c r="C175" s="19" t="s">
        <v>29</v>
      </c>
      <c r="D175" s="19" t="s">
        <v>36</v>
      </c>
      <c r="E175" s="19" t="s">
        <v>32</v>
      </c>
      <c r="F175" s="19" t="s">
        <v>31</v>
      </c>
      <c r="G175" s="19" t="s">
        <v>32</v>
      </c>
      <c r="H175" s="19" t="s">
        <v>33</v>
      </c>
      <c r="I175" s="19" t="s">
        <v>34</v>
      </c>
      <c r="J175" s="19" t="s">
        <v>90</v>
      </c>
      <c r="K175" s="19"/>
      <c r="L175" s="20"/>
      <c r="M175" s="19" t="s">
        <v>36</v>
      </c>
      <c r="N175" s="22"/>
    </row>
    <row r="176" ht="25.5" customHeight="1">
      <c r="A176" s="14" t="s">
        <v>281</v>
      </c>
      <c r="B176" s="15" t="s">
        <v>283</v>
      </c>
      <c r="C176" s="15" t="s">
        <v>29</v>
      </c>
      <c r="D176" s="15" t="s">
        <v>36</v>
      </c>
      <c r="E176" s="15" t="s">
        <v>32</v>
      </c>
      <c r="F176" s="15" t="s">
        <v>31</v>
      </c>
      <c r="G176" s="15" t="s">
        <v>32</v>
      </c>
      <c r="H176" s="15" t="s">
        <v>33</v>
      </c>
      <c r="I176" s="15" t="s">
        <v>34</v>
      </c>
      <c r="J176" s="15" t="s">
        <v>90</v>
      </c>
      <c r="K176" s="15"/>
      <c r="L176" s="16"/>
      <c r="M176" s="15" t="s">
        <v>36</v>
      </c>
      <c r="N176" s="23"/>
    </row>
    <row r="177" ht="25.5" customHeight="1">
      <c r="A177" s="18" t="s">
        <v>281</v>
      </c>
      <c r="B177" s="19" t="s">
        <v>284</v>
      </c>
      <c r="C177" s="19" t="s">
        <v>29</v>
      </c>
      <c r="D177" s="19" t="s">
        <v>36</v>
      </c>
      <c r="E177" s="19" t="s">
        <v>32</v>
      </c>
      <c r="F177" s="19" t="s">
        <v>31</v>
      </c>
      <c r="G177" s="19" t="s">
        <v>32</v>
      </c>
      <c r="H177" s="19" t="s">
        <v>33</v>
      </c>
      <c r="I177" s="19" t="s">
        <v>34</v>
      </c>
      <c r="J177" s="19" t="s">
        <v>90</v>
      </c>
      <c r="K177" s="19"/>
      <c r="L177" s="20"/>
      <c r="M177" s="19" t="s">
        <v>36</v>
      </c>
      <c r="N177" s="22"/>
    </row>
    <row r="178" ht="25.5" customHeight="1">
      <c r="A178" s="14" t="s">
        <v>281</v>
      </c>
      <c r="B178" s="15" t="s">
        <v>285</v>
      </c>
      <c r="C178" s="15" t="s">
        <v>29</v>
      </c>
      <c r="D178" s="15" t="s">
        <v>286</v>
      </c>
      <c r="E178" s="15" t="s">
        <v>32</v>
      </c>
      <c r="F178" s="15" t="s">
        <v>31</v>
      </c>
      <c r="G178" s="15" t="s">
        <v>32</v>
      </c>
      <c r="H178" s="15" t="s">
        <v>33</v>
      </c>
      <c r="I178" s="15" t="s">
        <v>34</v>
      </c>
      <c r="J178" s="15" t="s">
        <v>90</v>
      </c>
      <c r="K178" s="15"/>
      <c r="L178" s="16"/>
      <c r="M178" s="15" t="s">
        <v>287</v>
      </c>
      <c r="N178" s="23"/>
    </row>
    <row r="179" ht="25.5" customHeight="1">
      <c r="A179" s="18" t="s">
        <v>281</v>
      </c>
      <c r="B179" s="19" t="s">
        <v>288</v>
      </c>
      <c r="C179" s="19" t="s">
        <v>29</v>
      </c>
      <c r="D179" s="19" t="s">
        <v>289</v>
      </c>
      <c r="E179" s="19" t="s">
        <v>32</v>
      </c>
      <c r="F179" s="19" t="s">
        <v>31</v>
      </c>
      <c r="G179" s="19" t="s">
        <v>32</v>
      </c>
      <c r="H179" s="20"/>
      <c r="I179" s="19" t="s">
        <v>34</v>
      </c>
      <c r="J179" s="19" t="s">
        <v>290</v>
      </c>
      <c r="K179" s="19"/>
      <c r="L179" s="20"/>
      <c r="M179" s="19" t="s">
        <v>289</v>
      </c>
      <c r="N179" s="22"/>
    </row>
    <row r="180" ht="25.5" customHeight="1">
      <c r="A180" s="14" t="s">
        <v>281</v>
      </c>
      <c r="B180" s="15" t="s">
        <v>291</v>
      </c>
      <c r="C180" s="15" t="s">
        <v>29</v>
      </c>
      <c r="D180" s="15" t="s">
        <v>292</v>
      </c>
      <c r="E180" s="15" t="s">
        <v>32</v>
      </c>
      <c r="F180" s="15" t="s">
        <v>34</v>
      </c>
      <c r="G180" s="15" t="s">
        <v>32</v>
      </c>
      <c r="H180" s="15" t="s">
        <v>173</v>
      </c>
      <c r="I180" s="15" t="s">
        <v>34</v>
      </c>
      <c r="J180" s="15" t="s">
        <v>293</v>
      </c>
      <c r="K180" s="15"/>
      <c r="L180" s="16"/>
      <c r="M180" s="15" t="s">
        <v>170</v>
      </c>
      <c r="N180" s="23"/>
    </row>
    <row r="181" ht="25.5" customHeight="1">
      <c r="A181" s="18" t="s">
        <v>281</v>
      </c>
      <c r="B181" s="19" t="s">
        <v>294</v>
      </c>
      <c r="C181" s="19" t="s">
        <v>29</v>
      </c>
      <c r="D181" s="19" t="s">
        <v>295</v>
      </c>
      <c r="E181" s="19" t="s">
        <v>32</v>
      </c>
      <c r="F181" s="19" t="s">
        <v>34</v>
      </c>
      <c r="G181" s="19" t="s">
        <v>32</v>
      </c>
      <c r="H181" s="19" t="s">
        <v>173</v>
      </c>
      <c r="I181" s="19" t="s">
        <v>34</v>
      </c>
      <c r="J181" s="19" t="s">
        <v>296</v>
      </c>
      <c r="K181" s="19" t="s">
        <v>32</v>
      </c>
      <c r="L181" s="20"/>
      <c r="M181" s="19" t="s">
        <v>170</v>
      </c>
      <c r="N181" s="22"/>
    </row>
    <row r="182" ht="25.5" customHeight="1">
      <c r="A182" s="14" t="s">
        <v>281</v>
      </c>
      <c r="B182" s="15" t="s">
        <v>297</v>
      </c>
      <c r="C182" s="15" t="s">
        <v>29</v>
      </c>
      <c r="D182" s="15" t="s">
        <v>298</v>
      </c>
      <c r="E182" s="15" t="s">
        <v>32</v>
      </c>
      <c r="F182" s="15" t="s">
        <v>34</v>
      </c>
      <c r="G182" s="15" t="s">
        <v>32</v>
      </c>
      <c r="H182" s="15" t="s">
        <v>173</v>
      </c>
      <c r="I182" s="15" t="s">
        <v>34</v>
      </c>
      <c r="J182" s="15" t="s">
        <v>299</v>
      </c>
      <c r="K182" s="15"/>
      <c r="L182" s="16"/>
      <c r="M182" s="15" t="s">
        <v>170</v>
      </c>
      <c r="N182" s="23"/>
    </row>
    <row r="183" ht="25.5" customHeight="1">
      <c r="A183" s="18" t="s">
        <v>281</v>
      </c>
      <c r="B183" s="19" t="s">
        <v>48</v>
      </c>
      <c r="C183" s="19" t="s">
        <v>29</v>
      </c>
      <c r="D183" s="19" t="s">
        <v>300</v>
      </c>
      <c r="E183" s="19" t="s">
        <v>32</v>
      </c>
      <c r="F183" s="19" t="s">
        <v>31</v>
      </c>
      <c r="G183" s="19" t="s">
        <v>32</v>
      </c>
      <c r="H183" s="19" t="s">
        <v>33</v>
      </c>
      <c r="I183" s="19" t="s">
        <v>34</v>
      </c>
      <c r="J183" s="25" t="s">
        <v>301</v>
      </c>
      <c r="K183" s="25"/>
      <c r="L183" s="20"/>
      <c r="M183" s="19" t="s">
        <v>251</v>
      </c>
      <c r="N183" s="22"/>
    </row>
    <row r="184" ht="25.5" customHeight="1">
      <c r="A184" s="14" t="s">
        <v>281</v>
      </c>
      <c r="B184" s="15" t="s">
        <v>83</v>
      </c>
      <c r="C184" s="15" t="s">
        <v>29</v>
      </c>
      <c r="D184" s="15" t="s">
        <v>34</v>
      </c>
      <c r="E184" s="15" t="s">
        <v>34</v>
      </c>
      <c r="F184" s="15" t="s">
        <v>34</v>
      </c>
      <c r="G184" s="15" t="s">
        <v>34</v>
      </c>
      <c r="H184" s="15" t="s">
        <v>34</v>
      </c>
      <c r="I184" s="15" t="s">
        <v>34</v>
      </c>
      <c r="J184" s="15" t="s">
        <v>34</v>
      </c>
      <c r="K184" s="15"/>
      <c r="L184" s="16"/>
      <c r="M184" s="15" t="s">
        <v>87</v>
      </c>
      <c r="N184" s="23"/>
    </row>
    <row r="185" ht="25.5" customHeight="1">
      <c r="A185" s="18" t="s">
        <v>281</v>
      </c>
      <c r="B185" s="19" t="s">
        <v>83</v>
      </c>
      <c r="C185" s="19" t="s">
        <v>29</v>
      </c>
      <c r="D185" s="19" t="s">
        <v>34</v>
      </c>
      <c r="E185" s="19" t="s">
        <v>34</v>
      </c>
      <c r="F185" s="19" t="s">
        <v>34</v>
      </c>
      <c r="G185" s="19" t="s">
        <v>34</v>
      </c>
      <c r="H185" s="19" t="s">
        <v>34</v>
      </c>
      <c r="I185" s="19" t="s">
        <v>34</v>
      </c>
      <c r="J185" s="19" t="s">
        <v>34</v>
      </c>
      <c r="K185" s="19"/>
      <c r="L185" s="20"/>
      <c r="M185" s="19" t="s">
        <v>87</v>
      </c>
      <c r="N185" s="22"/>
    </row>
    <row r="186" ht="25.5" customHeight="1">
      <c r="A186" s="14" t="s">
        <v>281</v>
      </c>
      <c r="B186" s="15" t="s">
        <v>83</v>
      </c>
      <c r="C186" s="15" t="s">
        <v>29</v>
      </c>
      <c r="D186" s="15" t="s">
        <v>34</v>
      </c>
      <c r="E186" s="15" t="s">
        <v>34</v>
      </c>
      <c r="F186" s="15" t="s">
        <v>34</v>
      </c>
      <c r="G186" s="15" t="s">
        <v>34</v>
      </c>
      <c r="H186" s="15" t="s">
        <v>34</v>
      </c>
      <c r="I186" s="15" t="s">
        <v>34</v>
      </c>
      <c r="J186" s="15" t="s">
        <v>34</v>
      </c>
      <c r="K186" s="15"/>
      <c r="L186" s="16"/>
      <c r="M186" s="15" t="s">
        <v>87</v>
      </c>
      <c r="N186" s="23"/>
    </row>
    <row r="187" ht="25.5" customHeight="1">
      <c r="A187" s="18" t="s">
        <v>281</v>
      </c>
      <c r="B187" s="19" t="s">
        <v>83</v>
      </c>
      <c r="C187" s="19" t="s">
        <v>29</v>
      </c>
      <c r="D187" s="19" t="s">
        <v>34</v>
      </c>
      <c r="E187" s="19" t="s">
        <v>34</v>
      </c>
      <c r="F187" s="19" t="s">
        <v>34</v>
      </c>
      <c r="G187" s="19" t="s">
        <v>34</v>
      </c>
      <c r="H187" s="19" t="s">
        <v>34</v>
      </c>
      <c r="I187" s="19" t="s">
        <v>34</v>
      </c>
      <c r="J187" s="19" t="s">
        <v>34</v>
      </c>
      <c r="K187" s="19"/>
      <c r="L187" s="20"/>
      <c r="M187" s="19" t="s">
        <v>87</v>
      </c>
      <c r="N187" s="22"/>
    </row>
    <row r="188" ht="25.5" customHeight="1">
      <c r="A188" s="14" t="s">
        <v>281</v>
      </c>
      <c r="B188" s="15" t="s">
        <v>83</v>
      </c>
      <c r="C188" s="15" t="s">
        <v>29</v>
      </c>
      <c r="D188" s="15" t="s">
        <v>34</v>
      </c>
      <c r="E188" s="15" t="s">
        <v>34</v>
      </c>
      <c r="F188" s="15" t="s">
        <v>34</v>
      </c>
      <c r="G188" s="15" t="s">
        <v>34</v>
      </c>
      <c r="H188" s="15" t="s">
        <v>34</v>
      </c>
      <c r="I188" s="15" t="s">
        <v>34</v>
      </c>
      <c r="J188" s="15" t="s">
        <v>34</v>
      </c>
      <c r="K188" s="15"/>
      <c r="L188" s="16"/>
      <c r="M188" s="15" t="s">
        <v>87</v>
      </c>
      <c r="N188" s="23"/>
    </row>
    <row r="189" ht="25.5" customHeight="1">
      <c r="A189" s="18" t="s">
        <v>281</v>
      </c>
      <c r="B189" s="19" t="s">
        <v>83</v>
      </c>
      <c r="C189" s="19" t="s">
        <v>29</v>
      </c>
      <c r="D189" s="19" t="s">
        <v>34</v>
      </c>
      <c r="E189" s="19" t="s">
        <v>34</v>
      </c>
      <c r="F189" s="19" t="s">
        <v>34</v>
      </c>
      <c r="G189" s="19" t="s">
        <v>34</v>
      </c>
      <c r="H189" s="19" t="s">
        <v>34</v>
      </c>
      <c r="I189" s="19" t="s">
        <v>34</v>
      </c>
      <c r="J189" s="19" t="s">
        <v>34</v>
      </c>
      <c r="K189" s="19"/>
      <c r="L189" s="20"/>
      <c r="M189" s="19" t="s">
        <v>87</v>
      </c>
      <c r="N189" s="22"/>
    </row>
    <row r="190" ht="25.5" customHeight="1">
      <c r="A190" s="14" t="s">
        <v>281</v>
      </c>
      <c r="B190" s="15" t="s">
        <v>83</v>
      </c>
      <c r="C190" s="15" t="s">
        <v>29</v>
      </c>
      <c r="D190" s="15" t="s">
        <v>34</v>
      </c>
      <c r="E190" s="15" t="s">
        <v>34</v>
      </c>
      <c r="F190" s="15" t="s">
        <v>34</v>
      </c>
      <c r="G190" s="15" t="s">
        <v>34</v>
      </c>
      <c r="H190" s="15" t="s">
        <v>34</v>
      </c>
      <c r="I190" s="15" t="s">
        <v>34</v>
      </c>
      <c r="J190" s="15" t="s">
        <v>34</v>
      </c>
      <c r="K190" s="15"/>
      <c r="L190" s="16"/>
      <c r="M190" s="15" t="s">
        <v>87</v>
      </c>
      <c r="N190" s="23"/>
    </row>
    <row r="191" ht="25.5" customHeight="1">
      <c r="A191" s="18" t="s">
        <v>281</v>
      </c>
      <c r="B191" s="19" t="s">
        <v>83</v>
      </c>
      <c r="C191" s="19" t="s">
        <v>29</v>
      </c>
      <c r="D191" s="19" t="s">
        <v>34</v>
      </c>
      <c r="E191" s="19" t="s">
        <v>34</v>
      </c>
      <c r="F191" s="19" t="s">
        <v>34</v>
      </c>
      <c r="G191" s="19" t="s">
        <v>34</v>
      </c>
      <c r="H191" s="19" t="s">
        <v>34</v>
      </c>
      <c r="I191" s="19" t="s">
        <v>34</v>
      </c>
      <c r="J191" s="19" t="s">
        <v>34</v>
      </c>
      <c r="K191" s="19"/>
      <c r="L191" s="20"/>
      <c r="M191" s="19" t="s">
        <v>87</v>
      </c>
      <c r="N191" s="22"/>
    </row>
    <row r="192" ht="25.5" customHeight="1">
      <c r="A192" s="14" t="s">
        <v>281</v>
      </c>
      <c r="B192" s="15" t="s">
        <v>83</v>
      </c>
      <c r="C192" s="15" t="s">
        <v>29</v>
      </c>
      <c r="D192" s="15" t="s">
        <v>34</v>
      </c>
      <c r="E192" s="15" t="s">
        <v>34</v>
      </c>
      <c r="F192" s="15" t="s">
        <v>34</v>
      </c>
      <c r="G192" s="15" t="s">
        <v>34</v>
      </c>
      <c r="H192" s="15" t="s">
        <v>34</v>
      </c>
      <c r="I192" s="15" t="s">
        <v>34</v>
      </c>
      <c r="J192" s="15" t="s">
        <v>34</v>
      </c>
      <c r="K192" s="15"/>
      <c r="L192" s="16"/>
      <c r="M192" s="15" t="s">
        <v>87</v>
      </c>
      <c r="N192" s="23"/>
    </row>
    <row r="193" ht="25.5" customHeight="1">
      <c r="A193" s="18" t="s">
        <v>281</v>
      </c>
      <c r="B193" s="19" t="s">
        <v>83</v>
      </c>
      <c r="C193" s="19" t="s">
        <v>29</v>
      </c>
      <c r="D193" s="19" t="s">
        <v>34</v>
      </c>
      <c r="E193" s="19" t="s">
        <v>34</v>
      </c>
      <c r="F193" s="19" t="s">
        <v>34</v>
      </c>
      <c r="G193" s="19" t="s">
        <v>34</v>
      </c>
      <c r="H193" s="19" t="s">
        <v>34</v>
      </c>
      <c r="I193" s="19" t="s">
        <v>34</v>
      </c>
      <c r="J193" s="19" t="s">
        <v>34</v>
      </c>
      <c r="K193" s="19"/>
      <c r="L193" s="20"/>
      <c r="M193" s="19" t="s">
        <v>87</v>
      </c>
      <c r="N193" s="22"/>
    </row>
    <row r="194" ht="25.5" customHeight="1">
      <c r="A194" s="14" t="s">
        <v>281</v>
      </c>
      <c r="B194" s="15" t="s">
        <v>83</v>
      </c>
      <c r="C194" s="15" t="s">
        <v>29</v>
      </c>
      <c r="D194" s="15" t="s">
        <v>34</v>
      </c>
      <c r="E194" s="15" t="s">
        <v>34</v>
      </c>
      <c r="F194" s="15" t="s">
        <v>34</v>
      </c>
      <c r="G194" s="15" t="s">
        <v>34</v>
      </c>
      <c r="H194" s="15" t="s">
        <v>34</v>
      </c>
      <c r="I194" s="15" t="s">
        <v>34</v>
      </c>
      <c r="J194" s="15" t="s">
        <v>34</v>
      </c>
      <c r="K194" s="15"/>
      <c r="L194" s="16"/>
      <c r="M194" s="15" t="s">
        <v>87</v>
      </c>
      <c r="N194" s="23"/>
    </row>
    <row r="195" ht="25.5" customHeight="1">
      <c r="A195" s="18" t="s">
        <v>281</v>
      </c>
      <c r="B195" s="19" t="s">
        <v>83</v>
      </c>
      <c r="C195" s="19" t="s">
        <v>29</v>
      </c>
      <c r="D195" s="19" t="s">
        <v>34</v>
      </c>
      <c r="E195" s="19" t="s">
        <v>34</v>
      </c>
      <c r="F195" s="19" t="s">
        <v>34</v>
      </c>
      <c r="G195" s="19" t="s">
        <v>34</v>
      </c>
      <c r="H195" s="19" t="s">
        <v>34</v>
      </c>
      <c r="I195" s="19" t="s">
        <v>34</v>
      </c>
      <c r="J195" s="19" t="s">
        <v>34</v>
      </c>
      <c r="K195" s="19"/>
      <c r="L195" s="20"/>
      <c r="M195" s="19" t="s">
        <v>87</v>
      </c>
      <c r="N195" s="22"/>
    </row>
    <row r="196" ht="25.5" customHeight="1">
      <c r="A196" s="14" t="s">
        <v>281</v>
      </c>
      <c r="B196" s="15" t="s">
        <v>83</v>
      </c>
      <c r="C196" s="15" t="s">
        <v>29</v>
      </c>
      <c r="D196" s="15" t="s">
        <v>34</v>
      </c>
      <c r="E196" s="15" t="s">
        <v>34</v>
      </c>
      <c r="F196" s="15" t="s">
        <v>34</v>
      </c>
      <c r="G196" s="15" t="s">
        <v>34</v>
      </c>
      <c r="H196" s="15" t="s">
        <v>34</v>
      </c>
      <c r="I196" s="15" t="s">
        <v>34</v>
      </c>
      <c r="J196" s="15" t="s">
        <v>34</v>
      </c>
      <c r="K196" s="15"/>
      <c r="L196" s="16"/>
      <c r="M196" s="15" t="s">
        <v>87</v>
      </c>
      <c r="N196" s="23"/>
    </row>
    <row r="197" ht="25.5" customHeight="1">
      <c r="A197" s="18" t="s">
        <v>281</v>
      </c>
      <c r="B197" s="19" t="s">
        <v>83</v>
      </c>
      <c r="C197" s="19" t="s">
        <v>29</v>
      </c>
      <c r="D197" s="19" t="s">
        <v>34</v>
      </c>
      <c r="E197" s="19" t="s">
        <v>34</v>
      </c>
      <c r="F197" s="19" t="s">
        <v>34</v>
      </c>
      <c r="G197" s="19" t="s">
        <v>34</v>
      </c>
      <c r="H197" s="19" t="s">
        <v>34</v>
      </c>
      <c r="I197" s="19" t="s">
        <v>34</v>
      </c>
      <c r="J197" s="19" t="s">
        <v>34</v>
      </c>
      <c r="K197" s="19"/>
      <c r="L197" s="20"/>
      <c r="M197" s="19" t="s">
        <v>87</v>
      </c>
      <c r="N197" s="22"/>
    </row>
    <row r="198" ht="25.5" customHeight="1">
      <c r="A198" s="14" t="s">
        <v>281</v>
      </c>
      <c r="B198" s="15" t="s">
        <v>83</v>
      </c>
      <c r="C198" s="15" t="s">
        <v>29</v>
      </c>
      <c r="D198" s="15" t="s">
        <v>34</v>
      </c>
      <c r="E198" s="15" t="s">
        <v>34</v>
      </c>
      <c r="F198" s="15" t="s">
        <v>34</v>
      </c>
      <c r="G198" s="15" t="s">
        <v>34</v>
      </c>
      <c r="H198" s="15" t="s">
        <v>34</v>
      </c>
      <c r="I198" s="15" t="s">
        <v>34</v>
      </c>
      <c r="J198" s="15" t="s">
        <v>34</v>
      </c>
      <c r="K198" s="15"/>
      <c r="L198" s="16"/>
      <c r="M198" s="15" t="s">
        <v>87</v>
      </c>
      <c r="N198" s="23"/>
    </row>
    <row r="199" ht="25.5" customHeight="1">
      <c r="A199" s="18" t="s">
        <v>281</v>
      </c>
      <c r="B199" s="19" t="s">
        <v>83</v>
      </c>
      <c r="C199" s="19" t="s">
        <v>29</v>
      </c>
      <c r="D199" s="19" t="s">
        <v>34</v>
      </c>
      <c r="E199" s="19" t="s">
        <v>34</v>
      </c>
      <c r="F199" s="19" t="s">
        <v>34</v>
      </c>
      <c r="G199" s="19" t="s">
        <v>34</v>
      </c>
      <c r="H199" s="19" t="s">
        <v>34</v>
      </c>
      <c r="I199" s="19" t="s">
        <v>34</v>
      </c>
      <c r="J199" s="19" t="s">
        <v>34</v>
      </c>
      <c r="K199" s="19"/>
      <c r="L199" s="20"/>
      <c r="M199" s="19" t="s">
        <v>87</v>
      </c>
      <c r="N199" s="22"/>
    </row>
    <row r="200" ht="25.5" customHeight="1">
      <c r="A200" s="14" t="s">
        <v>281</v>
      </c>
      <c r="B200" s="15" t="s">
        <v>83</v>
      </c>
      <c r="C200" s="15" t="s">
        <v>29</v>
      </c>
      <c r="D200" s="15" t="s">
        <v>34</v>
      </c>
      <c r="E200" s="15" t="s">
        <v>34</v>
      </c>
      <c r="F200" s="15" t="s">
        <v>34</v>
      </c>
      <c r="G200" s="15" t="s">
        <v>34</v>
      </c>
      <c r="H200" s="15" t="s">
        <v>34</v>
      </c>
      <c r="I200" s="15" t="s">
        <v>34</v>
      </c>
      <c r="J200" s="15" t="s">
        <v>34</v>
      </c>
      <c r="K200" s="15"/>
      <c r="L200" s="16"/>
      <c r="M200" s="15" t="s">
        <v>87</v>
      </c>
      <c r="N200" s="23"/>
    </row>
    <row r="201" ht="25.5" customHeight="1">
      <c r="A201" s="18" t="s">
        <v>230</v>
      </c>
      <c r="B201" s="19" t="s">
        <v>113</v>
      </c>
      <c r="C201" s="19" t="s">
        <v>69</v>
      </c>
      <c r="D201" s="19" t="s">
        <v>34</v>
      </c>
      <c r="E201" s="19" t="s">
        <v>34</v>
      </c>
      <c r="F201" s="19" t="s">
        <v>34</v>
      </c>
      <c r="G201" s="19" t="s">
        <v>34</v>
      </c>
      <c r="H201" s="19" t="s">
        <v>34</v>
      </c>
      <c r="I201" s="19" t="s">
        <v>34</v>
      </c>
      <c r="J201" s="19" t="s">
        <v>90</v>
      </c>
      <c r="K201" s="19"/>
      <c r="L201" s="20"/>
      <c r="M201" s="19" t="s">
        <v>109</v>
      </c>
      <c r="N201" s="22"/>
    </row>
    <row r="202" ht="25.5" customHeight="1">
      <c r="A202" s="14" t="s">
        <v>230</v>
      </c>
      <c r="B202" s="15" t="s">
        <v>280</v>
      </c>
      <c r="C202" s="15" t="s">
        <v>69</v>
      </c>
      <c r="D202" s="15" t="s">
        <v>34</v>
      </c>
      <c r="E202" s="15" t="s">
        <v>34</v>
      </c>
      <c r="F202" s="15" t="s">
        <v>34</v>
      </c>
      <c r="G202" s="15" t="s">
        <v>34</v>
      </c>
      <c r="H202" s="15" t="s">
        <v>34</v>
      </c>
      <c r="I202" s="15" t="s">
        <v>34</v>
      </c>
      <c r="J202" s="15" t="s">
        <v>90</v>
      </c>
      <c r="K202" s="15"/>
      <c r="L202" s="16"/>
      <c r="M202" s="15" t="s">
        <v>109</v>
      </c>
      <c r="N202" s="23"/>
    </row>
    <row r="203" ht="25.5" customHeight="1">
      <c r="A203" s="18" t="s">
        <v>230</v>
      </c>
      <c r="B203" s="19" t="s">
        <v>47</v>
      </c>
      <c r="C203" s="19" t="s">
        <v>69</v>
      </c>
      <c r="D203" s="19" t="s">
        <v>34</v>
      </c>
      <c r="E203" s="19" t="s">
        <v>34</v>
      </c>
      <c r="F203" s="19" t="s">
        <v>34</v>
      </c>
      <c r="G203" s="19" t="s">
        <v>34</v>
      </c>
      <c r="H203" s="19" t="s">
        <v>34</v>
      </c>
      <c r="I203" s="19" t="s">
        <v>34</v>
      </c>
      <c r="J203" s="19" t="s">
        <v>90</v>
      </c>
      <c r="K203" s="19"/>
      <c r="L203" s="20"/>
      <c r="M203" s="19" t="s">
        <v>287</v>
      </c>
      <c r="N203" s="22"/>
    </row>
    <row r="204" ht="25.5" customHeight="1">
      <c r="A204" s="14" t="s">
        <v>230</v>
      </c>
      <c r="B204" s="15" t="s">
        <v>212</v>
      </c>
      <c r="C204" s="15" t="s">
        <v>69</v>
      </c>
      <c r="D204" s="15" t="s">
        <v>34</v>
      </c>
      <c r="E204" s="15" t="s">
        <v>34</v>
      </c>
      <c r="F204" s="15" t="s">
        <v>34</v>
      </c>
      <c r="G204" s="15" t="s">
        <v>34</v>
      </c>
      <c r="H204" s="15" t="s">
        <v>34</v>
      </c>
      <c r="I204" s="15" t="s">
        <v>34</v>
      </c>
      <c r="J204" s="15" t="s">
        <v>90</v>
      </c>
      <c r="K204" s="15"/>
      <c r="L204" s="16"/>
      <c r="M204" s="15" t="s">
        <v>36</v>
      </c>
      <c r="N204" s="23"/>
    </row>
    <row r="205" ht="25.5" customHeight="1">
      <c r="A205" s="18" t="s">
        <v>230</v>
      </c>
      <c r="B205" s="19" t="s">
        <v>52</v>
      </c>
      <c r="C205" s="19" t="s">
        <v>69</v>
      </c>
      <c r="D205" s="19" t="s">
        <v>34</v>
      </c>
      <c r="E205" s="19" t="s">
        <v>34</v>
      </c>
      <c r="F205" s="19" t="s">
        <v>34</v>
      </c>
      <c r="G205" s="19" t="s">
        <v>34</v>
      </c>
      <c r="H205" s="19" t="s">
        <v>34</v>
      </c>
      <c r="I205" s="19" t="s">
        <v>34</v>
      </c>
      <c r="J205" s="19" t="s">
        <v>90</v>
      </c>
      <c r="K205" s="19"/>
      <c r="L205" s="20"/>
      <c r="M205" s="19" t="s">
        <v>287</v>
      </c>
      <c r="N205" s="22"/>
    </row>
    <row r="206" ht="25.5" customHeight="1">
      <c r="A206" s="14" t="s">
        <v>230</v>
      </c>
      <c r="B206" s="15" t="s">
        <v>302</v>
      </c>
      <c r="C206" s="15" t="s">
        <v>69</v>
      </c>
      <c r="D206" s="15" t="s">
        <v>34</v>
      </c>
      <c r="E206" s="15" t="s">
        <v>34</v>
      </c>
      <c r="F206" s="15" t="s">
        <v>34</v>
      </c>
      <c r="G206" s="15" t="s">
        <v>34</v>
      </c>
      <c r="H206" s="15" t="s">
        <v>34</v>
      </c>
      <c r="I206" s="15" t="s">
        <v>34</v>
      </c>
      <c r="J206" s="15" t="s">
        <v>90</v>
      </c>
      <c r="K206" s="15"/>
      <c r="L206" s="16"/>
      <c r="M206" s="15" t="s">
        <v>287</v>
      </c>
      <c r="N206" s="23"/>
    </row>
    <row r="207" ht="25.5" customHeight="1">
      <c r="A207" s="18" t="s">
        <v>208</v>
      </c>
      <c r="B207" s="19" t="s">
        <v>303</v>
      </c>
      <c r="C207" s="19" t="s">
        <v>29</v>
      </c>
      <c r="D207" s="19" t="s">
        <v>111</v>
      </c>
      <c r="E207" s="19" t="s">
        <v>32</v>
      </c>
      <c r="F207" s="19" t="s">
        <v>32</v>
      </c>
      <c r="G207" s="19" t="s">
        <v>32</v>
      </c>
      <c r="H207" s="19" t="s">
        <v>304</v>
      </c>
      <c r="I207" s="19" t="s">
        <v>34</v>
      </c>
      <c r="J207" s="19" t="s">
        <v>305</v>
      </c>
      <c r="K207" s="19"/>
      <c r="L207" s="20"/>
      <c r="M207" s="19" t="s">
        <v>112</v>
      </c>
      <c r="N207" s="22"/>
    </row>
    <row r="208" ht="25.5" customHeight="1">
      <c r="A208" s="14" t="s">
        <v>208</v>
      </c>
      <c r="B208" s="15" t="s">
        <v>306</v>
      </c>
      <c r="C208" s="15" t="s">
        <v>92</v>
      </c>
      <c r="D208" s="15" t="s">
        <v>307</v>
      </c>
      <c r="E208" s="15" t="s">
        <v>32</v>
      </c>
      <c r="F208" s="15" t="s">
        <v>31</v>
      </c>
      <c r="G208" s="15" t="s">
        <v>32</v>
      </c>
      <c r="H208" s="15" t="s">
        <v>33</v>
      </c>
      <c r="I208" s="15" t="s">
        <v>34</v>
      </c>
      <c r="J208" s="15" t="s">
        <v>90</v>
      </c>
      <c r="K208" s="15"/>
      <c r="L208" s="16"/>
      <c r="M208" s="15" t="s">
        <v>289</v>
      </c>
      <c r="N208" s="23"/>
    </row>
    <row r="209" ht="25.5" customHeight="1">
      <c r="A209" s="18" t="s">
        <v>208</v>
      </c>
      <c r="B209" s="19" t="s">
        <v>308</v>
      </c>
      <c r="C209" s="19" t="s">
        <v>92</v>
      </c>
      <c r="D209" s="19" t="s">
        <v>309</v>
      </c>
      <c r="E209" s="19" t="s">
        <v>32</v>
      </c>
      <c r="F209" s="19" t="s">
        <v>31</v>
      </c>
      <c r="G209" s="19" t="s">
        <v>32</v>
      </c>
      <c r="H209" s="19" t="s">
        <v>33</v>
      </c>
      <c r="I209" s="19" t="s">
        <v>34</v>
      </c>
      <c r="J209" s="19" t="s">
        <v>90</v>
      </c>
      <c r="K209" s="19"/>
      <c r="L209" s="20"/>
      <c r="M209" s="19" t="s">
        <v>100</v>
      </c>
      <c r="N209" s="22"/>
    </row>
    <row r="210" ht="25.5" customHeight="1">
      <c r="A210" s="14" t="s">
        <v>208</v>
      </c>
      <c r="B210" s="15" t="s">
        <v>310</v>
      </c>
      <c r="C210" s="15" t="s">
        <v>29</v>
      </c>
      <c r="D210" s="15" t="s">
        <v>311</v>
      </c>
      <c r="E210" s="15" t="s">
        <v>32</v>
      </c>
      <c r="F210" s="15" t="s">
        <v>31</v>
      </c>
      <c r="G210" s="15" t="s">
        <v>32</v>
      </c>
      <c r="H210" s="15" t="s">
        <v>33</v>
      </c>
      <c r="I210" s="15" t="s">
        <v>34</v>
      </c>
      <c r="J210" s="15" t="s">
        <v>90</v>
      </c>
      <c r="K210" s="15"/>
      <c r="L210" s="16"/>
      <c r="M210" s="15" t="s">
        <v>178</v>
      </c>
      <c r="N210" s="23"/>
    </row>
    <row r="211" ht="25.5" customHeight="1">
      <c r="A211" s="18" t="s">
        <v>312</v>
      </c>
      <c r="B211" s="19" t="s">
        <v>47</v>
      </c>
      <c r="C211" s="19" t="s">
        <v>29</v>
      </c>
      <c r="D211" s="19" t="s">
        <v>313</v>
      </c>
      <c r="E211" s="19" t="s">
        <v>32</v>
      </c>
      <c r="F211" s="19" t="s">
        <v>34</v>
      </c>
      <c r="G211" s="19" t="s">
        <v>32</v>
      </c>
      <c r="H211" s="19" t="s">
        <v>33</v>
      </c>
      <c r="I211" s="19" t="s">
        <v>34</v>
      </c>
      <c r="J211" s="19" t="s">
        <v>314</v>
      </c>
      <c r="K211" s="19"/>
      <c r="L211" s="20"/>
      <c r="M211" s="19" t="s">
        <v>36</v>
      </c>
      <c r="N211" s="22"/>
    </row>
    <row r="212" ht="25.5" customHeight="1">
      <c r="A212" s="14" t="s">
        <v>312</v>
      </c>
      <c r="B212" s="15" t="s">
        <v>315</v>
      </c>
      <c r="C212" s="15" t="s">
        <v>29</v>
      </c>
      <c r="D212" s="15" t="s">
        <v>36</v>
      </c>
      <c r="E212" s="15" t="s">
        <v>32</v>
      </c>
      <c r="F212" s="15" t="s">
        <v>34</v>
      </c>
      <c r="G212" s="15" t="s">
        <v>32</v>
      </c>
      <c r="H212" s="15" t="s">
        <v>33</v>
      </c>
      <c r="I212" s="15" t="s">
        <v>34</v>
      </c>
      <c r="J212" s="15" t="s">
        <v>314</v>
      </c>
      <c r="K212" s="15"/>
      <c r="L212" s="16"/>
      <c r="M212" s="15" t="s">
        <v>36</v>
      </c>
      <c r="N212" s="23"/>
    </row>
    <row r="213" ht="25.5" customHeight="1">
      <c r="A213" s="18" t="s">
        <v>312</v>
      </c>
      <c r="B213" s="19" t="s">
        <v>316</v>
      </c>
      <c r="C213" s="19" t="s">
        <v>29</v>
      </c>
      <c r="D213" s="19" t="s">
        <v>317</v>
      </c>
      <c r="E213" s="19" t="s">
        <v>32</v>
      </c>
      <c r="F213" s="19" t="s">
        <v>34</v>
      </c>
      <c r="G213" s="19" t="s">
        <v>32</v>
      </c>
      <c r="H213" s="19" t="s">
        <v>33</v>
      </c>
      <c r="I213" s="19" t="s">
        <v>34</v>
      </c>
      <c r="J213" s="19" t="s">
        <v>314</v>
      </c>
      <c r="K213" s="19"/>
      <c r="L213" s="20"/>
      <c r="M213" s="19" t="s">
        <v>170</v>
      </c>
      <c r="N213" s="22"/>
    </row>
    <row r="214" ht="25.5" customHeight="1">
      <c r="A214" s="14" t="s">
        <v>312</v>
      </c>
      <c r="B214" s="15" t="s">
        <v>213</v>
      </c>
      <c r="C214" s="15" t="s">
        <v>29</v>
      </c>
      <c r="D214" s="15" t="s">
        <v>318</v>
      </c>
      <c r="E214" s="15" t="s">
        <v>32</v>
      </c>
      <c r="F214" s="15" t="s">
        <v>34</v>
      </c>
      <c r="G214" s="15" t="s">
        <v>32</v>
      </c>
      <c r="H214" s="15" t="s">
        <v>33</v>
      </c>
      <c r="I214" s="15" t="s">
        <v>34</v>
      </c>
      <c r="J214" s="15" t="s">
        <v>314</v>
      </c>
      <c r="K214" s="15"/>
      <c r="L214" s="16"/>
      <c r="M214" s="15" t="s">
        <v>214</v>
      </c>
      <c r="N214" s="23"/>
    </row>
    <row r="215" ht="25.5" customHeight="1">
      <c r="A215" s="18" t="s">
        <v>312</v>
      </c>
      <c r="B215" s="19" t="s">
        <v>319</v>
      </c>
      <c r="C215" s="19" t="s">
        <v>29</v>
      </c>
      <c r="D215" s="19" t="s">
        <v>320</v>
      </c>
      <c r="E215" s="19" t="s">
        <v>31</v>
      </c>
      <c r="F215" s="19" t="s">
        <v>34</v>
      </c>
      <c r="G215" s="19" t="s">
        <v>32</v>
      </c>
      <c r="H215" s="19" t="s">
        <v>33</v>
      </c>
      <c r="I215" s="19" t="s">
        <v>34</v>
      </c>
      <c r="J215" s="19" t="s">
        <v>314</v>
      </c>
      <c r="K215" s="19"/>
      <c r="L215" s="20"/>
      <c r="M215" s="19" t="s">
        <v>214</v>
      </c>
      <c r="N215" s="22"/>
    </row>
    <row r="216" ht="25.5" customHeight="1">
      <c r="A216" s="14" t="s">
        <v>312</v>
      </c>
      <c r="B216" s="15" t="s">
        <v>83</v>
      </c>
      <c r="C216" s="15" t="s">
        <v>69</v>
      </c>
      <c r="D216" s="15" t="s">
        <v>321</v>
      </c>
      <c r="E216" s="15" t="s">
        <v>34</v>
      </c>
      <c r="F216" s="15" t="s">
        <v>34</v>
      </c>
      <c r="G216" s="15" t="s">
        <v>34</v>
      </c>
      <c r="H216" s="15" t="s">
        <v>33</v>
      </c>
      <c r="I216" s="15" t="s">
        <v>34</v>
      </c>
      <c r="J216" s="15" t="s">
        <v>34</v>
      </c>
      <c r="K216" s="15" t="s">
        <v>31</v>
      </c>
      <c r="L216" s="16"/>
      <c r="M216" s="15" t="s">
        <v>87</v>
      </c>
      <c r="N216" s="23"/>
    </row>
    <row r="217" ht="25.5" customHeight="1">
      <c r="A217" s="18" t="s">
        <v>312</v>
      </c>
      <c r="B217" s="19" t="s">
        <v>83</v>
      </c>
      <c r="C217" s="19" t="s">
        <v>69</v>
      </c>
      <c r="D217" s="19" t="s">
        <v>321</v>
      </c>
      <c r="E217" s="19" t="s">
        <v>34</v>
      </c>
      <c r="F217" s="19" t="s">
        <v>34</v>
      </c>
      <c r="G217" s="19" t="s">
        <v>34</v>
      </c>
      <c r="H217" s="19" t="s">
        <v>33</v>
      </c>
      <c r="I217" s="19" t="s">
        <v>34</v>
      </c>
      <c r="J217" s="19" t="s">
        <v>34</v>
      </c>
      <c r="K217" s="19" t="s">
        <v>31</v>
      </c>
      <c r="L217" s="20"/>
      <c r="M217" s="19" t="s">
        <v>87</v>
      </c>
      <c r="N217" s="22"/>
    </row>
    <row r="218" ht="25.5" customHeight="1">
      <c r="A218" s="14" t="s">
        <v>312</v>
      </c>
      <c r="B218" s="15" t="s">
        <v>83</v>
      </c>
      <c r="C218" s="15" t="s">
        <v>69</v>
      </c>
      <c r="D218" s="15" t="s">
        <v>321</v>
      </c>
      <c r="E218" s="15" t="s">
        <v>34</v>
      </c>
      <c r="F218" s="15" t="s">
        <v>34</v>
      </c>
      <c r="G218" s="15" t="s">
        <v>34</v>
      </c>
      <c r="H218" s="15" t="s">
        <v>33</v>
      </c>
      <c r="I218" s="15" t="s">
        <v>34</v>
      </c>
      <c r="J218" s="15" t="s">
        <v>34</v>
      </c>
      <c r="K218" s="15" t="s">
        <v>31</v>
      </c>
      <c r="L218" s="16"/>
      <c r="M218" s="15" t="s">
        <v>87</v>
      </c>
      <c r="N218" s="23"/>
    </row>
    <row r="219" ht="25.5" customHeight="1">
      <c r="A219" s="18" t="s">
        <v>312</v>
      </c>
      <c r="B219" s="19" t="s">
        <v>83</v>
      </c>
      <c r="C219" s="19" t="s">
        <v>69</v>
      </c>
      <c r="D219" s="19" t="s">
        <v>321</v>
      </c>
      <c r="E219" s="19" t="s">
        <v>34</v>
      </c>
      <c r="F219" s="19" t="s">
        <v>34</v>
      </c>
      <c r="G219" s="19" t="s">
        <v>34</v>
      </c>
      <c r="H219" s="19" t="s">
        <v>33</v>
      </c>
      <c r="I219" s="19" t="s">
        <v>34</v>
      </c>
      <c r="J219" s="19" t="s">
        <v>34</v>
      </c>
      <c r="K219" s="19" t="s">
        <v>31</v>
      </c>
      <c r="L219" s="20"/>
      <c r="M219" s="19" t="s">
        <v>87</v>
      </c>
      <c r="N219" s="22"/>
    </row>
    <row r="220" ht="25.5" customHeight="1">
      <c r="A220" s="14" t="s">
        <v>312</v>
      </c>
      <c r="B220" s="15" t="s">
        <v>83</v>
      </c>
      <c r="C220" s="15" t="s">
        <v>69</v>
      </c>
      <c r="D220" s="15" t="s">
        <v>321</v>
      </c>
      <c r="E220" s="15" t="s">
        <v>34</v>
      </c>
      <c r="F220" s="15" t="s">
        <v>34</v>
      </c>
      <c r="G220" s="15" t="s">
        <v>34</v>
      </c>
      <c r="H220" s="15" t="s">
        <v>33</v>
      </c>
      <c r="I220" s="15" t="s">
        <v>34</v>
      </c>
      <c r="J220" s="15" t="s">
        <v>34</v>
      </c>
      <c r="K220" s="15" t="s">
        <v>31</v>
      </c>
      <c r="L220" s="16"/>
      <c r="M220" s="15" t="s">
        <v>87</v>
      </c>
      <c r="N220" s="23"/>
    </row>
    <row r="221" ht="25.5" customHeight="1">
      <c r="A221" s="18" t="s">
        <v>312</v>
      </c>
      <c r="B221" s="19" t="s">
        <v>83</v>
      </c>
      <c r="C221" s="19" t="s">
        <v>69</v>
      </c>
      <c r="D221" s="19" t="s">
        <v>321</v>
      </c>
      <c r="E221" s="19" t="s">
        <v>34</v>
      </c>
      <c r="F221" s="19" t="s">
        <v>34</v>
      </c>
      <c r="G221" s="19" t="s">
        <v>34</v>
      </c>
      <c r="H221" s="19" t="s">
        <v>33</v>
      </c>
      <c r="I221" s="19" t="s">
        <v>34</v>
      </c>
      <c r="J221" s="19" t="s">
        <v>34</v>
      </c>
      <c r="K221" s="19" t="s">
        <v>31</v>
      </c>
      <c r="L221" s="20"/>
      <c r="M221" s="19" t="s">
        <v>87</v>
      </c>
      <c r="N221" s="22"/>
    </row>
    <row r="222" ht="25.5" customHeight="1">
      <c r="A222" s="14" t="s">
        <v>312</v>
      </c>
      <c r="B222" s="15" t="s">
        <v>83</v>
      </c>
      <c r="C222" s="15" t="s">
        <v>69</v>
      </c>
      <c r="D222" s="15" t="s">
        <v>321</v>
      </c>
      <c r="E222" s="15" t="s">
        <v>34</v>
      </c>
      <c r="F222" s="15" t="s">
        <v>34</v>
      </c>
      <c r="G222" s="15" t="s">
        <v>34</v>
      </c>
      <c r="H222" s="15" t="s">
        <v>33</v>
      </c>
      <c r="I222" s="15" t="s">
        <v>34</v>
      </c>
      <c r="J222" s="15" t="s">
        <v>34</v>
      </c>
      <c r="K222" s="15" t="s">
        <v>31</v>
      </c>
      <c r="L222" s="16"/>
      <c r="M222" s="15" t="s">
        <v>87</v>
      </c>
      <c r="N222" s="23"/>
    </row>
    <row r="223" ht="25.5" customHeight="1">
      <c r="A223" s="18" t="s">
        <v>312</v>
      </c>
      <c r="B223" s="19" t="s">
        <v>83</v>
      </c>
      <c r="C223" s="19" t="s">
        <v>69</v>
      </c>
      <c r="D223" s="19" t="s">
        <v>321</v>
      </c>
      <c r="E223" s="19" t="s">
        <v>34</v>
      </c>
      <c r="F223" s="19" t="s">
        <v>34</v>
      </c>
      <c r="G223" s="19" t="s">
        <v>34</v>
      </c>
      <c r="H223" s="19" t="s">
        <v>33</v>
      </c>
      <c r="I223" s="19" t="s">
        <v>34</v>
      </c>
      <c r="J223" s="19" t="s">
        <v>34</v>
      </c>
      <c r="K223" s="19" t="s">
        <v>31</v>
      </c>
      <c r="L223" s="20"/>
      <c r="M223" s="19" t="s">
        <v>87</v>
      </c>
      <c r="N223" s="22"/>
    </row>
    <row r="224" ht="25.5" customHeight="1">
      <c r="A224" s="14" t="s">
        <v>312</v>
      </c>
      <c r="B224" s="15" t="s">
        <v>83</v>
      </c>
      <c r="C224" s="15" t="s">
        <v>69</v>
      </c>
      <c r="D224" s="15" t="s">
        <v>321</v>
      </c>
      <c r="E224" s="15" t="s">
        <v>34</v>
      </c>
      <c r="F224" s="15" t="s">
        <v>34</v>
      </c>
      <c r="G224" s="15" t="s">
        <v>34</v>
      </c>
      <c r="H224" s="15" t="s">
        <v>33</v>
      </c>
      <c r="I224" s="15" t="s">
        <v>34</v>
      </c>
      <c r="J224" s="15" t="s">
        <v>34</v>
      </c>
      <c r="K224" s="15" t="s">
        <v>31</v>
      </c>
      <c r="L224" s="16"/>
      <c r="M224" s="15" t="s">
        <v>87</v>
      </c>
      <c r="N224" s="23"/>
    </row>
    <row r="225" ht="25.5" customHeight="1">
      <c r="A225" s="18" t="s">
        <v>312</v>
      </c>
      <c r="B225" s="19" t="s">
        <v>83</v>
      </c>
      <c r="C225" s="19" t="s">
        <v>69</v>
      </c>
      <c r="D225" s="19" t="s">
        <v>321</v>
      </c>
      <c r="E225" s="19" t="s">
        <v>34</v>
      </c>
      <c r="F225" s="19" t="s">
        <v>34</v>
      </c>
      <c r="G225" s="19" t="s">
        <v>34</v>
      </c>
      <c r="H225" s="19" t="s">
        <v>33</v>
      </c>
      <c r="I225" s="19" t="s">
        <v>34</v>
      </c>
      <c r="J225" s="19" t="s">
        <v>34</v>
      </c>
      <c r="K225" s="19" t="s">
        <v>31</v>
      </c>
      <c r="L225" s="20"/>
      <c r="M225" s="19" t="s">
        <v>87</v>
      </c>
      <c r="N225" s="22"/>
    </row>
    <row r="226" ht="25.5" customHeight="1">
      <c r="A226" s="14" t="s">
        <v>312</v>
      </c>
      <c r="B226" s="15" t="s">
        <v>83</v>
      </c>
      <c r="C226" s="15" t="s">
        <v>69</v>
      </c>
      <c r="D226" s="15" t="s">
        <v>321</v>
      </c>
      <c r="E226" s="15" t="s">
        <v>34</v>
      </c>
      <c r="F226" s="15" t="s">
        <v>34</v>
      </c>
      <c r="G226" s="15" t="s">
        <v>34</v>
      </c>
      <c r="H226" s="15" t="s">
        <v>33</v>
      </c>
      <c r="I226" s="15" t="s">
        <v>34</v>
      </c>
      <c r="J226" s="15" t="s">
        <v>34</v>
      </c>
      <c r="K226" s="15" t="s">
        <v>31</v>
      </c>
      <c r="L226" s="16"/>
      <c r="M226" s="15" t="s">
        <v>87</v>
      </c>
      <c r="N226" s="23"/>
    </row>
    <row r="227" ht="25.5" customHeight="1">
      <c r="A227" s="18" t="s">
        <v>312</v>
      </c>
      <c r="B227" s="19" t="s">
        <v>83</v>
      </c>
      <c r="C227" s="19" t="s">
        <v>69</v>
      </c>
      <c r="D227" s="19" t="s">
        <v>321</v>
      </c>
      <c r="E227" s="19" t="s">
        <v>34</v>
      </c>
      <c r="F227" s="19" t="s">
        <v>34</v>
      </c>
      <c r="G227" s="19" t="s">
        <v>34</v>
      </c>
      <c r="H227" s="19" t="s">
        <v>33</v>
      </c>
      <c r="I227" s="19" t="s">
        <v>34</v>
      </c>
      <c r="J227" s="20"/>
      <c r="K227" s="20" t="s">
        <v>31</v>
      </c>
      <c r="L227" s="20"/>
      <c r="M227" s="19" t="s">
        <v>87</v>
      </c>
      <c r="N227" s="22"/>
    </row>
    <row r="228" ht="25.5" customHeight="1">
      <c r="A228" s="14" t="s">
        <v>283</v>
      </c>
      <c r="B228" s="15" t="s">
        <v>322</v>
      </c>
      <c r="C228" s="15" t="s">
        <v>29</v>
      </c>
      <c r="D228" s="15" t="s">
        <v>34</v>
      </c>
      <c r="E228" s="15" t="s">
        <v>34</v>
      </c>
      <c r="F228" s="15" t="s">
        <v>34</v>
      </c>
      <c r="G228" s="15" t="s">
        <v>34</v>
      </c>
      <c r="H228" s="15" t="s">
        <v>34</v>
      </c>
      <c r="I228" s="15" t="s">
        <v>34</v>
      </c>
      <c r="J228" s="15" t="s">
        <v>90</v>
      </c>
      <c r="K228" s="15"/>
      <c r="L228" s="16"/>
      <c r="M228" s="15" t="s">
        <v>100</v>
      </c>
      <c r="N228" s="23"/>
    </row>
    <row r="229" ht="25.5" customHeight="1">
      <c r="A229" s="18" t="s">
        <v>283</v>
      </c>
      <c r="B229" s="25" t="s">
        <v>213</v>
      </c>
      <c r="C229" s="19" t="s">
        <v>29</v>
      </c>
      <c r="D229" s="19" t="s">
        <v>34</v>
      </c>
      <c r="E229" s="19" t="s">
        <v>34</v>
      </c>
      <c r="F229" s="19" t="s">
        <v>34</v>
      </c>
      <c r="G229" s="19" t="s">
        <v>34</v>
      </c>
      <c r="H229" s="19" t="s">
        <v>34</v>
      </c>
      <c r="I229" s="19" t="s">
        <v>34</v>
      </c>
      <c r="J229" s="19" t="s">
        <v>90</v>
      </c>
      <c r="K229" s="19"/>
      <c r="L229" s="20"/>
      <c r="M229" s="19" t="s">
        <v>214</v>
      </c>
      <c r="N229" s="22"/>
    </row>
    <row r="230" ht="25.5" customHeight="1">
      <c r="A230" s="14" t="s">
        <v>283</v>
      </c>
      <c r="B230" s="15" t="s">
        <v>323</v>
      </c>
      <c r="C230" s="15" t="s">
        <v>29</v>
      </c>
      <c r="D230" s="15" t="s">
        <v>34</v>
      </c>
      <c r="E230" s="15" t="s">
        <v>34</v>
      </c>
      <c r="F230" s="15" t="s">
        <v>34</v>
      </c>
      <c r="G230" s="15" t="s">
        <v>34</v>
      </c>
      <c r="H230" s="15" t="s">
        <v>34</v>
      </c>
      <c r="I230" s="15" t="s">
        <v>34</v>
      </c>
      <c r="J230" s="15" t="s">
        <v>90</v>
      </c>
      <c r="K230" s="15"/>
      <c r="L230" s="16"/>
      <c r="M230" s="15" t="s">
        <v>178</v>
      </c>
      <c r="N230" s="23"/>
    </row>
    <row r="231" ht="25.5" customHeight="1">
      <c r="A231" s="18" t="s">
        <v>283</v>
      </c>
      <c r="B231" s="19" t="s">
        <v>324</v>
      </c>
      <c r="C231" s="19" t="s">
        <v>29</v>
      </c>
      <c r="D231" s="19" t="s">
        <v>34</v>
      </c>
      <c r="E231" s="19" t="s">
        <v>34</v>
      </c>
      <c r="F231" s="19" t="s">
        <v>34</v>
      </c>
      <c r="G231" s="19" t="s">
        <v>34</v>
      </c>
      <c r="H231" s="19" t="s">
        <v>34</v>
      </c>
      <c r="I231" s="19" t="s">
        <v>34</v>
      </c>
      <c r="J231" s="19" t="s">
        <v>90</v>
      </c>
      <c r="K231" s="19"/>
      <c r="L231" s="20"/>
      <c r="M231" s="19" t="s">
        <v>178</v>
      </c>
      <c r="N231" s="22"/>
    </row>
    <row r="232" ht="25.5" customHeight="1">
      <c r="A232" s="14" t="s">
        <v>283</v>
      </c>
      <c r="B232" s="15" t="s">
        <v>223</v>
      </c>
      <c r="C232" s="15" t="s">
        <v>29</v>
      </c>
      <c r="D232" s="15" t="s">
        <v>34</v>
      </c>
      <c r="E232" s="15" t="s">
        <v>34</v>
      </c>
      <c r="F232" s="15" t="s">
        <v>34</v>
      </c>
      <c r="G232" s="15" t="s">
        <v>34</v>
      </c>
      <c r="H232" s="15" t="s">
        <v>34</v>
      </c>
      <c r="I232" s="15" t="s">
        <v>34</v>
      </c>
      <c r="J232" s="15" t="s">
        <v>90</v>
      </c>
      <c r="K232" s="15"/>
      <c r="L232" s="16"/>
      <c r="M232" s="15" t="s">
        <v>72</v>
      </c>
      <c r="N232" s="23"/>
    </row>
    <row r="233" ht="25.5" customHeight="1">
      <c r="A233" s="18" t="s">
        <v>283</v>
      </c>
      <c r="B233" s="19" t="s">
        <v>325</v>
      </c>
      <c r="C233" s="19" t="s">
        <v>29</v>
      </c>
      <c r="D233" s="19" t="s">
        <v>34</v>
      </c>
      <c r="E233" s="19" t="s">
        <v>34</v>
      </c>
      <c r="F233" s="19" t="s">
        <v>34</v>
      </c>
      <c r="G233" s="19" t="s">
        <v>34</v>
      </c>
      <c r="H233" s="19" t="s">
        <v>34</v>
      </c>
      <c r="I233" s="19" t="s">
        <v>34</v>
      </c>
      <c r="J233" s="19" t="s">
        <v>90</v>
      </c>
      <c r="K233" s="19"/>
      <c r="L233" s="20"/>
      <c r="M233" s="19" t="s">
        <v>170</v>
      </c>
      <c r="N233" s="22"/>
    </row>
    <row r="234" ht="25.5" customHeight="1">
      <c r="A234" s="14" t="s">
        <v>283</v>
      </c>
      <c r="B234" s="15" t="s">
        <v>326</v>
      </c>
      <c r="C234" s="15" t="s">
        <v>29</v>
      </c>
      <c r="D234" s="15" t="s">
        <v>34</v>
      </c>
      <c r="E234" s="15" t="s">
        <v>34</v>
      </c>
      <c r="F234" s="15" t="s">
        <v>34</v>
      </c>
      <c r="G234" s="15" t="s">
        <v>34</v>
      </c>
      <c r="H234" s="15" t="s">
        <v>34</v>
      </c>
      <c r="I234" s="15" t="s">
        <v>34</v>
      </c>
      <c r="J234" s="15" t="s">
        <v>90</v>
      </c>
      <c r="K234" s="15"/>
      <c r="L234" s="16"/>
      <c r="M234" s="15" t="s">
        <v>327</v>
      </c>
      <c r="N234" s="23"/>
    </row>
    <row r="235" ht="25.5" customHeight="1">
      <c r="A235" s="18" t="s">
        <v>283</v>
      </c>
      <c r="B235" s="19" t="s">
        <v>227</v>
      </c>
      <c r="C235" s="19" t="s">
        <v>29</v>
      </c>
      <c r="D235" s="19" t="s">
        <v>34</v>
      </c>
      <c r="E235" s="19" t="s">
        <v>34</v>
      </c>
      <c r="F235" s="19" t="s">
        <v>34</v>
      </c>
      <c r="G235" s="19" t="s">
        <v>34</v>
      </c>
      <c r="H235" s="19" t="s">
        <v>34</v>
      </c>
      <c r="I235" s="19" t="s">
        <v>34</v>
      </c>
      <c r="J235" s="19" t="s">
        <v>90</v>
      </c>
      <c r="K235" s="19"/>
      <c r="L235" s="20"/>
      <c r="M235" s="19" t="s">
        <v>100</v>
      </c>
      <c r="N235" s="22"/>
    </row>
    <row r="236" ht="25.5" customHeight="1">
      <c r="A236" s="14" t="s">
        <v>283</v>
      </c>
      <c r="B236" s="15" t="s">
        <v>328</v>
      </c>
      <c r="C236" s="15" t="s">
        <v>29</v>
      </c>
      <c r="D236" s="15" t="s">
        <v>34</v>
      </c>
      <c r="E236" s="15" t="s">
        <v>34</v>
      </c>
      <c r="F236" s="15" t="s">
        <v>34</v>
      </c>
      <c r="G236" s="15" t="s">
        <v>34</v>
      </c>
      <c r="H236" s="15" t="s">
        <v>34</v>
      </c>
      <c r="I236" s="15" t="s">
        <v>34</v>
      </c>
      <c r="J236" s="15" t="s">
        <v>90</v>
      </c>
      <c r="K236" s="15"/>
      <c r="L236" s="16"/>
      <c r="M236" s="15" t="s">
        <v>100</v>
      </c>
      <c r="N236" s="23"/>
    </row>
    <row r="237" ht="25.5" customHeight="1">
      <c r="A237" s="18" t="s">
        <v>283</v>
      </c>
      <c r="B237" s="19" t="s">
        <v>329</v>
      </c>
      <c r="C237" s="19" t="s">
        <v>29</v>
      </c>
      <c r="D237" s="19" t="s">
        <v>34</v>
      </c>
      <c r="E237" s="19" t="s">
        <v>34</v>
      </c>
      <c r="F237" s="19" t="s">
        <v>34</v>
      </c>
      <c r="G237" s="19" t="s">
        <v>34</v>
      </c>
      <c r="H237" s="19" t="s">
        <v>34</v>
      </c>
      <c r="I237" s="19" t="s">
        <v>34</v>
      </c>
      <c r="J237" s="19" t="s">
        <v>90</v>
      </c>
      <c r="K237" s="19"/>
      <c r="L237" s="20"/>
      <c r="M237" s="19" t="s">
        <v>178</v>
      </c>
      <c r="N237" s="22"/>
    </row>
    <row r="238" ht="25.5" customHeight="1">
      <c r="A238" s="14" t="s">
        <v>283</v>
      </c>
      <c r="B238" s="15" t="s">
        <v>330</v>
      </c>
      <c r="C238" s="15" t="s">
        <v>29</v>
      </c>
      <c r="D238" s="15" t="s">
        <v>34</v>
      </c>
      <c r="E238" s="15" t="s">
        <v>34</v>
      </c>
      <c r="F238" s="15" t="s">
        <v>34</v>
      </c>
      <c r="G238" s="15" t="s">
        <v>34</v>
      </c>
      <c r="H238" s="15" t="s">
        <v>34</v>
      </c>
      <c r="I238" s="15" t="s">
        <v>34</v>
      </c>
      <c r="J238" s="15" t="s">
        <v>90</v>
      </c>
      <c r="K238" s="15"/>
      <c r="L238" s="16"/>
      <c r="M238" s="15" t="s">
        <v>100</v>
      </c>
      <c r="N238" s="23"/>
    </row>
    <row r="239" ht="25.5" customHeight="1">
      <c r="A239" s="18" t="s">
        <v>331</v>
      </c>
      <c r="B239" s="19" t="s">
        <v>47</v>
      </c>
      <c r="C239" s="19" t="s">
        <v>29</v>
      </c>
      <c r="D239" s="19" t="s">
        <v>332</v>
      </c>
      <c r="E239" s="19" t="s">
        <v>32</v>
      </c>
      <c r="F239" s="19" t="s">
        <v>34</v>
      </c>
      <c r="G239" s="19" t="s">
        <v>216</v>
      </c>
      <c r="H239" s="19" t="s">
        <v>34</v>
      </c>
      <c r="I239" s="19" t="s">
        <v>219</v>
      </c>
      <c r="J239" s="19" t="s">
        <v>333</v>
      </c>
      <c r="K239" s="19"/>
      <c r="L239" s="20"/>
      <c r="M239" s="19" t="s">
        <v>36</v>
      </c>
      <c r="N239" s="22"/>
    </row>
    <row r="240" ht="25.5" customHeight="1">
      <c r="A240" s="14" t="s">
        <v>331</v>
      </c>
      <c r="B240" s="15" t="s">
        <v>334</v>
      </c>
      <c r="C240" s="15" t="s">
        <v>29</v>
      </c>
      <c r="D240" s="15" t="s">
        <v>335</v>
      </c>
      <c r="E240" s="15" t="s">
        <v>32</v>
      </c>
      <c r="F240" s="15" t="s">
        <v>34</v>
      </c>
      <c r="G240" s="15" t="s">
        <v>216</v>
      </c>
      <c r="H240" s="15" t="s">
        <v>34</v>
      </c>
      <c r="I240" s="15" t="s">
        <v>219</v>
      </c>
      <c r="J240" s="15" t="s">
        <v>336</v>
      </c>
      <c r="K240" s="15"/>
      <c r="L240" s="16"/>
      <c r="M240" s="15" t="s">
        <v>36</v>
      </c>
      <c r="N240" s="23"/>
    </row>
    <row r="241" ht="25.5" customHeight="1">
      <c r="A241" s="18" t="s">
        <v>337</v>
      </c>
      <c r="B241" s="19" t="s">
        <v>83</v>
      </c>
      <c r="C241" s="19" t="s">
        <v>29</v>
      </c>
      <c r="D241" s="19" t="s">
        <v>338</v>
      </c>
      <c r="E241" s="19" t="s">
        <v>34</v>
      </c>
      <c r="F241" s="19" t="s">
        <v>34</v>
      </c>
      <c r="G241" s="19" t="s">
        <v>34</v>
      </c>
      <c r="H241" s="19" t="s">
        <v>34</v>
      </c>
      <c r="I241" s="19" t="s">
        <v>34</v>
      </c>
      <c r="J241" s="19" t="s">
        <v>90</v>
      </c>
      <c r="K241" s="19"/>
      <c r="L241" s="20"/>
      <c r="M241" s="20"/>
      <c r="N241" s="22"/>
    </row>
    <row r="242" ht="25.5" customHeight="1">
      <c r="A242" s="14" t="s">
        <v>337</v>
      </c>
      <c r="B242" s="15" t="s">
        <v>146</v>
      </c>
      <c r="C242" s="15" t="s">
        <v>29</v>
      </c>
      <c r="D242" s="15" t="s">
        <v>339</v>
      </c>
      <c r="E242" s="15" t="s">
        <v>34</v>
      </c>
      <c r="F242" s="15" t="s">
        <v>34</v>
      </c>
      <c r="G242" s="15" t="s">
        <v>34</v>
      </c>
      <c r="H242" s="15" t="s">
        <v>34</v>
      </c>
      <c r="I242" s="15" t="s">
        <v>34</v>
      </c>
      <c r="J242" s="15" t="s">
        <v>90</v>
      </c>
      <c r="K242" s="15"/>
      <c r="L242" s="16"/>
      <c r="M242" s="15" t="s">
        <v>149</v>
      </c>
      <c r="N242" s="23"/>
    </row>
    <row r="243" ht="25.5" customHeight="1">
      <c r="A243" s="18" t="s">
        <v>337</v>
      </c>
      <c r="B243" s="19" t="s">
        <v>83</v>
      </c>
      <c r="C243" s="19" t="s">
        <v>29</v>
      </c>
      <c r="D243" s="19" t="s">
        <v>338</v>
      </c>
      <c r="E243" s="19" t="s">
        <v>34</v>
      </c>
      <c r="F243" s="19" t="s">
        <v>34</v>
      </c>
      <c r="G243" s="19" t="s">
        <v>34</v>
      </c>
      <c r="H243" s="19" t="s">
        <v>34</v>
      </c>
      <c r="I243" s="19" t="s">
        <v>34</v>
      </c>
      <c r="J243" s="19" t="s">
        <v>90</v>
      </c>
      <c r="K243" s="19"/>
      <c r="L243" s="20"/>
      <c r="M243" s="19" t="s">
        <v>340</v>
      </c>
      <c r="N243" s="22"/>
    </row>
    <row r="244" ht="25.5" customHeight="1">
      <c r="A244" s="14" t="s">
        <v>337</v>
      </c>
      <c r="B244" s="15" t="s">
        <v>341</v>
      </c>
      <c r="C244" s="15" t="s">
        <v>29</v>
      </c>
      <c r="D244" s="15" t="s">
        <v>342</v>
      </c>
      <c r="E244" s="15" t="s">
        <v>34</v>
      </c>
      <c r="F244" s="15" t="s">
        <v>34</v>
      </c>
      <c r="G244" s="15" t="s">
        <v>34</v>
      </c>
      <c r="H244" s="15" t="s">
        <v>34</v>
      </c>
      <c r="I244" s="15" t="s">
        <v>34</v>
      </c>
      <c r="J244" s="15" t="s">
        <v>90</v>
      </c>
      <c r="K244" s="15"/>
      <c r="L244" s="16"/>
      <c r="M244" s="15" t="s">
        <v>36</v>
      </c>
      <c r="N244" s="23"/>
    </row>
    <row r="245" ht="25.5" customHeight="1">
      <c r="A245" s="18" t="s">
        <v>337</v>
      </c>
      <c r="B245" s="19" t="s">
        <v>343</v>
      </c>
      <c r="C245" s="19" t="s">
        <v>29</v>
      </c>
      <c r="D245" s="19" t="s">
        <v>342</v>
      </c>
      <c r="E245" s="19" t="s">
        <v>34</v>
      </c>
      <c r="F245" s="19" t="s">
        <v>34</v>
      </c>
      <c r="G245" s="19" t="s">
        <v>34</v>
      </c>
      <c r="H245" s="19" t="s">
        <v>34</v>
      </c>
      <c r="I245" s="19" t="s">
        <v>34</v>
      </c>
      <c r="J245" s="19" t="s">
        <v>90</v>
      </c>
      <c r="K245" s="19"/>
      <c r="L245" s="20"/>
      <c r="M245" s="19" t="s">
        <v>36</v>
      </c>
      <c r="N245" s="22"/>
    </row>
    <row r="246" ht="25.5" customHeight="1">
      <c r="A246" s="14" t="s">
        <v>337</v>
      </c>
      <c r="B246" s="15" t="s">
        <v>344</v>
      </c>
      <c r="C246" s="15" t="s">
        <v>29</v>
      </c>
      <c r="D246" s="15" t="s">
        <v>345</v>
      </c>
      <c r="E246" s="15" t="s">
        <v>34</v>
      </c>
      <c r="F246" s="15" t="s">
        <v>34</v>
      </c>
      <c r="G246" s="15" t="s">
        <v>34</v>
      </c>
      <c r="H246" s="15" t="s">
        <v>34</v>
      </c>
      <c r="I246" s="15" t="s">
        <v>34</v>
      </c>
      <c r="J246" s="15" t="s">
        <v>90</v>
      </c>
      <c r="K246" s="15"/>
      <c r="L246" s="16"/>
      <c r="M246" s="15" t="s">
        <v>178</v>
      </c>
      <c r="N246" s="23"/>
    </row>
    <row r="247" ht="25.5" customHeight="1">
      <c r="A247" s="18" t="s">
        <v>337</v>
      </c>
      <c r="B247" s="19" t="s">
        <v>346</v>
      </c>
      <c r="C247" s="19" t="s">
        <v>29</v>
      </c>
      <c r="D247" s="19" t="s">
        <v>345</v>
      </c>
      <c r="E247" s="19" t="s">
        <v>34</v>
      </c>
      <c r="F247" s="19" t="s">
        <v>34</v>
      </c>
      <c r="G247" s="19" t="s">
        <v>34</v>
      </c>
      <c r="H247" s="19" t="s">
        <v>34</v>
      </c>
      <c r="I247" s="19" t="s">
        <v>34</v>
      </c>
      <c r="J247" s="19" t="s">
        <v>90</v>
      </c>
      <c r="K247" s="19"/>
      <c r="L247" s="20"/>
      <c r="M247" s="19" t="s">
        <v>100</v>
      </c>
      <c r="N247" s="22"/>
    </row>
    <row r="248" ht="25.5" customHeight="1">
      <c r="A248" s="14" t="s">
        <v>337</v>
      </c>
      <c r="B248" s="15" t="s">
        <v>347</v>
      </c>
      <c r="C248" s="15" t="s">
        <v>29</v>
      </c>
      <c r="D248" s="15" t="s">
        <v>348</v>
      </c>
      <c r="E248" s="15" t="s">
        <v>34</v>
      </c>
      <c r="F248" s="15" t="s">
        <v>34</v>
      </c>
      <c r="G248" s="15" t="s">
        <v>34</v>
      </c>
      <c r="H248" s="15" t="s">
        <v>34</v>
      </c>
      <c r="I248" s="15" t="s">
        <v>34</v>
      </c>
      <c r="J248" s="15" t="s">
        <v>34</v>
      </c>
      <c r="K248" s="15"/>
      <c r="L248" s="16"/>
      <c r="M248" s="15" t="s">
        <v>87</v>
      </c>
      <c r="N248" s="23"/>
    </row>
    <row r="249" ht="25.5" customHeight="1">
      <c r="A249" s="18" t="s">
        <v>337</v>
      </c>
      <c r="B249" s="19" t="s">
        <v>349</v>
      </c>
      <c r="C249" s="19" t="s">
        <v>29</v>
      </c>
      <c r="D249" s="19" t="s">
        <v>348</v>
      </c>
      <c r="E249" s="19" t="s">
        <v>34</v>
      </c>
      <c r="F249" s="19" t="s">
        <v>34</v>
      </c>
      <c r="G249" s="19" t="s">
        <v>34</v>
      </c>
      <c r="H249" s="19" t="s">
        <v>34</v>
      </c>
      <c r="I249" s="19" t="s">
        <v>34</v>
      </c>
      <c r="J249" s="19" t="s">
        <v>34</v>
      </c>
      <c r="K249" s="19"/>
      <c r="L249" s="20"/>
      <c r="M249" s="19" t="s">
        <v>87</v>
      </c>
      <c r="N249" s="22"/>
    </row>
    <row r="250" ht="25.5" customHeight="1">
      <c r="A250" s="14" t="s">
        <v>337</v>
      </c>
      <c r="B250" s="15" t="s">
        <v>350</v>
      </c>
      <c r="C250" s="15" t="s">
        <v>29</v>
      </c>
      <c r="D250" s="15" t="s">
        <v>348</v>
      </c>
      <c r="E250" s="15" t="s">
        <v>34</v>
      </c>
      <c r="F250" s="15" t="s">
        <v>34</v>
      </c>
      <c r="G250" s="15" t="s">
        <v>34</v>
      </c>
      <c r="H250" s="15" t="s">
        <v>34</v>
      </c>
      <c r="I250" s="15" t="s">
        <v>34</v>
      </c>
      <c r="J250" s="15" t="s">
        <v>34</v>
      </c>
      <c r="K250" s="15"/>
      <c r="L250" s="16"/>
      <c r="M250" s="15" t="s">
        <v>87</v>
      </c>
      <c r="N250" s="23"/>
    </row>
    <row r="251" ht="25.5" customHeight="1">
      <c r="A251" s="18" t="s">
        <v>337</v>
      </c>
      <c r="B251" s="19" t="s">
        <v>322</v>
      </c>
      <c r="C251" s="19" t="s">
        <v>29</v>
      </c>
      <c r="D251" s="19" t="s">
        <v>348</v>
      </c>
      <c r="E251" s="19" t="s">
        <v>34</v>
      </c>
      <c r="F251" s="19" t="s">
        <v>34</v>
      </c>
      <c r="G251" s="19" t="s">
        <v>34</v>
      </c>
      <c r="H251" s="19" t="s">
        <v>34</v>
      </c>
      <c r="I251" s="19" t="s">
        <v>34</v>
      </c>
      <c r="J251" s="19" t="s">
        <v>34</v>
      </c>
      <c r="K251" s="19"/>
      <c r="L251" s="20"/>
      <c r="M251" s="19" t="s">
        <v>87</v>
      </c>
      <c r="N251" s="22"/>
    </row>
    <row r="252" ht="25.5" customHeight="1">
      <c r="A252" s="14" t="s">
        <v>351</v>
      </c>
      <c r="B252" s="15" t="s">
        <v>146</v>
      </c>
      <c r="C252" s="15" t="s">
        <v>29</v>
      </c>
      <c r="D252" s="15" t="s">
        <v>352</v>
      </c>
      <c r="E252" s="15" t="s">
        <v>34</v>
      </c>
      <c r="F252" s="15" t="s">
        <v>34</v>
      </c>
      <c r="G252" s="15" t="s">
        <v>32</v>
      </c>
      <c r="H252" s="15" t="s">
        <v>33</v>
      </c>
      <c r="I252" s="15" t="s">
        <v>34</v>
      </c>
      <c r="J252" s="15" t="s">
        <v>353</v>
      </c>
      <c r="K252" s="15"/>
      <c r="L252" s="16"/>
      <c r="M252" s="15" t="s">
        <v>149</v>
      </c>
      <c r="N252" s="23"/>
    </row>
    <row r="253" ht="25.5" customHeight="1">
      <c r="A253" s="18" t="s">
        <v>351</v>
      </c>
      <c r="B253" s="19" t="s">
        <v>47</v>
      </c>
      <c r="C253" s="19" t="s">
        <v>84</v>
      </c>
      <c r="D253" s="19" t="s">
        <v>354</v>
      </c>
      <c r="E253" s="19" t="s">
        <v>34</v>
      </c>
      <c r="F253" s="19" t="s">
        <v>34</v>
      </c>
      <c r="G253" s="19" t="s">
        <v>32</v>
      </c>
      <c r="H253" s="19" t="s">
        <v>33</v>
      </c>
      <c r="I253" s="19" t="s">
        <v>34</v>
      </c>
      <c r="J253" s="19" t="s">
        <v>355</v>
      </c>
      <c r="K253" s="19"/>
      <c r="L253" s="20"/>
      <c r="M253" s="19" t="s">
        <v>36</v>
      </c>
      <c r="N253" s="22"/>
    </row>
    <row r="254" ht="25.5" customHeight="1">
      <c r="A254" s="14" t="s">
        <v>351</v>
      </c>
      <c r="B254" s="15" t="s">
        <v>283</v>
      </c>
      <c r="C254" s="15" t="s">
        <v>84</v>
      </c>
      <c r="D254" s="15" t="s">
        <v>354</v>
      </c>
      <c r="E254" s="15" t="s">
        <v>34</v>
      </c>
      <c r="F254" s="15" t="s">
        <v>34</v>
      </c>
      <c r="G254" s="15" t="s">
        <v>32</v>
      </c>
      <c r="H254" s="15" t="s">
        <v>33</v>
      </c>
      <c r="I254" s="15" t="s">
        <v>34</v>
      </c>
      <c r="J254" s="15" t="s">
        <v>355</v>
      </c>
      <c r="K254" s="15"/>
      <c r="L254" s="16"/>
      <c r="M254" s="15" t="s">
        <v>36</v>
      </c>
      <c r="N254" s="23"/>
    </row>
    <row r="255" ht="25.5" customHeight="1">
      <c r="A255" s="18" t="s">
        <v>351</v>
      </c>
      <c r="B255" s="19" t="s">
        <v>212</v>
      </c>
      <c r="C255" s="19" t="s">
        <v>84</v>
      </c>
      <c r="D255" s="19" t="s">
        <v>354</v>
      </c>
      <c r="E255" s="19" t="s">
        <v>34</v>
      </c>
      <c r="F255" s="19" t="s">
        <v>34</v>
      </c>
      <c r="G255" s="19" t="s">
        <v>32</v>
      </c>
      <c r="H255" s="19" t="s">
        <v>33</v>
      </c>
      <c r="I255" s="19" t="s">
        <v>34</v>
      </c>
      <c r="J255" s="19" t="s">
        <v>355</v>
      </c>
      <c r="K255" s="19"/>
      <c r="L255" s="20"/>
      <c r="M255" s="19" t="s">
        <v>36</v>
      </c>
      <c r="N255" s="22"/>
    </row>
    <row r="256" ht="25.5" customHeight="1">
      <c r="A256" s="14" t="s">
        <v>351</v>
      </c>
      <c r="B256" s="15" t="s">
        <v>356</v>
      </c>
      <c r="C256" s="15" t="s">
        <v>29</v>
      </c>
      <c r="D256" s="15" t="s">
        <v>354</v>
      </c>
      <c r="E256" s="15" t="s">
        <v>34</v>
      </c>
      <c r="F256" s="15" t="s">
        <v>34</v>
      </c>
      <c r="G256" s="15" t="s">
        <v>32</v>
      </c>
      <c r="H256" s="15" t="s">
        <v>34</v>
      </c>
      <c r="I256" s="15" t="s">
        <v>34</v>
      </c>
      <c r="J256" s="15" t="s">
        <v>357</v>
      </c>
      <c r="K256" s="15"/>
      <c r="L256" s="16"/>
      <c r="M256" s="15" t="s">
        <v>149</v>
      </c>
      <c r="N256" s="23"/>
    </row>
    <row r="257" ht="25.5" customHeight="1">
      <c r="A257" s="18" t="s">
        <v>351</v>
      </c>
      <c r="B257" s="19" t="s">
        <v>83</v>
      </c>
      <c r="C257" s="19" t="s">
        <v>29</v>
      </c>
      <c r="D257" s="19" t="s">
        <v>358</v>
      </c>
      <c r="E257" s="19" t="s">
        <v>34</v>
      </c>
      <c r="F257" s="19" t="s">
        <v>34</v>
      </c>
      <c r="G257" s="19" t="s">
        <v>32</v>
      </c>
      <c r="H257" s="19" t="s">
        <v>34</v>
      </c>
      <c r="I257" s="19" t="s">
        <v>34</v>
      </c>
      <c r="J257" s="19" t="s">
        <v>359</v>
      </c>
      <c r="K257" s="19"/>
      <c r="L257" s="20"/>
      <c r="M257" s="19" t="s">
        <v>340</v>
      </c>
      <c r="N257" s="22"/>
    </row>
    <row r="258" ht="25.5" customHeight="1">
      <c r="A258" s="14" t="s">
        <v>351</v>
      </c>
      <c r="B258" s="15" t="s">
        <v>277</v>
      </c>
      <c r="C258" s="15" t="s">
        <v>29</v>
      </c>
      <c r="D258" s="15" t="s">
        <v>111</v>
      </c>
      <c r="E258" s="15" t="s">
        <v>34</v>
      </c>
      <c r="F258" s="15" t="s">
        <v>34</v>
      </c>
      <c r="G258" s="15" t="s">
        <v>216</v>
      </c>
      <c r="H258" s="15" t="s">
        <v>360</v>
      </c>
      <c r="I258" s="15" t="s">
        <v>34</v>
      </c>
      <c r="J258" s="27" t="s">
        <v>361</v>
      </c>
      <c r="K258" s="27"/>
      <c r="L258" s="16"/>
      <c r="M258" s="15" t="s">
        <v>112</v>
      </c>
      <c r="N258" s="23"/>
    </row>
    <row r="259" ht="25.5" customHeight="1">
      <c r="A259" s="18" t="s">
        <v>351</v>
      </c>
      <c r="B259" s="19" t="s">
        <v>362</v>
      </c>
      <c r="C259" s="19" t="s">
        <v>92</v>
      </c>
      <c r="D259" s="19" t="s">
        <v>363</v>
      </c>
      <c r="E259" s="19" t="s">
        <v>32</v>
      </c>
      <c r="F259" s="19" t="s">
        <v>31</v>
      </c>
      <c r="G259" s="19" t="s">
        <v>216</v>
      </c>
      <c r="H259" s="19" t="s">
        <v>304</v>
      </c>
      <c r="I259" s="19" t="s">
        <v>34</v>
      </c>
      <c r="J259" s="19" t="s">
        <v>364</v>
      </c>
      <c r="K259" s="19"/>
      <c r="L259" s="20"/>
      <c r="M259" s="19" t="s">
        <v>100</v>
      </c>
      <c r="N259" s="22"/>
    </row>
    <row r="260" ht="25.5" customHeight="1">
      <c r="A260" s="14" t="s">
        <v>351</v>
      </c>
      <c r="B260" s="15" t="s">
        <v>365</v>
      </c>
      <c r="C260" s="15" t="s">
        <v>117</v>
      </c>
      <c r="D260" s="15" t="s">
        <v>366</v>
      </c>
      <c r="E260" s="15" t="s">
        <v>31</v>
      </c>
      <c r="F260" s="15" t="s">
        <v>31</v>
      </c>
      <c r="G260" s="15" t="s">
        <v>32</v>
      </c>
      <c r="H260" s="15" t="s">
        <v>33</v>
      </c>
      <c r="I260" s="15" t="s">
        <v>34</v>
      </c>
      <c r="J260" s="15" t="s">
        <v>367</v>
      </c>
      <c r="K260" s="15"/>
      <c r="L260" s="16"/>
      <c r="M260" s="15" t="s">
        <v>87</v>
      </c>
      <c r="N260" s="23"/>
    </row>
    <row r="261" ht="25.5" customHeight="1">
      <c r="A261" s="18" t="s">
        <v>351</v>
      </c>
      <c r="B261" s="19" t="s">
        <v>368</v>
      </c>
      <c r="C261" s="19" t="s">
        <v>117</v>
      </c>
      <c r="D261" s="19" t="s">
        <v>366</v>
      </c>
      <c r="E261" s="19" t="s">
        <v>31</v>
      </c>
      <c r="F261" s="19" t="s">
        <v>31</v>
      </c>
      <c r="G261" s="19" t="s">
        <v>32</v>
      </c>
      <c r="H261" s="19" t="s">
        <v>33</v>
      </c>
      <c r="I261" s="19" t="s">
        <v>34</v>
      </c>
      <c r="J261" s="19" t="s">
        <v>367</v>
      </c>
      <c r="K261" s="19"/>
      <c r="L261" s="20"/>
      <c r="M261" s="19" t="s">
        <v>87</v>
      </c>
      <c r="N261" s="22"/>
    </row>
    <row r="262" ht="25.5" customHeight="1">
      <c r="A262" s="14" t="s">
        <v>351</v>
      </c>
      <c r="B262" s="15" t="s">
        <v>53</v>
      </c>
      <c r="C262" s="15" t="s">
        <v>117</v>
      </c>
      <c r="D262" s="15" t="s">
        <v>366</v>
      </c>
      <c r="E262" s="15" t="s">
        <v>31</v>
      </c>
      <c r="F262" s="15" t="s">
        <v>31</v>
      </c>
      <c r="G262" s="15" t="s">
        <v>32</v>
      </c>
      <c r="H262" s="15" t="s">
        <v>33</v>
      </c>
      <c r="I262" s="15" t="s">
        <v>34</v>
      </c>
      <c r="J262" s="15" t="s">
        <v>367</v>
      </c>
      <c r="K262" s="15"/>
      <c r="L262" s="16"/>
      <c r="M262" s="15" t="s">
        <v>87</v>
      </c>
      <c r="N262" s="23"/>
    </row>
    <row r="263" ht="25.5" customHeight="1">
      <c r="A263" s="18" t="s">
        <v>351</v>
      </c>
      <c r="B263" s="19" t="s">
        <v>369</v>
      </c>
      <c r="C263" s="19" t="s">
        <v>117</v>
      </c>
      <c r="D263" s="19" t="s">
        <v>370</v>
      </c>
      <c r="E263" s="19" t="s">
        <v>31</v>
      </c>
      <c r="F263" s="19" t="s">
        <v>31</v>
      </c>
      <c r="G263" s="19" t="s">
        <v>32</v>
      </c>
      <c r="H263" s="19" t="s">
        <v>33</v>
      </c>
      <c r="I263" s="19" t="s">
        <v>34</v>
      </c>
      <c r="J263" s="19" t="s">
        <v>367</v>
      </c>
      <c r="K263" s="19"/>
      <c r="L263" s="20"/>
      <c r="M263" s="19" t="s">
        <v>87</v>
      </c>
      <c r="N263" s="22"/>
    </row>
    <row r="264" ht="25.5" customHeight="1">
      <c r="A264" s="14" t="s">
        <v>52</v>
      </c>
      <c r="B264" s="15" t="s">
        <v>146</v>
      </c>
      <c r="C264" s="15" t="s">
        <v>117</v>
      </c>
      <c r="D264" s="15" t="s">
        <v>153</v>
      </c>
      <c r="E264" s="15" t="s">
        <v>32</v>
      </c>
      <c r="F264" s="15" t="s">
        <v>34</v>
      </c>
      <c r="G264" s="15" t="s">
        <v>34</v>
      </c>
      <c r="H264" s="15" t="s">
        <v>34</v>
      </c>
      <c r="I264" s="15" t="s">
        <v>34</v>
      </c>
      <c r="J264" s="15" t="s">
        <v>90</v>
      </c>
      <c r="K264" s="15"/>
      <c r="L264" s="15" t="s">
        <v>371</v>
      </c>
      <c r="M264" s="15" t="s">
        <v>149</v>
      </c>
      <c r="N264" s="23"/>
    </row>
    <row r="265" ht="25.5" customHeight="1">
      <c r="A265" s="18" t="s">
        <v>52</v>
      </c>
      <c r="B265" s="19" t="s">
        <v>52</v>
      </c>
      <c r="C265" s="19" t="s">
        <v>117</v>
      </c>
      <c r="D265" s="19" t="s">
        <v>117</v>
      </c>
      <c r="E265" s="19" t="s">
        <v>117</v>
      </c>
      <c r="F265" s="19" t="s">
        <v>117</v>
      </c>
      <c r="G265" s="19" t="s">
        <v>117</v>
      </c>
      <c r="H265" s="19" t="s">
        <v>117</v>
      </c>
      <c r="I265" s="19" t="s">
        <v>117</v>
      </c>
      <c r="J265" s="19" t="s">
        <v>117</v>
      </c>
      <c r="K265" s="19" t="s">
        <v>117</v>
      </c>
      <c r="L265" s="19" t="s">
        <v>117</v>
      </c>
      <c r="M265" s="19" t="s">
        <v>170</v>
      </c>
      <c r="N265" s="22"/>
    </row>
    <row r="266" ht="25.5" customHeight="1">
      <c r="A266" s="14" t="s">
        <v>52</v>
      </c>
      <c r="B266" s="15" t="s">
        <v>52</v>
      </c>
      <c r="C266" s="15" t="s">
        <v>117</v>
      </c>
      <c r="D266" s="15" t="s">
        <v>117</v>
      </c>
      <c r="E266" s="15" t="s">
        <v>117</v>
      </c>
      <c r="F266" s="15" t="s">
        <v>117</v>
      </c>
      <c r="G266" s="15" t="s">
        <v>117</v>
      </c>
      <c r="H266" s="15" t="s">
        <v>117</v>
      </c>
      <c r="I266" s="15" t="s">
        <v>117</v>
      </c>
      <c r="J266" s="15" t="s">
        <v>117</v>
      </c>
      <c r="K266" s="15" t="s">
        <v>117</v>
      </c>
      <c r="L266" s="15" t="s">
        <v>117</v>
      </c>
      <c r="M266" s="15" t="s">
        <v>36</v>
      </c>
      <c r="N266" s="23"/>
    </row>
    <row r="267" ht="25.5" customHeight="1">
      <c r="A267" s="18" t="s">
        <v>52</v>
      </c>
      <c r="B267" s="19" t="s">
        <v>52</v>
      </c>
      <c r="C267" s="19" t="s">
        <v>117</v>
      </c>
      <c r="D267" s="19" t="s">
        <v>117</v>
      </c>
      <c r="E267" s="19" t="s">
        <v>117</v>
      </c>
      <c r="F267" s="19" t="s">
        <v>117</v>
      </c>
      <c r="G267" s="19" t="s">
        <v>117</v>
      </c>
      <c r="H267" s="19" t="s">
        <v>117</v>
      </c>
      <c r="I267" s="19" t="s">
        <v>117</v>
      </c>
      <c r="J267" s="19" t="s">
        <v>117</v>
      </c>
      <c r="K267" s="19" t="s">
        <v>117</v>
      </c>
      <c r="L267" s="19" t="s">
        <v>117</v>
      </c>
      <c r="M267" s="19" t="s">
        <v>372</v>
      </c>
      <c r="N267" s="22"/>
    </row>
    <row r="268" ht="25.5" customHeight="1">
      <c r="A268" s="14" t="s">
        <v>231</v>
      </c>
      <c r="B268" s="15" t="s">
        <v>146</v>
      </c>
      <c r="C268" s="15" t="s">
        <v>117</v>
      </c>
      <c r="D268" s="15" t="s">
        <v>153</v>
      </c>
      <c r="E268" s="15" t="s">
        <v>32</v>
      </c>
      <c r="F268" s="15" t="s">
        <v>34</v>
      </c>
      <c r="G268" s="15" t="s">
        <v>34</v>
      </c>
      <c r="H268" s="15" t="s">
        <v>34</v>
      </c>
      <c r="I268" s="15" t="s">
        <v>34</v>
      </c>
      <c r="J268" s="15" t="s">
        <v>90</v>
      </c>
      <c r="K268" s="15"/>
      <c r="L268" s="15" t="s">
        <v>373</v>
      </c>
      <c r="M268" s="15" t="s">
        <v>149</v>
      </c>
      <c r="N268" s="23"/>
    </row>
    <row r="269" ht="25.5" customHeight="1">
      <c r="A269" s="18" t="s">
        <v>231</v>
      </c>
      <c r="B269" s="19" t="s">
        <v>231</v>
      </c>
      <c r="C269" s="19" t="s">
        <v>117</v>
      </c>
      <c r="D269" s="19" t="s">
        <v>117</v>
      </c>
      <c r="E269" s="19" t="s">
        <v>117</v>
      </c>
      <c r="F269" s="19" t="s">
        <v>117</v>
      </c>
      <c r="G269" s="19" t="s">
        <v>117</v>
      </c>
      <c r="H269" s="19" t="s">
        <v>117</v>
      </c>
      <c r="I269" s="19" t="s">
        <v>117</v>
      </c>
      <c r="J269" s="19" t="s">
        <v>117</v>
      </c>
      <c r="K269" s="19" t="s">
        <v>117</v>
      </c>
      <c r="L269" s="19" t="s">
        <v>117</v>
      </c>
      <c r="M269" s="19" t="s">
        <v>170</v>
      </c>
      <c r="N269" s="22"/>
    </row>
    <row r="270" ht="25.5" customHeight="1">
      <c r="A270" s="14" t="s">
        <v>231</v>
      </c>
      <c r="B270" s="15" t="s">
        <v>231</v>
      </c>
      <c r="C270" s="15" t="s">
        <v>117</v>
      </c>
      <c r="D270" s="15" t="s">
        <v>117</v>
      </c>
      <c r="E270" s="15" t="s">
        <v>117</v>
      </c>
      <c r="F270" s="15" t="s">
        <v>117</v>
      </c>
      <c r="G270" s="15" t="s">
        <v>117</v>
      </c>
      <c r="H270" s="15" t="s">
        <v>117</v>
      </c>
      <c r="I270" s="15" t="s">
        <v>117</v>
      </c>
      <c r="J270" s="15" t="s">
        <v>117</v>
      </c>
      <c r="K270" s="15" t="s">
        <v>117</v>
      </c>
      <c r="L270" s="15" t="s">
        <v>117</v>
      </c>
      <c r="M270" s="15" t="s">
        <v>36</v>
      </c>
      <c r="N270" s="23"/>
    </row>
    <row r="271" ht="25.5" customHeight="1">
      <c r="A271" s="18" t="s">
        <v>231</v>
      </c>
      <c r="B271" s="19" t="s">
        <v>231</v>
      </c>
      <c r="C271" s="19" t="s">
        <v>117</v>
      </c>
      <c r="D271" s="19" t="s">
        <v>117</v>
      </c>
      <c r="E271" s="19" t="s">
        <v>117</v>
      </c>
      <c r="F271" s="19" t="s">
        <v>117</v>
      </c>
      <c r="G271" s="19" t="s">
        <v>117</v>
      </c>
      <c r="H271" s="19" t="s">
        <v>117</v>
      </c>
      <c r="I271" s="19" t="s">
        <v>117</v>
      </c>
      <c r="J271" s="19" t="s">
        <v>117</v>
      </c>
      <c r="K271" s="19" t="s">
        <v>117</v>
      </c>
      <c r="L271" s="19" t="s">
        <v>117</v>
      </c>
      <c r="M271" s="19" t="s">
        <v>372</v>
      </c>
      <c r="N271" s="22"/>
    </row>
    <row r="272" ht="25.5" customHeight="1">
      <c r="A272" s="14" t="s">
        <v>374</v>
      </c>
      <c r="B272" s="15" t="s">
        <v>375</v>
      </c>
      <c r="C272" s="15" t="s">
        <v>84</v>
      </c>
      <c r="D272" s="15" t="s">
        <v>376</v>
      </c>
      <c r="E272" s="15" t="s">
        <v>34</v>
      </c>
      <c r="F272" s="15" t="s">
        <v>34</v>
      </c>
      <c r="G272" s="15" t="s">
        <v>32</v>
      </c>
      <c r="H272" s="15" t="s">
        <v>34</v>
      </c>
      <c r="I272" s="15" t="s">
        <v>34</v>
      </c>
      <c r="J272" s="15" t="s">
        <v>90</v>
      </c>
      <c r="K272" s="15"/>
      <c r="L272" s="16"/>
      <c r="M272" s="15" t="s">
        <v>36</v>
      </c>
      <c r="N272" s="23"/>
    </row>
    <row r="273" ht="25.5" customHeight="1">
      <c r="A273" s="18" t="s">
        <v>374</v>
      </c>
      <c r="B273" s="19" t="s">
        <v>377</v>
      </c>
      <c r="C273" s="19" t="s">
        <v>84</v>
      </c>
      <c r="D273" s="19" t="s">
        <v>376</v>
      </c>
      <c r="E273" s="19" t="s">
        <v>34</v>
      </c>
      <c r="F273" s="19" t="s">
        <v>34</v>
      </c>
      <c r="G273" s="19" t="s">
        <v>32</v>
      </c>
      <c r="H273" s="19" t="s">
        <v>34</v>
      </c>
      <c r="I273" s="19" t="s">
        <v>34</v>
      </c>
      <c r="J273" s="19" t="s">
        <v>90</v>
      </c>
      <c r="K273" s="19"/>
      <c r="L273" s="20"/>
      <c r="M273" s="19" t="s">
        <v>36</v>
      </c>
      <c r="N273" s="22"/>
    </row>
    <row r="274" ht="25.5" customHeight="1">
      <c r="A274" s="14" t="s">
        <v>374</v>
      </c>
      <c r="B274" s="15" t="s">
        <v>378</v>
      </c>
      <c r="C274" s="15" t="s">
        <v>84</v>
      </c>
      <c r="D274" s="15" t="s">
        <v>376</v>
      </c>
      <c r="E274" s="15" t="s">
        <v>34</v>
      </c>
      <c r="F274" s="15" t="s">
        <v>34</v>
      </c>
      <c r="G274" s="15" t="s">
        <v>32</v>
      </c>
      <c r="H274" s="15" t="s">
        <v>34</v>
      </c>
      <c r="I274" s="15" t="s">
        <v>34</v>
      </c>
      <c r="J274" s="15" t="s">
        <v>90</v>
      </c>
      <c r="K274" s="15"/>
      <c r="L274" s="16"/>
      <c r="M274" s="15" t="s">
        <v>36</v>
      </c>
      <c r="N274" s="23"/>
    </row>
    <row r="275" ht="25.5" customHeight="1">
      <c r="A275" s="18" t="s">
        <v>374</v>
      </c>
      <c r="B275" s="19" t="s">
        <v>379</v>
      </c>
      <c r="C275" s="19" t="s">
        <v>84</v>
      </c>
      <c r="D275" s="19" t="s">
        <v>380</v>
      </c>
      <c r="E275" s="19" t="s">
        <v>34</v>
      </c>
      <c r="F275" s="19" t="s">
        <v>34</v>
      </c>
      <c r="G275" s="19" t="s">
        <v>32</v>
      </c>
      <c r="H275" s="19" t="s">
        <v>34</v>
      </c>
      <c r="I275" s="19" t="s">
        <v>34</v>
      </c>
      <c r="J275" s="19" t="s">
        <v>90</v>
      </c>
      <c r="K275" s="19"/>
      <c r="L275" s="20"/>
      <c r="M275" s="19" t="s">
        <v>178</v>
      </c>
      <c r="N275" s="22"/>
    </row>
    <row r="276" ht="25.5" customHeight="1">
      <c r="A276" s="14" t="s">
        <v>374</v>
      </c>
      <c r="B276" s="15" t="s">
        <v>381</v>
      </c>
      <c r="C276" s="15" t="s">
        <v>92</v>
      </c>
      <c r="D276" s="15" t="s">
        <v>382</v>
      </c>
      <c r="E276" s="15" t="s">
        <v>34</v>
      </c>
      <c r="F276" s="15" t="s">
        <v>34</v>
      </c>
      <c r="G276" s="15" t="s">
        <v>32</v>
      </c>
      <c r="H276" s="15" t="s">
        <v>34</v>
      </c>
      <c r="I276" s="15" t="s">
        <v>34</v>
      </c>
      <c r="J276" s="15" t="s">
        <v>90</v>
      </c>
      <c r="K276" s="15"/>
      <c r="L276" s="16"/>
      <c r="M276" s="15" t="s">
        <v>170</v>
      </c>
      <c r="N276" s="23"/>
    </row>
    <row r="277" ht="25.5" customHeight="1">
      <c r="A277" s="18" t="s">
        <v>374</v>
      </c>
      <c r="B277" s="19" t="s">
        <v>383</v>
      </c>
      <c r="C277" s="19" t="s">
        <v>84</v>
      </c>
      <c r="D277" s="19" t="s">
        <v>384</v>
      </c>
      <c r="E277" s="19" t="s">
        <v>34</v>
      </c>
      <c r="F277" s="19" t="s">
        <v>34</v>
      </c>
      <c r="G277" s="19" t="s">
        <v>32</v>
      </c>
      <c r="H277" s="19" t="s">
        <v>34</v>
      </c>
      <c r="I277" s="19" t="s">
        <v>34</v>
      </c>
      <c r="J277" s="19" t="s">
        <v>90</v>
      </c>
      <c r="K277" s="19"/>
      <c r="L277" s="20"/>
      <c r="M277" s="19" t="s">
        <v>170</v>
      </c>
      <c r="N277" s="22"/>
    </row>
    <row r="278" ht="25.5" customHeight="1">
      <c r="A278" s="14" t="s">
        <v>44</v>
      </c>
      <c r="B278" s="15" t="s">
        <v>385</v>
      </c>
      <c r="C278" s="15" t="s">
        <v>386</v>
      </c>
      <c r="D278" s="15" t="s">
        <v>387</v>
      </c>
      <c r="E278" s="15" t="s">
        <v>32</v>
      </c>
      <c r="F278" s="15" t="s">
        <v>34</v>
      </c>
      <c r="G278" s="15" t="s">
        <v>32</v>
      </c>
      <c r="H278" s="15" t="s">
        <v>304</v>
      </c>
      <c r="I278" s="15" t="s">
        <v>34</v>
      </c>
      <c r="J278" s="15" t="s">
        <v>388</v>
      </c>
      <c r="K278" s="15"/>
      <c r="L278" s="16"/>
      <c r="M278" s="15" t="s">
        <v>372</v>
      </c>
      <c r="N278" s="28" t="s">
        <v>389</v>
      </c>
    </row>
    <row r="279" ht="25.5" customHeight="1">
      <c r="A279" s="18" t="s">
        <v>44</v>
      </c>
      <c r="B279" s="19" t="s">
        <v>379</v>
      </c>
      <c r="C279" s="19" t="s">
        <v>390</v>
      </c>
      <c r="D279" s="19" t="s">
        <v>380</v>
      </c>
      <c r="E279" s="19" t="s">
        <v>32</v>
      </c>
      <c r="F279" s="19" t="s">
        <v>34</v>
      </c>
      <c r="G279" s="19" t="s">
        <v>32</v>
      </c>
      <c r="H279" s="19" t="s">
        <v>304</v>
      </c>
      <c r="I279" s="19" t="s">
        <v>34</v>
      </c>
      <c r="J279" s="19" t="s">
        <v>391</v>
      </c>
      <c r="K279" s="19"/>
      <c r="L279" s="20"/>
      <c r="M279" s="19" t="s">
        <v>372</v>
      </c>
      <c r="N279" s="29" t="s">
        <v>389</v>
      </c>
    </row>
    <row r="280" ht="25.5" customHeight="1">
      <c r="A280" s="14" t="s">
        <v>44</v>
      </c>
      <c r="B280" s="15" t="s">
        <v>392</v>
      </c>
      <c r="C280" s="15" t="s">
        <v>393</v>
      </c>
      <c r="D280" s="15" t="s">
        <v>394</v>
      </c>
      <c r="E280" s="15" t="s">
        <v>32</v>
      </c>
      <c r="F280" s="15" t="s">
        <v>34</v>
      </c>
      <c r="G280" s="15" t="s">
        <v>32</v>
      </c>
      <c r="H280" s="15" t="s">
        <v>304</v>
      </c>
      <c r="I280" s="15" t="s">
        <v>34</v>
      </c>
      <c r="J280" s="15" t="s">
        <v>388</v>
      </c>
      <c r="K280" s="15"/>
      <c r="L280" s="16"/>
      <c r="M280" s="15" t="s">
        <v>372</v>
      </c>
      <c r="N280" s="28" t="s">
        <v>389</v>
      </c>
    </row>
    <row r="281" ht="25.5" customHeight="1">
      <c r="A281" s="18" t="s">
        <v>44</v>
      </c>
      <c r="B281" s="19" t="s">
        <v>395</v>
      </c>
      <c r="C281" s="19" t="s">
        <v>396</v>
      </c>
      <c r="D281" s="19" t="s">
        <v>397</v>
      </c>
      <c r="E281" s="19" t="s">
        <v>32</v>
      </c>
      <c r="F281" s="19" t="s">
        <v>34</v>
      </c>
      <c r="G281" s="19" t="s">
        <v>32</v>
      </c>
      <c r="H281" s="19" t="s">
        <v>304</v>
      </c>
      <c r="I281" s="19" t="s">
        <v>34</v>
      </c>
      <c r="J281" s="19" t="s">
        <v>391</v>
      </c>
      <c r="K281" s="19"/>
      <c r="L281" s="20"/>
      <c r="M281" s="19" t="s">
        <v>178</v>
      </c>
      <c r="N281" s="22"/>
    </row>
    <row r="282" ht="25.5" customHeight="1">
      <c r="A282" s="14" t="s">
        <v>44</v>
      </c>
      <c r="B282" s="15" t="s">
        <v>331</v>
      </c>
      <c r="C282" s="15" t="s">
        <v>386</v>
      </c>
      <c r="D282" s="15" t="s">
        <v>398</v>
      </c>
      <c r="E282" s="15" t="s">
        <v>32</v>
      </c>
      <c r="F282" s="15" t="s">
        <v>34</v>
      </c>
      <c r="G282" s="15" t="s">
        <v>32</v>
      </c>
      <c r="H282" s="15" t="s">
        <v>304</v>
      </c>
      <c r="I282" s="15" t="s">
        <v>34</v>
      </c>
      <c r="J282" s="15" t="s">
        <v>388</v>
      </c>
      <c r="K282" s="15"/>
      <c r="L282" s="16"/>
      <c r="M282" s="15" t="s">
        <v>372</v>
      </c>
      <c r="N282" s="23"/>
    </row>
    <row r="283" ht="25.5" customHeight="1">
      <c r="A283" s="18" t="s">
        <v>44</v>
      </c>
      <c r="B283" s="19" t="s">
        <v>399</v>
      </c>
      <c r="C283" s="19" t="s">
        <v>386</v>
      </c>
      <c r="D283" s="19" t="s">
        <v>400</v>
      </c>
      <c r="E283" s="19" t="s">
        <v>32</v>
      </c>
      <c r="F283" s="19" t="s">
        <v>34</v>
      </c>
      <c r="G283" s="19" t="s">
        <v>32</v>
      </c>
      <c r="H283" s="19" t="s">
        <v>304</v>
      </c>
      <c r="I283" s="19" t="s">
        <v>34</v>
      </c>
      <c r="J283" s="19" t="s">
        <v>401</v>
      </c>
      <c r="K283" s="19"/>
      <c r="L283" s="20"/>
      <c r="M283" s="19" t="s">
        <v>178</v>
      </c>
      <c r="N283" s="22"/>
    </row>
    <row r="284" ht="25.5" customHeight="1">
      <c r="A284" s="14" t="s">
        <v>44</v>
      </c>
      <c r="B284" s="15" t="s">
        <v>402</v>
      </c>
      <c r="C284" s="15" t="s">
        <v>403</v>
      </c>
      <c r="D284" s="15" t="s">
        <v>404</v>
      </c>
      <c r="E284" s="15" t="s">
        <v>32</v>
      </c>
      <c r="F284" s="15" t="s">
        <v>34</v>
      </c>
      <c r="G284" s="15" t="s">
        <v>32</v>
      </c>
      <c r="H284" s="15" t="s">
        <v>304</v>
      </c>
      <c r="I284" s="15" t="s">
        <v>34</v>
      </c>
      <c r="J284" s="15" t="s">
        <v>405</v>
      </c>
      <c r="K284" s="15"/>
      <c r="L284" s="16"/>
      <c r="M284" s="15" t="s">
        <v>178</v>
      </c>
      <c r="N284" s="23"/>
    </row>
    <row r="285" ht="25.5" customHeight="1">
      <c r="A285" s="18" t="s">
        <v>44</v>
      </c>
      <c r="B285" s="19" t="s">
        <v>406</v>
      </c>
      <c r="C285" s="19" t="s">
        <v>403</v>
      </c>
      <c r="D285" s="19" t="s">
        <v>404</v>
      </c>
      <c r="E285" s="19" t="s">
        <v>32</v>
      </c>
      <c r="F285" s="19" t="s">
        <v>34</v>
      </c>
      <c r="G285" s="19" t="s">
        <v>32</v>
      </c>
      <c r="H285" s="19" t="s">
        <v>304</v>
      </c>
      <c r="I285" s="19" t="s">
        <v>34</v>
      </c>
      <c r="J285" s="19" t="s">
        <v>405</v>
      </c>
      <c r="K285" s="19"/>
      <c r="L285" s="20"/>
      <c r="M285" s="19" t="s">
        <v>178</v>
      </c>
      <c r="N285" s="22"/>
    </row>
  </sheetData>
  <autoFilter ref="$A$1:$N$285"/>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6D01"/>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6" max="6" width="22.25"/>
    <col customWidth="1" min="7" max="7" width="17.25"/>
    <col customWidth="1" min="9" max="9" width="19.63"/>
  </cols>
  <sheetData>
    <row r="1" ht="42.0" customHeight="1">
      <c r="A1" s="30" t="s">
        <v>13</v>
      </c>
      <c r="B1" s="30" t="s">
        <v>407</v>
      </c>
      <c r="C1" s="31" t="s">
        <v>408</v>
      </c>
      <c r="D1" s="31" t="s">
        <v>409</v>
      </c>
      <c r="E1" s="31" t="s">
        <v>410</v>
      </c>
      <c r="F1" s="31" t="s">
        <v>411</v>
      </c>
      <c r="G1" s="31" t="s">
        <v>412</v>
      </c>
      <c r="H1" s="32" t="s">
        <v>413</v>
      </c>
      <c r="I1" s="31" t="s">
        <v>414</v>
      </c>
      <c r="J1" s="31" t="s">
        <v>415</v>
      </c>
      <c r="K1" s="31" t="s">
        <v>416</v>
      </c>
      <c r="L1" s="31" t="s">
        <v>417</v>
      </c>
      <c r="M1" s="31" t="s">
        <v>418</v>
      </c>
      <c r="N1" s="33" t="s">
        <v>419</v>
      </c>
    </row>
    <row r="2" ht="27.0" customHeight="1">
      <c r="A2" s="34" t="s">
        <v>27</v>
      </c>
      <c r="B2" s="35" t="s">
        <v>37</v>
      </c>
      <c r="C2" s="36" t="s">
        <v>420</v>
      </c>
      <c r="D2" s="36" t="s">
        <v>421</v>
      </c>
      <c r="E2" s="36" t="s">
        <v>422</v>
      </c>
      <c r="F2" s="36" t="s">
        <v>31</v>
      </c>
      <c r="G2" s="36" t="s">
        <v>423</v>
      </c>
      <c r="H2" s="36"/>
      <c r="I2" s="36" t="s">
        <v>32</v>
      </c>
      <c r="J2" s="36" t="s">
        <v>424</v>
      </c>
      <c r="K2" s="37"/>
      <c r="L2" s="37"/>
      <c r="M2" s="38" t="s">
        <v>425</v>
      </c>
      <c r="N2" s="39"/>
    </row>
    <row r="3" ht="27.0" customHeight="1">
      <c r="A3" s="18" t="s">
        <v>27</v>
      </c>
      <c r="B3" s="40" t="s">
        <v>27</v>
      </c>
      <c r="C3" s="19" t="s">
        <v>420</v>
      </c>
      <c r="D3" s="19" t="s">
        <v>421</v>
      </c>
      <c r="E3" s="19" t="s">
        <v>422</v>
      </c>
      <c r="F3" s="19" t="s">
        <v>31</v>
      </c>
      <c r="G3" s="19" t="s">
        <v>423</v>
      </c>
      <c r="H3" s="19"/>
      <c r="I3" s="19" t="s">
        <v>32</v>
      </c>
      <c r="J3" s="19" t="s">
        <v>424</v>
      </c>
      <c r="K3" s="20"/>
      <c r="L3" s="20"/>
      <c r="M3" s="41" t="s">
        <v>425</v>
      </c>
      <c r="N3" s="42"/>
    </row>
    <row r="4" ht="27.0" customHeight="1">
      <c r="A4" s="34" t="s">
        <v>27</v>
      </c>
      <c r="B4" s="35" t="s">
        <v>426</v>
      </c>
      <c r="C4" s="36" t="s">
        <v>420</v>
      </c>
      <c r="D4" s="36" t="s">
        <v>421</v>
      </c>
      <c r="E4" s="36" t="s">
        <v>422</v>
      </c>
      <c r="F4" s="36" t="s">
        <v>31</v>
      </c>
      <c r="G4" s="36" t="s">
        <v>423</v>
      </c>
      <c r="H4" s="36"/>
      <c r="I4" s="36" t="s">
        <v>32</v>
      </c>
      <c r="J4" s="36" t="s">
        <v>424</v>
      </c>
      <c r="K4" s="43"/>
      <c r="L4" s="43"/>
      <c r="M4" s="38" t="s">
        <v>425</v>
      </c>
      <c r="N4" s="44"/>
    </row>
    <row r="5" ht="27.0" customHeight="1">
      <c r="A5" s="18" t="s">
        <v>27</v>
      </c>
      <c r="B5" s="40" t="s">
        <v>427</v>
      </c>
      <c r="C5" s="19" t="s">
        <v>420</v>
      </c>
      <c r="D5" s="19" t="s">
        <v>421</v>
      </c>
      <c r="E5" s="19" t="s">
        <v>422</v>
      </c>
      <c r="F5" s="19" t="s">
        <v>31</v>
      </c>
      <c r="G5" s="19" t="s">
        <v>423</v>
      </c>
      <c r="H5" s="19"/>
      <c r="I5" s="19" t="s">
        <v>32</v>
      </c>
      <c r="J5" s="19" t="s">
        <v>424</v>
      </c>
      <c r="K5" s="19" t="s">
        <v>33</v>
      </c>
      <c r="L5" s="20"/>
      <c r="M5" s="41" t="s">
        <v>425</v>
      </c>
      <c r="N5" s="42"/>
    </row>
    <row r="6" ht="27.0" customHeight="1">
      <c r="A6" s="34" t="s">
        <v>27</v>
      </c>
      <c r="B6" s="35" t="s">
        <v>428</v>
      </c>
      <c r="C6" s="36" t="s">
        <v>420</v>
      </c>
      <c r="D6" s="36" t="s">
        <v>429</v>
      </c>
      <c r="E6" s="36" t="s">
        <v>422</v>
      </c>
      <c r="F6" s="36" t="s">
        <v>31</v>
      </c>
      <c r="G6" s="36" t="s">
        <v>423</v>
      </c>
      <c r="H6" s="36"/>
      <c r="I6" s="36" t="s">
        <v>32</v>
      </c>
      <c r="J6" s="36" t="s">
        <v>424</v>
      </c>
      <c r="K6" s="36" t="s">
        <v>33</v>
      </c>
      <c r="L6" s="43"/>
      <c r="M6" s="36" t="s">
        <v>425</v>
      </c>
      <c r="N6" s="44"/>
    </row>
    <row r="7" ht="27.0" customHeight="1">
      <c r="A7" s="18" t="s">
        <v>27</v>
      </c>
      <c r="B7" s="40" t="s">
        <v>430</v>
      </c>
      <c r="C7" s="19" t="s">
        <v>420</v>
      </c>
      <c r="D7" s="19" t="s">
        <v>421</v>
      </c>
      <c r="E7" s="19" t="s">
        <v>422</v>
      </c>
      <c r="F7" s="19" t="s">
        <v>31</v>
      </c>
      <c r="G7" s="19" t="s">
        <v>423</v>
      </c>
      <c r="H7" s="19"/>
      <c r="I7" s="19" t="s">
        <v>32</v>
      </c>
      <c r="J7" s="19" t="s">
        <v>424</v>
      </c>
      <c r="K7" s="19" t="s">
        <v>33</v>
      </c>
      <c r="L7" s="19" t="s">
        <v>431</v>
      </c>
      <c r="M7" s="19" t="s">
        <v>425</v>
      </c>
      <c r="N7" s="42"/>
    </row>
    <row r="8" ht="27.0" customHeight="1">
      <c r="A8" s="34" t="s">
        <v>27</v>
      </c>
      <c r="B8" s="35" t="s">
        <v>432</v>
      </c>
      <c r="C8" s="36" t="s">
        <v>420</v>
      </c>
      <c r="D8" s="36" t="s">
        <v>421</v>
      </c>
      <c r="E8" s="36" t="s">
        <v>422</v>
      </c>
      <c r="F8" s="36" t="s">
        <v>31</v>
      </c>
      <c r="G8" s="36" t="s">
        <v>423</v>
      </c>
      <c r="H8" s="36"/>
      <c r="I8" s="36" t="s">
        <v>32</v>
      </c>
      <c r="J8" s="36" t="s">
        <v>424</v>
      </c>
      <c r="K8" s="36" t="s">
        <v>33</v>
      </c>
      <c r="L8" s="36" t="s">
        <v>433</v>
      </c>
      <c r="M8" s="36" t="s">
        <v>425</v>
      </c>
      <c r="N8" s="44"/>
    </row>
    <row r="9" ht="27.0" customHeight="1">
      <c r="A9" s="18" t="s">
        <v>27</v>
      </c>
      <c r="B9" s="40" t="s">
        <v>434</v>
      </c>
      <c r="C9" s="19" t="s">
        <v>420</v>
      </c>
      <c r="D9" s="19" t="s">
        <v>421</v>
      </c>
      <c r="E9" s="19" t="s">
        <v>422</v>
      </c>
      <c r="F9" s="19" t="s">
        <v>31</v>
      </c>
      <c r="G9" s="19" t="s">
        <v>423</v>
      </c>
      <c r="H9" s="19"/>
      <c r="I9" s="19" t="s">
        <v>32</v>
      </c>
      <c r="J9" s="19" t="s">
        <v>424</v>
      </c>
      <c r="K9" s="19" t="s">
        <v>33</v>
      </c>
      <c r="L9" s="20"/>
      <c r="M9" s="19" t="s">
        <v>425</v>
      </c>
      <c r="N9" s="42"/>
    </row>
    <row r="10" ht="27.0" customHeight="1">
      <c r="A10" s="34" t="s">
        <v>27</v>
      </c>
      <c r="B10" s="35" t="s">
        <v>435</v>
      </c>
      <c r="C10" s="36" t="s">
        <v>420</v>
      </c>
      <c r="D10" s="36" t="s">
        <v>421</v>
      </c>
      <c r="E10" s="36" t="s">
        <v>422</v>
      </c>
      <c r="F10" s="36" t="s">
        <v>31</v>
      </c>
      <c r="G10" s="36" t="s">
        <v>423</v>
      </c>
      <c r="H10" s="36"/>
      <c r="I10" s="36" t="s">
        <v>32</v>
      </c>
      <c r="J10" s="36" t="s">
        <v>424</v>
      </c>
      <c r="K10" s="36" t="s">
        <v>33</v>
      </c>
      <c r="L10" s="43"/>
      <c r="M10" s="36" t="s">
        <v>425</v>
      </c>
      <c r="N10" s="44"/>
    </row>
    <row r="11" ht="27.0" customHeight="1">
      <c r="A11" s="18" t="s">
        <v>27</v>
      </c>
      <c r="B11" s="40" t="s">
        <v>436</v>
      </c>
      <c r="C11" s="19" t="s">
        <v>420</v>
      </c>
      <c r="D11" s="19" t="s">
        <v>421</v>
      </c>
      <c r="E11" s="19" t="s">
        <v>422</v>
      </c>
      <c r="F11" s="19" t="s">
        <v>31</v>
      </c>
      <c r="G11" s="19" t="s">
        <v>423</v>
      </c>
      <c r="H11" s="19"/>
      <c r="I11" s="19" t="s">
        <v>32</v>
      </c>
      <c r="J11" s="19" t="s">
        <v>424</v>
      </c>
      <c r="K11" s="19" t="s">
        <v>33</v>
      </c>
      <c r="L11" s="20"/>
      <c r="M11" s="19" t="s">
        <v>425</v>
      </c>
      <c r="N11" s="42"/>
    </row>
    <row r="12" ht="27.0" customHeight="1">
      <c r="A12" s="34" t="s">
        <v>53</v>
      </c>
      <c r="B12" s="36" t="s">
        <v>437</v>
      </c>
      <c r="C12" s="36" t="s">
        <v>84</v>
      </c>
      <c r="D12" s="36" t="s">
        <v>438</v>
      </c>
      <c r="E12" s="36" t="s">
        <v>439</v>
      </c>
      <c r="F12" s="36" t="s">
        <v>31</v>
      </c>
      <c r="G12" s="36" t="s">
        <v>440</v>
      </c>
      <c r="H12" s="24" t="s">
        <v>441</v>
      </c>
      <c r="I12" s="36" t="s">
        <v>216</v>
      </c>
      <c r="J12" s="36" t="s">
        <v>442</v>
      </c>
      <c r="K12" s="36" t="s">
        <v>33</v>
      </c>
      <c r="L12" s="43"/>
      <c r="M12" s="36" t="s">
        <v>425</v>
      </c>
      <c r="N12" s="44"/>
    </row>
    <row r="13" ht="27.0" customHeight="1">
      <c r="A13" s="18" t="s">
        <v>53</v>
      </c>
      <c r="B13" s="19" t="s">
        <v>443</v>
      </c>
      <c r="C13" s="19" t="s">
        <v>84</v>
      </c>
      <c r="D13" s="19" t="s">
        <v>438</v>
      </c>
      <c r="E13" s="19" t="s">
        <v>439</v>
      </c>
      <c r="F13" s="19" t="s">
        <v>31</v>
      </c>
      <c r="G13" s="19" t="s">
        <v>440</v>
      </c>
      <c r="H13" s="24" t="s">
        <v>441</v>
      </c>
      <c r="I13" s="19" t="s">
        <v>216</v>
      </c>
      <c r="J13" s="19" t="s">
        <v>442</v>
      </c>
      <c r="K13" s="19" t="s">
        <v>33</v>
      </c>
      <c r="L13" s="20"/>
      <c r="M13" s="19" t="s">
        <v>425</v>
      </c>
      <c r="N13" s="42"/>
    </row>
    <row r="14" ht="27.0" customHeight="1">
      <c r="A14" s="34" t="s">
        <v>53</v>
      </c>
      <c r="B14" s="36" t="s">
        <v>444</v>
      </c>
      <c r="C14" s="36" t="s">
        <v>84</v>
      </c>
      <c r="D14" s="36" t="s">
        <v>438</v>
      </c>
      <c r="E14" s="36" t="s">
        <v>439</v>
      </c>
      <c r="F14" s="36" t="s">
        <v>31</v>
      </c>
      <c r="G14" s="36" t="s">
        <v>440</v>
      </c>
      <c r="H14" s="24" t="s">
        <v>441</v>
      </c>
      <c r="I14" s="36" t="s">
        <v>216</v>
      </c>
      <c r="J14" s="36" t="s">
        <v>442</v>
      </c>
      <c r="K14" s="36" t="s">
        <v>33</v>
      </c>
      <c r="L14" s="43"/>
      <c r="M14" s="36" t="s">
        <v>425</v>
      </c>
      <c r="N14" s="44"/>
    </row>
    <row r="15" ht="27.0" customHeight="1">
      <c r="A15" s="18" t="s">
        <v>53</v>
      </c>
      <c r="B15" s="19" t="s">
        <v>445</v>
      </c>
      <c r="C15" s="19" t="s">
        <v>84</v>
      </c>
      <c r="D15" s="19" t="s">
        <v>438</v>
      </c>
      <c r="E15" s="19" t="s">
        <v>439</v>
      </c>
      <c r="F15" s="19" t="s">
        <v>31</v>
      </c>
      <c r="G15" s="19" t="s">
        <v>440</v>
      </c>
      <c r="H15" s="24" t="s">
        <v>441</v>
      </c>
      <c r="I15" s="19" t="s">
        <v>216</v>
      </c>
      <c r="J15" s="19" t="s">
        <v>442</v>
      </c>
      <c r="K15" s="19" t="s">
        <v>33</v>
      </c>
      <c r="L15" s="20"/>
      <c r="M15" s="19" t="s">
        <v>425</v>
      </c>
      <c r="N15" s="42"/>
    </row>
    <row r="16" ht="27.0" customHeight="1">
      <c r="A16" s="34" t="s">
        <v>53</v>
      </c>
      <c r="B16" s="36" t="s">
        <v>446</v>
      </c>
      <c r="C16" s="36" t="s">
        <v>84</v>
      </c>
      <c r="D16" s="36" t="s">
        <v>438</v>
      </c>
      <c r="E16" s="36" t="s">
        <v>439</v>
      </c>
      <c r="F16" s="36" t="s">
        <v>31</v>
      </c>
      <c r="G16" s="36" t="s">
        <v>440</v>
      </c>
      <c r="H16" s="24" t="s">
        <v>441</v>
      </c>
      <c r="I16" s="36" t="s">
        <v>216</v>
      </c>
      <c r="J16" s="36" t="s">
        <v>442</v>
      </c>
      <c r="K16" s="36" t="s">
        <v>33</v>
      </c>
      <c r="L16" s="43"/>
      <c r="M16" s="36" t="s">
        <v>425</v>
      </c>
      <c r="N16" s="44"/>
    </row>
    <row r="17" ht="27.0" customHeight="1">
      <c r="A17" s="18" t="s">
        <v>53</v>
      </c>
      <c r="B17" s="19" t="s">
        <v>447</v>
      </c>
      <c r="C17" s="19" t="s">
        <v>84</v>
      </c>
      <c r="D17" s="19" t="s">
        <v>438</v>
      </c>
      <c r="E17" s="19" t="s">
        <v>439</v>
      </c>
      <c r="F17" s="19" t="s">
        <v>31</v>
      </c>
      <c r="G17" s="19" t="s">
        <v>440</v>
      </c>
      <c r="H17" s="24" t="s">
        <v>441</v>
      </c>
      <c r="I17" s="19" t="s">
        <v>216</v>
      </c>
      <c r="J17" s="19" t="s">
        <v>442</v>
      </c>
      <c r="K17" s="19" t="s">
        <v>33</v>
      </c>
      <c r="L17" s="20"/>
      <c r="M17" s="19" t="s">
        <v>425</v>
      </c>
      <c r="N17" s="42"/>
    </row>
    <row r="18" ht="27.0" customHeight="1">
      <c r="A18" s="34" t="s">
        <v>53</v>
      </c>
      <c r="B18" s="36" t="s">
        <v>448</v>
      </c>
      <c r="C18" s="36" t="s">
        <v>84</v>
      </c>
      <c r="D18" s="36" t="s">
        <v>438</v>
      </c>
      <c r="E18" s="36" t="s">
        <v>439</v>
      </c>
      <c r="F18" s="36" t="s">
        <v>31</v>
      </c>
      <c r="G18" s="36" t="s">
        <v>440</v>
      </c>
      <c r="H18" s="24" t="s">
        <v>441</v>
      </c>
      <c r="I18" s="36" t="s">
        <v>216</v>
      </c>
      <c r="J18" s="36" t="s">
        <v>442</v>
      </c>
      <c r="K18" s="36" t="s">
        <v>33</v>
      </c>
      <c r="L18" s="43"/>
      <c r="M18" s="36" t="s">
        <v>425</v>
      </c>
      <c r="N18" s="44"/>
    </row>
    <row r="19" ht="27.0" customHeight="1">
      <c r="A19" s="18" t="s">
        <v>53</v>
      </c>
      <c r="B19" s="19" t="s">
        <v>449</v>
      </c>
      <c r="C19" s="19" t="s">
        <v>84</v>
      </c>
      <c r="D19" s="19" t="s">
        <v>438</v>
      </c>
      <c r="E19" s="19" t="s">
        <v>439</v>
      </c>
      <c r="F19" s="19" t="s">
        <v>31</v>
      </c>
      <c r="G19" s="19" t="s">
        <v>440</v>
      </c>
      <c r="H19" s="24" t="s">
        <v>441</v>
      </c>
      <c r="I19" s="19" t="s">
        <v>216</v>
      </c>
      <c r="J19" s="19" t="s">
        <v>442</v>
      </c>
      <c r="K19" s="19" t="s">
        <v>33</v>
      </c>
      <c r="L19" s="20"/>
      <c r="M19" s="19" t="s">
        <v>425</v>
      </c>
      <c r="N19" s="42"/>
    </row>
    <row r="20" ht="27.0" customHeight="1">
      <c r="A20" s="34" t="s">
        <v>53</v>
      </c>
      <c r="B20" s="36" t="s">
        <v>450</v>
      </c>
      <c r="C20" s="36" t="s">
        <v>84</v>
      </c>
      <c r="D20" s="36" t="s">
        <v>438</v>
      </c>
      <c r="E20" s="36" t="s">
        <v>439</v>
      </c>
      <c r="F20" s="36" t="s">
        <v>31</v>
      </c>
      <c r="G20" s="36" t="s">
        <v>440</v>
      </c>
      <c r="H20" s="24" t="s">
        <v>441</v>
      </c>
      <c r="I20" s="36" t="s">
        <v>216</v>
      </c>
      <c r="J20" s="36" t="s">
        <v>442</v>
      </c>
      <c r="K20" s="36" t="s">
        <v>33</v>
      </c>
      <c r="L20" s="43"/>
      <c r="M20" s="36" t="s">
        <v>425</v>
      </c>
      <c r="N20" s="44"/>
    </row>
    <row r="21" ht="27.0" customHeight="1">
      <c r="A21" s="18" t="s">
        <v>53</v>
      </c>
      <c r="B21" s="19" t="s">
        <v>451</v>
      </c>
      <c r="C21" s="19" t="s">
        <v>84</v>
      </c>
      <c r="D21" s="19" t="s">
        <v>438</v>
      </c>
      <c r="E21" s="19" t="s">
        <v>439</v>
      </c>
      <c r="F21" s="19" t="s">
        <v>31</v>
      </c>
      <c r="G21" s="19" t="s">
        <v>440</v>
      </c>
      <c r="H21" s="24" t="s">
        <v>441</v>
      </c>
      <c r="I21" s="19" t="s">
        <v>216</v>
      </c>
      <c r="J21" s="19" t="s">
        <v>442</v>
      </c>
      <c r="K21" s="19" t="s">
        <v>33</v>
      </c>
      <c r="L21" s="20"/>
      <c r="M21" s="19" t="s">
        <v>425</v>
      </c>
      <c r="N21" s="42"/>
    </row>
    <row r="22" ht="27.0" customHeight="1">
      <c r="A22" s="34" t="s">
        <v>88</v>
      </c>
      <c r="B22" s="45" t="s">
        <v>89</v>
      </c>
      <c r="C22" s="36" t="s">
        <v>84</v>
      </c>
      <c r="D22" s="36" t="s">
        <v>452</v>
      </c>
      <c r="E22" s="36" t="s">
        <v>34</v>
      </c>
      <c r="F22" s="36" t="s">
        <v>34</v>
      </c>
      <c r="G22" s="36" t="s">
        <v>34</v>
      </c>
      <c r="H22" s="36"/>
      <c r="I22" s="36" t="s">
        <v>34</v>
      </c>
      <c r="J22" s="36" t="s">
        <v>34</v>
      </c>
      <c r="K22" s="36" t="s">
        <v>34</v>
      </c>
      <c r="L22" s="43"/>
      <c r="M22" s="36" t="s">
        <v>36</v>
      </c>
      <c r="N22" s="44"/>
    </row>
    <row r="23" ht="27.0" customHeight="1">
      <c r="A23" s="18" t="s">
        <v>88</v>
      </c>
      <c r="B23" s="36" t="s">
        <v>453</v>
      </c>
      <c r="C23" s="19" t="s">
        <v>84</v>
      </c>
      <c r="D23" s="19" t="s">
        <v>452</v>
      </c>
      <c r="E23" s="19" t="s">
        <v>34</v>
      </c>
      <c r="F23" s="19" t="s">
        <v>34</v>
      </c>
      <c r="G23" s="19" t="s">
        <v>34</v>
      </c>
      <c r="H23" s="19"/>
      <c r="I23" s="19" t="s">
        <v>34</v>
      </c>
      <c r="J23" s="19" t="s">
        <v>34</v>
      </c>
      <c r="K23" s="19" t="s">
        <v>34</v>
      </c>
      <c r="L23" s="20"/>
      <c r="M23" s="19" t="s">
        <v>36</v>
      </c>
      <c r="N23" s="42"/>
    </row>
    <row r="24" ht="27.0" customHeight="1">
      <c r="A24" s="34" t="s">
        <v>88</v>
      </c>
      <c r="B24" s="45" t="s">
        <v>454</v>
      </c>
      <c r="C24" s="36" t="s">
        <v>84</v>
      </c>
      <c r="D24" s="36" t="s">
        <v>452</v>
      </c>
      <c r="E24" s="36" t="s">
        <v>34</v>
      </c>
      <c r="F24" s="36" t="s">
        <v>34</v>
      </c>
      <c r="G24" s="36" t="s">
        <v>34</v>
      </c>
      <c r="H24" s="36"/>
      <c r="I24" s="36" t="s">
        <v>34</v>
      </c>
      <c r="J24" s="36" t="s">
        <v>34</v>
      </c>
      <c r="K24" s="36" t="s">
        <v>34</v>
      </c>
      <c r="L24" s="43"/>
      <c r="M24" s="36" t="s">
        <v>36</v>
      </c>
      <c r="N24" s="44"/>
    </row>
    <row r="25" ht="27.0" customHeight="1">
      <c r="A25" s="18" t="s">
        <v>88</v>
      </c>
      <c r="B25" s="36" t="s">
        <v>455</v>
      </c>
      <c r="C25" s="19" t="s">
        <v>84</v>
      </c>
      <c r="D25" s="19" t="s">
        <v>452</v>
      </c>
      <c r="E25" s="19" t="s">
        <v>34</v>
      </c>
      <c r="F25" s="19" t="s">
        <v>34</v>
      </c>
      <c r="G25" s="19" t="s">
        <v>34</v>
      </c>
      <c r="H25" s="19"/>
      <c r="I25" s="19" t="s">
        <v>34</v>
      </c>
      <c r="J25" s="19" t="s">
        <v>34</v>
      </c>
      <c r="K25" s="19" t="s">
        <v>34</v>
      </c>
      <c r="L25" s="20"/>
      <c r="M25" s="19" t="s">
        <v>36</v>
      </c>
      <c r="N25" s="42"/>
    </row>
    <row r="26" ht="27.0" customHeight="1">
      <c r="A26" s="34" t="s">
        <v>88</v>
      </c>
      <c r="B26" s="45" t="s">
        <v>456</v>
      </c>
      <c r="C26" s="36" t="s">
        <v>84</v>
      </c>
      <c r="D26" s="36" t="s">
        <v>452</v>
      </c>
      <c r="E26" s="36" t="s">
        <v>34</v>
      </c>
      <c r="F26" s="36" t="s">
        <v>34</v>
      </c>
      <c r="G26" s="36" t="s">
        <v>34</v>
      </c>
      <c r="H26" s="36"/>
      <c r="I26" s="36" t="s">
        <v>34</v>
      </c>
      <c r="J26" s="36" t="s">
        <v>34</v>
      </c>
      <c r="K26" s="36" t="s">
        <v>34</v>
      </c>
      <c r="L26" s="43"/>
      <c r="M26" s="36" t="s">
        <v>36</v>
      </c>
      <c r="N26" s="44"/>
    </row>
    <row r="27" ht="27.0" customHeight="1">
      <c r="A27" s="46" t="s">
        <v>88</v>
      </c>
      <c r="B27" s="45" t="s">
        <v>201</v>
      </c>
      <c r="C27" s="45" t="s">
        <v>184</v>
      </c>
      <c r="D27" s="45" t="s">
        <v>457</v>
      </c>
      <c r="E27" s="45" t="s">
        <v>34</v>
      </c>
      <c r="F27" s="45" t="s">
        <v>34</v>
      </c>
      <c r="G27" s="45" t="s">
        <v>34</v>
      </c>
      <c r="H27" s="45"/>
      <c r="I27" s="45" t="s">
        <v>34</v>
      </c>
      <c r="J27" s="45" t="s">
        <v>34</v>
      </c>
      <c r="K27" s="45" t="s">
        <v>34</v>
      </c>
      <c r="L27" s="47"/>
      <c r="M27" s="19" t="s">
        <v>36</v>
      </c>
      <c r="N27" s="48"/>
    </row>
    <row r="28" ht="27.0" customHeight="1">
      <c r="A28" s="34" t="s">
        <v>88</v>
      </c>
      <c r="B28" s="36" t="s">
        <v>40</v>
      </c>
      <c r="C28" s="36" t="s">
        <v>184</v>
      </c>
      <c r="D28" s="36" t="s">
        <v>457</v>
      </c>
      <c r="E28" s="36" t="s">
        <v>34</v>
      </c>
      <c r="F28" s="36" t="s">
        <v>34</v>
      </c>
      <c r="G28" s="36" t="s">
        <v>34</v>
      </c>
      <c r="H28" s="36"/>
      <c r="I28" s="36" t="s">
        <v>34</v>
      </c>
      <c r="J28" s="36" t="s">
        <v>34</v>
      </c>
      <c r="K28" s="36" t="s">
        <v>34</v>
      </c>
      <c r="L28" s="43"/>
      <c r="M28" s="36" t="s">
        <v>36</v>
      </c>
      <c r="N28" s="44"/>
    </row>
    <row r="29" ht="27.0" customHeight="1">
      <c r="A29" s="18" t="s">
        <v>47</v>
      </c>
      <c r="B29" s="19" t="s">
        <v>458</v>
      </c>
      <c r="C29" s="19" t="s">
        <v>34</v>
      </c>
      <c r="D29" s="19" t="s">
        <v>34</v>
      </c>
      <c r="E29" s="19" t="s">
        <v>34</v>
      </c>
      <c r="F29" s="19" t="s">
        <v>34</v>
      </c>
      <c r="G29" s="19" t="s">
        <v>34</v>
      </c>
      <c r="H29" s="19"/>
      <c r="I29" s="19" t="s">
        <v>34</v>
      </c>
      <c r="J29" s="19" t="s">
        <v>34</v>
      </c>
      <c r="K29" s="19" t="s">
        <v>34</v>
      </c>
      <c r="L29" s="20"/>
      <c r="M29" s="20"/>
      <c r="N29" s="42"/>
    </row>
    <row r="30" ht="27.0" customHeight="1">
      <c r="A30" s="34" t="s">
        <v>118</v>
      </c>
      <c r="B30" s="36" t="s">
        <v>212</v>
      </c>
      <c r="C30" s="36" t="s">
        <v>29</v>
      </c>
      <c r="D30" s="36" t="s">
        <v>459</v>
      </c>
      <c r="E30" s="36" t="s">
        <v>422</v>
      </c>
      <c r="F30" s="36" t="s">
        <v>31</v>
      </c>
      <c r="G30" s="36" t="s">
        <v>460</v>
      </c>
      <c r="H30" s="36"/>
      <c r="I30" s="36" t="s">
        <v>32</v>
      </c>
      <c r="J30" s="36" t="s">
        <v>34</v>
      </c>
      <c r="K30" s="36" t="s">
        <v>34</v>
      </c>
      <c r="L30" s="43"/>
      <c r="M30" s="36" t="s">
        <v>461</v>
      </c>
      <c r="N30" s="44"/>
    </row>
    <row r="31" ht="27.0" customHeight="1">
      <c r="A31" s="46" t="s">
        <v>118</v>
      </c>
      <c r="B31" s="45" t="s">
        <v>462</v>
      </c>
      <c r="C31" s="19" t="s">
        <v>29</v>
      </c>
      <c r="D31" s="19" t="s">
        <v>321</v>
      </c>
      <c r="E31" s="19" t="s">
        <v>422</v>
      </c>
      <c r="F31" s="19" t="s">
        <v>31</v>
      </c>
      <c r="G31" s="19" t="s">
        <v>460</v>
      </c>
      <c r="H31" s="19"/>
      <c r="I31" s="19" t="s">
        <v>32</v>
      </c>
      <c r="J31" s="19" t="s">
        <v>34</v>
      </c>
      <c r="K31" s="19" t="s">
        <v>34</v>
      </c>
      <c r="L31" s="20"/>
      <c r="M31" s="19" t="s">
        <v>185</v>
      </c>
      <c r="N31" s="42"/>
    </row>
    <row r="32" ht="27.0" customHeight="1">
      <c r="A32" s="34" t="s">
        <v>155</v>
      </c>
      <c r="B32" s="36" t="s">
        <v>463</v>
      </c>
      <c r="C32" s="36" t="s">
        <v>34</v>
      </c>
      <c r="D32" s="36" t="s">
        <v>34</v>
      </c>
      <c r="E32" s="36" t="s">
        <v>34</v>
      </c>
      <c r="F32" s="36" t="s">
        <v>34</v>
      </c>
      <c r="G32" s="36" t="s">
        <v>34</v>
      </c>
      <c r="H32" s="36"/>
      <c r="I32" s="36" t="s">
        <v>34</v>
      </c>
      <c r="J32" s="36" t="s">
        <v>34</v>
      </c>
      <c r="K32" s="36" t="s">
        <v>34</v>
      </c>
      <c r="L32" s="36" t="s">
        <v>34</v>
      </c>
      <c r="M32" s="36" t="s">
        <v>34</v>
      </c>
      <c r="N32" s="44"/>
    </row>
    <row r="33" ht="27.0" customHeight="1">
      <c r="A33" s="18" t="s">
        <v>129</v>
      </c>
      <c r="B33" s="19" t="s">
        <v>464</v>
      </c>
      <c r="C33" s="19" t="s">
        <v>34</v>
      </c>
      <c r="D33" s="19" t="s">
        <v>34</v>
      </c>
      <c r="E33" s="19" t="s">
        <v>34</v>
      </c>
      <c r="F33" s="19" t="s">
        <v>34</v>
      </c>
      <c r="G33" s="19" t="s">
        <v>34</v>
      </c>
      <c r="H33" s="19"/>
      <c r="I33" s="19" t="s">
        <v>34</v>
      </c>
      <c r="J33" s="19" t="s">
        <v>34</v>
      </c>
      <c r="K33" s="19" t="s">
        <v>34</v>
      </c>
      <c r="L33" s="19" t="s">
        <v>34</v>
      </c>
      <c r="M33" s="19" t="s">
        <v>34</v>
      </c>
      <c r="N33" s="42"/>
    </row>
    <row r="34" ht="27.0" customHeight="1">
      <c r="A34" s="34" t="s">
        <v>200</v>
      </c>
      <c r="B34" s="36" t="s">
        <v>200</v>
      </c>
      <c r="C34" s="36" t="s">
        <v>29</v>
      </c>
      <c r="D34" s="36" t="s">
        <v>465</v>
      </c>
      <c r="E34" s="36" t="s">
        <v>422</v>
      </c>
      <c r="F34" s="36" t="s">
        <v>31</v>
      </c>
      <c r="G34" s="36" t="s">
        <v>34</v>
      </c>
      <c r="H34" s="36"/>
      <c r="I34" s="36" t="s">
        <v>32</v>
      </c>
      <c r="J34" s="36" t="s">
        <v>466</v>
      </c>
      <c r="K34" s="36" t="s">
        <v>34</v>
      </c>
      <c r="L34" s="43"/>
      <c r="M34" s="36" t="s">
        <v>185</v>
      </c>
      <c r="N34" s="44"/>
    </row>
    <row r="35" ht="27.0" customHeight="1">
      <c r="A35" s="46" t="s">
        <v>212</v>
      </c>
      <c r="B35" s="45" t="s">
        <v>467</v>
      </c>
      <c r="C35" s="45" t="s">
        <v>29</v>
      </c>
      <c r="D35" s="45" t="s">
        <v>468</v>
      </c>
      <c r="E35" s="45" t="s">
        <v>469</v>
      </c>
      <c r="F35" s="45" t="s">
        <v>31</v>
      </c>
      <c r="G35" s="45" t="s">
        <v>470</v>
      </c>
      <c r="H35" s="45"/>
      <c r="I35" s="45" t="s">
        <v>32</v>
      </c>
      <c r="J35" s="45" t="s">
        <v>471</v>
      </c>
      <c r="K35" s="45" t="s">
        <v>34</v>
      </c>
      <c r="L35" s="47"/>
      <c r="M35" s="45" t="s">
        <v>188</v>
      </c>
      <c r="N35" s="48"/>
    </row>
    <row r="36" ht="27.0" customHeight="1">
      <c r="A36" s="34" t="s">
        <v>232</v>
      </c>
      <c r="B36" s="36" t="s">
        <v>278</v>
      </c>
      <c r="C36" s="36" t="s">
        <v>29</v>
      </c>
      <c r="D36" s="36" t="s">
        <v>472</v>
      </c>
      <c r="E36" s="36" t="s">
        <v>34</v>
      </c>
      <c r="F36" s="36" t="s">
        <v>31</v>
      </c>
      <c r="G36" s="36" t="s">
        <v>34</v>
      </c>
      <c r="H36" s="36"/>
      <c r="I36" s="36" t="s">
        <v>34</v>
      </c>
      <c r="J36" s="36" t="s">
        <v>473</v>
      </c>
      <c r="K36" s="36" t="s">
        <v>34</v>
      </c>
      <c r="L36" s="36" t="s">
        <v>34</v>
      </c>
      <c r="M36" s="36" t="s">
        <v>112</v>
      </c>
      <c r="N36" s="44"/>
    </row>
    <row r="37" ht="27.0" customHeight="1">
      <c r="A37" s="18" t="s">
        <v>232</v>
      </c>
      <c r="B37" s="19" t="s">
        <v>474</v>
      </c>
      <c r="C37" s="19" t="s">
        <v>29</v>
      </c>
      <c r="D37" s="19" t="s">
        <v>475</v>
      </c>
      <c r="E37" s="19" t="s">
        <v>34</v>
      </c>
      <c r="F37" s="19" t="s">
        <v>31</v>
      </c>
      <c r="G37" s="19" t="s">
        <v>34</v>
      </c>
      <c r="H37" s="19"/>
      <c r="I37" s="19" t="s">
        <v>34</v>
      </c>
      <c r="J37" s="19" t="s">
        <v>473</v>
      </c>
      <c r="K37" s="19" t="s">
        <v>34</v>
      </c>
      <c r="L37" s="19" t="s">
        <v>34</v>
      </c>
      <c r="M37" s="19" t="s">
        <v>476</v>
      </c>
      <c r="N37" s="42"/>
    </row>
    <row r="38" ht="27.0" customHeight="1">
      <c r="A38" s="34" t="s">
        <v>232</v>
      </c>
      <c r="B38" s="36" t="s">
        <v>477</v>
      </c>
      <c r="C38" s="36" t="s">
        <v>29</v>
      </c>
      <c r="D38" s="36" t="s">
        <v>475</v>
      </c>
      <c r="E38" s="36" t="s">
        <v>34</v>
      </c>
      <c r="F38" s="36" t="s">
        <v>31</v>
      </c>
      <c r="G38" s="36" t="s">
        <v>34</v>
      </c>
      <c r="H38" s="36"/>
      <c r="I38" s="36" t="s">
        <v>34</v>
      </c>
      <c r="J38" s="36" t="s">
        <v>473</v>
      </c>
      <c r="K38" s="36" t="s">
        <v>34</v>
      </c>
      <c r="L38" s="36" t="s">
        <v>34</v>
      </c>
      <c r="M38" s="36" t="s">
        <v>170</v>
      </c>
      <c r="N38" s="44"/>
    </row>
    <row r="39" ht="27.0" customHeight="1">
      <c r="A39" s="18" t="s">
        <v>232</v>
      </c>
      <c r="B39" s="19" t="s">
        <v>478</v>
      </c>
      <c r="C39" s="19" t="s">
        <v>29</v>
      </c>
      <c r="D39" s="19" t="s">
        <v>472</v>
      </c>
      <c r="E39" s="19" t="s">
        <v>34</v>
      </c>
      <c r="F39" s="19" t="s">
        <v>31</v>
      </c>
      <c r="G39" s="19" t="s">
        <v>34</v>
      </c>
      <c r="H39" s="19"/>
      <c r="I39" s="19" t="s">
        <v>34</v>
      </c>
      <c r="J39" s="19" t="s">
        <v>473</v>
      </c>
      <c r="K39" s="19" t="s">
        <v>34</v>
      </c>
      <c r="L39" s="19" t="s">
        <v>34</v>
      </c>
      <c r="M39" s="19" t="s">
        <v>112</v>
      </c>
      <c r="N39" s="42"/>
    </row>
    <row r="40" ht="27.0" customHeight="1">
      <c r="A40" s="34" t="s">
        <v>232</v>
      </c>
      <c r="B40" s="36" t="s">
        <v>277</v>
      </c>
      <c r="C40" s="36" t="s">
        <v>29</v>
      </c>
      <c r="D40" s="36" t="s">
        <v>472</v>
      </c>
      <c r="E40" s="36" t="s">
        <v>34</v>
      </c>
      <c r="F40" s="36" t="s">
        <v>31</v>
      </c>
      <c r="G40" s="36" t="s">
        <v>34</v>
      </c>
      <c r="H40" s="36"/>
      <c r="I40" s="36" t="s">
        <v>34</v>
      </c>
      <c r="J40" s="36" t="s">
        <v>473</v>
      </c>
      <c r="K40" s="36" t="s">
        <v>34</v>
      </c>
      <c r="L40" s="36" t="s">
        <v>34</v>
      </c>
      <c r="M40" s="36" t="s">
        <v>112</v>
      </c>
      <c r="N40" s="44"/>
    </row>
    <row r="41" ht="27.0" customHeight="1">
      <c r="A41" s="18" t="s">
        <v>232</v>
      </c>
      <c r="B41" s="19" t="s">
        <v>479</v>
      </c>
      <c r="C41" s="19" t="s">
        <v>29</v>
      </c>
      <c r="D41" s="19" t="s">
        <v>475</v>
      </c>
      <c r="E41" s="19" t="s">
        <v>34</v>
      </c>
      <c r="F41" s="19" t="s">
        <v>31</v>
      </c>
      <c r="G41" s="19" t="s">
        <v>34</v>
      </c>
      <c r="H41" s="19"/>
      <c r="I41" s="19" t="s">
        <v>34</v>
      </c>
      <c r="J41" s="19" t="s">
        <v>473</v>
      </c>
      <c r="K41" s="19" t="s">
        <v>34</v>
      </c>
      <c r="L41" s="19" t="s">
        <v>34</v>
      </c>
      <c r="M41" s="19" t="s">
        <v>235</v>
      </c>
      <c r="N41" s="42"/>
    </row>
    <row r="42" ht="27.0" customHeight="1">
      <c r="A42" s="34" t="s">
        <v>245</v>
      </c>
      <c r="B42" s="36" t="s">
        <v>480</v>
      </c>
      <c r="C42" s="36" t="s">
        <v>29</v>
      </c>
      <c r="D42" s="36" t="s">
        <v>481</v>
      </c>
      <c r="E42" s="36" t="s">
        <v>422</v>
      </c>
      <c r="F42" s="36" t="s">
        <v>31</v>
      </c>
      <c r="G42" s="36" t="s">
        <v>34</v>
      </c>
      <c r="H42" s="36"/>
      <c r="I42" s="36" t="s">
        <v>32</v>
      </c>
      <c r="J42" s="49" t="s">
        <v>482</v>
      </c>
      <c r="K42" s="43"/>
      <c r="L42" s="43"/>
      <c r="M42" s="36" t="s">
        <v>483</v>
      </c>
      <c r="N42" s="44"/>
    </row>
    <row r="43" ht="27.0" customHeight="1">
      <c r="A43" s="18" t="s">
        <v>211</v>
      </c>
      <c r="B43" s="19" t="s">
        <v>201</v>
      </c>
      <c r="C43" s="19" t="s">
        <v>69</v>
      </c>
      <c r="D43" s="19" t="s">
        <v>484</v>
      </c>
      <c r="E43" s="19" t="s">
        <v>34</v>
      </c>
      <c r="F43" s="19" t="s">
        <v>34</v>
      </c>
      <c r="G43" s="19" t="s">
        <v>34</v>
      </c>
      <c r="H43" s="19"/>
      <c r="I43" s="19" t="s">
        <v>34</v>
      </c>
      <c r="J43" s="19" t="s">
        <v>34</v>
      </c>
      <c r="K43" s="20"/>
      <c r="L43" s="20"/>
      <c r="M43" s="19" t="s">
        <v>36</v>
      </c>
      <c r="N43" s="42"/>
    </row>
    <row r="44" ht="27.0" customHeight="1">
      <c r="A44" s="34" t="s">
        <v>211</v>
      </c>
      <c r="B44" s="36" t="s">
        <v>200</v>
      </c>
      <c r="C44" s="36" t="s">
        <v>69</v>
      </c>
      <c r="D44" s="36" t="s">
        <v>34</v>
      </c>
      <c r="E44" s="36" t="s">
        <v>34</v>
      </c>
      <c r="F44" s="36" t="s">
        <v>34</v>
      </c>
      <c r="G44" s="36" t="s">
        <v>34</v>
      </c>
      <c r="H44" s="36"/>
      <c r="I44" s="36" t="s">
        <v>34</v>
      </c>
      <c r="J44" s="36" t="s">
        <v>34</v>
      </c>
      <c r="K44" s="43"/>
      <c r="L44" s="43"/>
      <c r="M44" s="36" t="s">
        <v>185</v>
      </c>
      <c r="N44" s="44"/>
    </row>
    <row r="45" ht="27.0" customHeight="1">
      <c r="A45" s="18" t="s">
        <v>211</v>
      </c>
      <c r="B45" s="19" t="s">
        <v>245</v>
      </c>
      <c r="C45" s="19" t="s">
        <v>69</v>
      </c>
      <c r="D45" s="19" t="s">
        <v>485</v>
      </c>
      <c r="E45" s="19" t="s">
        <v>34</v>
      </c>
      <c r="F45" s="19" t="s">
        <v>34</v>
      </c>
      <c r="G45" s="19" t="s">
        <v>34</v>
      </c>
      <c r="H45" s="19"/>
      <c r="I45" s="19" t="s">
        <v>34</v>
      </c>
      <c r="J45" s="19" t="s">
        <v>486</v>
      </c>
      <c r="K45" s="20"/>
      <c r="L45" s="20"/>
      <c r="M45" s="19" t="s">
        <v>461</v>
      </c>
      <c r="N45" s="42"/>
    </row>
    <row r="46" ht="27.0" customHeight="1">
      <c r="A46" s="34" t="s">
        <v>211</v>
      </c>
      <c r="B46" s="36" t="s">
        <v>47</v>
      </c>
      <c r="C46" s="36" t="s">
        <v>69</v>
      </c>
      <c r="D46" s="36" t="s">
        <v>485</v>
      </c>
      <c r="E46" s="36" t="s">
        <v>34</v>
      </c>
      <c r="F46" s="36" t="s">
        <v>34</v>
      </c>
      <c r="G46" s="36" t="s">
        <v>34</v>
      </c>
      <c r="H46" s="36"/>
      <c r="I46" s="36" t="s">
        <v>34</v>
      </c>
      <c r="J46" s="36" t="s">
        <v>487</v>
      </c>
      <c r="K46" s="43"/>
      <c r="L46" s="43"/>
      <c r="M46" s="36" t="s">
        <v>461</v>
      </c>
      <c r="N46" s="44"/>
    </row>
    <row r="47" ht="27.0" customHeight="1">
      <c r="A47" s="18" t="s">
        <v>281</v>
      </c>
      <c r="B47" s="50" t="s">
        <v>488</v>
      </c>
      <c r="C47" s="20"/>
      <c r="D47" s="19" t="s">
        <v>489</v>
      </c>
      <c r="E47" s="19" t="s">
        <v>422</v>
      </c>
      <c r="F47" s="19" t="s">
        <v>31</v>
      </c>
      <c r="G47" s="19" t="s">
        <v>490</v>
      </c>
      <c r="H47" s="19"/>
      <c r="I47" s="19" t="s">
        <v>32</v>
      </c>
      <c r="J47" s="19" t="s">
        <v>491</v>
      </c>
      <c r="K47" s="20"/>
      <c r="L47" s="20"/>
      <c r="M47" s="20"/>
      <c r="N47" s="42"/>
    </row>
    <row r="48" ht="27.0" customHeight="1">
      <c r="A48" s="34" t="s">
        <v>230</v>
      </c>
      <c r="B48" s="36" t="s">
        <v>492</v>
      </c>
      <c r="C48" s="36" t="s">
        <v>69</v>
      </c>
      <c r="D48" s="36" t="s">
        <v>34</v>
      </c>
      <c r="E48" s="36" t="s">
        <v>34</v>
      </c>
      <c r="F48" s="36" t="s">
        <v>34</v>
      </c>
      <c r="G48" s="36" t="s">
        <v>34</v>
      </c>
      <c r="H48" s="36"/>
      <c r="I48" s="36" t="s">
        <v>34</v>
      </c>
      <c r="J48" s="36" t="s">
        <v>90</v>
      </c>
      <c r="K48" s="43"/>
      <c r="L48" s="43"/>
      <c r="M48" s="36" t="s">
        <v>188</v>
      </c>
      <c r="N48" s="44"/>
    </row>
    <row r="49" ht="27.0" customHeight="1">
      <c r="A49" s="18" t="s">
        <v>230</v>
      </c>
      <c r="B49" s="19" t="s">
        <v>493</v>
      </c>
      <c r="C49" s="19" t="s">
        <v>69</v>
      </c>
      <c r="D49" s="19" t="s">
        <v>34</v>
      </c>
      <c r="E49" s="19" t="s">
        <v>34</v>
      </c>
      <c r="F49" s="19" t="s">
        <v>34</v>
      </c>
      <c r="G49" s="19" t="s">
        <v>34</v>
      </c>
      <c r="H49" s="19"/>
      <c r="I49" s="19" t="s">
        <v>34</v>
      </c>
      <c r="J49" s="19" t="s">
        <v>90</v>
      </c>
      <c r="K49" s="20"/>
      <c r="L49" s="20"/>
      <c r="M49" s="19" t="s">
        <v>188</v>
      </c>
      <c r="N49" s="42"/>
    </row>
    <row r="50" ht="27.0" customHeight="1">
      <c r="A50" s="34" t="s">
        <v>230</v>
      </c>
      <c r="B50" s="36" t="s">
        <v>494</v>
      </c>
      <c r="C50" s="36" t="s">
        <v>69</v>
      </c>
      <c r="D50" s="36" t="s">
        <v>34</v>
      </c>
      <c r="E50" s="36" t="s">
        <v>34</v>
      </c>
      <c r="F50" s="36" t="s">
        <v>34</v>
      </c>
      <c r="G50" s="36" t="s">
        <v>34</v>
      </c>
      <c r="H50" s="36"/>
      <c r="I50" s="36" t="s">
        <v>34</v>
      </c>
      <c r="J50" s="36" t="s">
        <v>90</v>
      </c>
      <c r="K50" s="43"/>
      <c r="L50" s="43"/>
      <c r="M50" s="36" t="s">
        <v>188</v>
      </c>
      <c r="N50" s="44"/>
    </row>
    <row r="51" ht="27.0" customHeight="1">
      <c r="A51" s="18" t="s">
        <v>230</v>
      </c>
      <c r="B51" s="19" t="s">
        <v>495</v>
      </c>
      <c r="C51" s="19" t="s">
        <v>69</v>
      </c>
      <c r="D51" s="19" t="s">
        <v>34</v>
      </c>
      <c r="E51" s="19" t="s">
        <v>34</v>
      </c>
      <c r="F51" s="19" t="s">
        <v>34</v>
      </c>
      <c r="G51" s="19" t="s">
        <v>34</v>
      </c>
      <c r="H51" s="19"/>
      <c r="I51" s="19" t="s">
        <v>34</v>
      </c>
      <c r="J51" s="19" t="s">
        <v>90</v>
      </c>
      <c r="K51" s="20"/>
      <c r="L51" s="20"/>
      <c r="M51" s="19" t="s">
        <v>188</v>
      </c>
      <c r="N51" s="42"/>
    </row>
    <row r="52" ht="27.0" customHeight="1">
      <c r="A52" s="34" t="s">
        <v>230</v>
      </c>
      <c r="B52" s="36" t="s">
        <v>496</v>
      </c>
      <c r="C52" s="36" t="s">
        <v>69</v>
      </c>
      <c r="D52" s="36" t="s">
        <v>34</v>
      </c>
      <c r="E52" s="36" t="s">
        <v>34</v>
      </c>
      <c r="F52" s="36" t="s">
        <v>34</v>
      </c>
      <c r="G52" s="36" t="s">
        <v>34</v>
      </c>
      <c r="H52" s="36"/>
      <c r="I52" s="36" t="s">
        <v>34</v>
      </c>
      <c r="J52" s="36" t="s">
        <v>90</v>
      </c>
      <c r="K52" s="43"/>
      <c r="L52" s="43"/>
      <c r="M52" s="36" t="s">
        <v>188</v>
      </c>
      <c r="N52" s="44"/>
    </row>
    <row r="53" ht="27.0" customHeight="1">
      <c r="A53" s="18" t="s">
        <v>230</v>
      </c>
      <c r="B53" s="19" t="s">
        <v>497</v>
      </c>
      <c r="C53" s="19" t="s">
        <v>69</v>
      </c>
      <c r="D53" s="19" t="s">
        <v>34</v>
      </c>
      <c r="E53" s="19" t="s">
        <v>34</v>
      </c>
      <c r="F53" s="19" t="s">
        <v>34</v>
      </c>
      <c r="G53" s="19" t="s">
        <v>34</v>
      </c>
      <c r="H53" s="19"/>
      <c r="I53" s="19" t="s">
        <v>34</v>
      </c>
      <c r="J53" s="19" t="s">
        <v>90</v>
      </c>
      <c r="K53" s="20"/>
      <c r="L53" s="20"/>
      <c r="M53" s="19" t="s">
        <v>188</v>
      </c>
      <c r="N53" s="42"/>
    </row>
    <row r="54" ht="27.0" customHeight="1">
      <c r="A54" s="34" t="s">
        <v>208</v>
      </c>
      <c r="B54" s="36" t="s">
        <v>200</v>
      </c>
      <c r="C54" s="36" t="s">
        <v>69</v>
      </c>
      <c r="D54" s="36" t="s">
        <v>498</v>
      </c>
      <c r="E54" s="36" t="s">
        <v>422</v>
      </c>
      <c r="F54" s="36" t="s">
        <v>31</v>
      </c>
      <c r="G54" s="36" t="s">
        <v>499</v>
      </c>
      <c r="H54" s="24" t="s">
        <v>500</v>
      </c>
      <c r="I54" s="36" t="s">
        <v>32</v>
      </c>
      <c r="J54" s="43"/>
      <c r="K54" s="43"/>
      <c r="L54" s="43"/>
      <c r="M54" s="36" t="s">
        <v>185</v>
      </c>
      <c r="N54" s="44"/>
    </row>
    <row r="55" ht="27.0" customHeight="1">
      <c r="A55" s="18" t="s">
        <v>312</v>
      </c>
      <c r="B55" s="19" t="s">
        <v>211</v>
      </c>
      <c r="C55" s="19" t="s">
        <v>29</v>
      </c>
      <c r="D55" s="19" t="s">
        <v>372</v>
      </c>
      <c r="E55" s="20"/>
      <c r="F55" s="20"/>
      <c r="G55" s="19" t="s">
        <v>501</v>
      </c>
      <c r="H55" s="20"/>
      <c r="I55" s="20"/>
      <c r="J55" s="20"/>
      <c r="K55" s="20"/>
      <c r="L55" s="20"/>
      <c r="M55" s="19" t="s">
        <v>502</v>
      </c>
      <c r="N55" s="42"/>
    </row>
    <row r="56" ht="27.0" customHeight="1">
      <c r="A56" s="34" t="s">
        <v>283</v>
      </c>
      <c r="B56" s="36" t="s">
        <v>231</v>
      </c>
      <c r="C56" s="36" t="s">
        <v>29</v>
      </c>
      <c r="D56" s="36" t="s">
        <v>34</v>
      </c>
      <c r="E56" s="36" t="s">
        <v>34</v>
      </c>
      <c r="F56" s="36" t="s">
        <v>34</v>
      </c>
      <c r="G56" s="36" t="s">
        <v>34</v>
      </c>
      <c r="H56" s="36"/>
      <c r="I56" s="36" t="s">
        <v>34</v>
      </c>
      <c r="J56" s="36" t="s">
        <v>90</v>
      </c>
      <c r="K56" s="43"/>
      <c r="L56" s="36" t="s">
        <v>503</v>
      </c>
      <c r="M56" s="36" t="s">
        <v>36</v>
      </c>
      <c r="N56" s="44"/>
    </row>
    <row r="57" ht="27.0" customHeight="1">
      <c r="A57" s="18" t="s">
        <v>283</v>
      </c>
      <c r="B57" s="19" t="s">
        <v>47</v>
      </c>
      <c r="C57" s="19" t="s">
        <v>29</v>
      </c>
      <c r="D57" s="19" t="s">
        <v>34</v>
      </c>
      <c r="E57" s="19" t="s">
        <v>34</v>
      </c>
      <c r="F57" s="19" t="s">
        <v>34</v>
      </c>
      <c r="G57" s="19" t="s">
        <v>34</v>
      </c>
      <c r="H57" s="19"/>
      <c r="I57" s="19" t="s">
        <v>34</v>
      </c>
      <c r="J57" s="19" t="s">
        <v>90</v>
      </c>
      <c r="K57" s="20"/>
      <c r="L57" s="19" t="s">
        <v>47</v>
      </c>
      <c r="M57" s="19" t="s">
        <v>36</v>
      </c>
      <c r="N57" s="42"/>
    </row>
    <row r="58" ht="27.0" customHeight="1">
      <c r="A58" s="34" t="s">
        <v>283</v>
      </c>
      <c r="B58" s="36" t="s">
        <v>504</v>
      </c>
      <c r="C58" s="36" t="s">
        <v>29</v>
      </c>
      <c r="D58" s="36" t="s">
        <v>34</v>
      </c>
      <c r="E58" s="36" t="s">
        <v>34</v>
      </c>
      <c r="F58" s="36" t="s">
        <v>34</v>
      </c>
      <c r="G58" s="36" t="s">
        <v>34</v>
      </c>
      <c r="H58" s="36"/>
      <c r="I58" s="36" t="s">
        <v>34</v>
      </c>
      <c r="J58" s="36" t="s">
        <v>90</v>
      </c>
      <c r="K58" s="43"/>
      <c r="L58" s="43"/>
      <c r="M58" s="36" t="s">
        <v>36</v>
      </c>
      <c r="N58" s="44"/>
    </row>
    <row r="59" ht="27.0" customHeight="1">
      <c r="A59" s="18" t="s">
        <v>283</v>
      </c>
      <c r="B59" s="19" t="s">
        <v>47</v>
      </c>
      <c r="C59" s="19" t="s">
        <v>29</v>
      </c>
      <c r="D59" s="19" t="s">
        <v>34</v>
      </c>
      <c r="E59" s="19" t="s">
        <v>34</v>
      </c>
      <c r="F59" s="19" t="s">
        <v>34</v>
      </c>
      <c r="G59" s="19" t="s">
        <v>34</v>
      </c>
      <c r="H59" s="19"/>
      <c r="I59" s="19" t="s">
        <v>34</v>
      </c>
      <c r="J59" s="19" t="s">
        <v>90</v>
      </c>
      <c r="K59" s="20"/>
      <c r="L59" s="19" t="s">
        <v>505</v>
      </c>
      <c r="M59" s="19" t="s">
        <v>36</v>
      </c>
      <c r="N59" s="42"/>
    </row>
    <row r="60" ht="27.0" customHeight="1">
      <c r="A60" s="34" t="s">
        <v>283</v>
      </c>
      <c r="B60" s="36" t="s">
        <v>351</v>
      </c>
      <c r="C60" s="36" t="s">
        <v>29</v>
      </c>
      <c r="D60" s="36" t="s">
        <v>34</v>
      </c>
      <c r="E60" s="36" t="s">
        <v>34</v>
      </c>
      <c r="F60" s="36" t="s">
        <v>34</v>
      </c>
      <c r="G60" s="36" t="s">
        <v>34</v>
      </c>
      <c r="H60" s="36"/>
      <c r="I60" s="36" t="s">
        <v>34</v>
      </c>
      <c r="J60" s="36" t="s">
        <v>90</v>
      </c>
      <c r="K60" s="43"/>
      <c r="L60" s="43"/>
      <c r="M60" s="36" t="s">
        <v>36</v>
      </c>
      <c r="N60" s="44"/>
    </row>
    <row r="61" ht="27.0" customHeight="1">
      <c r="A61" s="18" t="s">
        <v>283</v>
      </c>
      <c r="B61" s="19" t="s">
        <v>53</v>
      </c>
      <c r="C61" s="19" t="s">
        <v>29</v>
      </c>
      <c r="D61" s="19" t="s">
        <v>34</v>
      </c>
      <c r="E61" s="19" t="s">
        <v>34</v>
      </c>
      <c r="F61" s="19" t="s">
        <v>34</v>
      </c>
      <c r="G61" s="19" t="s">
        <v>34</v>
      </c>
      <c r="H61" s="19"/>
      <c r="I61" s="19" t="s">
        <v>34</v>
      </c>
      <c r="J61" s="19" t="s">
        <v>90</v>
      </c>
      <c r="K61" s="20"/>
      <c r="L61" s="19" t="s">
        <v>53</v>
      </c>
      <c r="M61" s="19" t="s">
        <v>36</v>
      </c>
      <c r="N61" s="42"/>
    </row>
    <row r="62" ht="27.0" customHeight="1">
      <c r="A62" s="34" t="s">
        <v>283</v>
      </c>
      <c r="B62" s="36" t="s">
        <v>44</v>
      </c>
      <c r="C62" s="36" t="s">
        <v>29</v>
      </c>
      <c r="D62" s="36" t="s">
        <v>34</v>
      </c>
      <c r="E62" s="36" t="s">
        <v>34</v>
      </c>
      <c r="F62" s="36" t="s">
        <v>34</v>
      </c>
      <c r="G62" s="36" t="s">
        <v>34</v>
      </c>
      <c r="H62" s="36"/>
      <c r="I62" s="36" t="s">
        <v>34</v>
      </c>
      <c r="J62" s="36" t="s">
        <v>90</v>
      </c>
      <c r="K62" s="43"/>
      <c r="L62" s="36" t="s">
        <v>44</v>
      </c>
      <c r="M62" s="36" t="s">
        <v>36</v>
      </c>
      <c r="N62" s="44"/>
    </row>
    <row r="63" ht="27.0" customHeight="1">
      <c r="A63" s="18" t="s">
        <v>283</v>
      </c>
      <c r="B63" s="19" t="s">
        <v>506</v>
      </c>
      <c r="C63" s="19" t="s">
        <v>29</v>
      </c>
      <c r="D63" s="19" t="s">
        <v>34</v>
      </c>
      <c r="E63" s="19" t="s">
        <v>34</v>
      </c>
      <c r="F63" s="19" t="s">
        <v>34</v>
      </c>
      <c r="G63" s="19" t="s">
        <v>34</v>
      </c>
      <c r="H63" s="19"/>
      <c r="I63" s="19" t="s">
        <v>34</v>
      </c>
      <c r="J63" s="19" t="s">
        <v>90</v>
      </c>
      <c r="K63" s="20"/>
      <c r="L63" s="20"/>
      <c r="M63" s="19" t="s">
        <v>36</v>
      </c>
      <c r="N63" s="42"/>
    </row>
    <row r="64" ht="27.0" customHeight="1">
      <c r="A64" s="34" t="s">
        <v>283</v>
      </c>
      <c r="B64" s="51" t="s">
        <v>507</v>
      </c>
      <c r="C64" s="36" t="s">
        <v>29</v>
      </c>
      <c r="D64" s="36" t="s">
        <v>34</v>
      </c>
      <c r="E64" s="36" t="s">
        <v>34</v>
      </c>
      <c r="F64" s="36" t="s">
        <v>34</v>
      </c>
      <c r="G64" s="36" t="s">
        <v>34</v>
      </c>
      <c r="H64" s="36"/>
      <c r="I64" s="36" t="s">
        <v>34</v>
      </c>
      <c r="J64" s="36" t="s">
        <v>90</v>
      </c>
      <c r="K64" s="52"/>
      <c r="L64" s="52"/>
      <c r="M64" s="36" t="s">
        <v>36</v>
      </c>
      <c r="N64" s="53"/>
    </row>
    <row r="65" ht="27.0" customHeight="1">
      <c r="A65" s="18" t="s">
        <v>283</v>
      </c>
      <c r="B65" s="19" t="s">
        <v>508</v>
      </c>
      <c r="C65" s="19" t="s">
        <v>29</v>
      </c>
      <c r="D65" s="19" t="s">
        <v>34</v>
      </c>
      <c r="E65" s="19" t="s">
        <v>34</v>
      </c>
      <c r="F65" s="19" t="s">
        <v>34</v>
      </c>
      <c r="G65" s="19" t="s">
        <v>34</v>
      </c>
      <c r="H65" s="19"/>
      <c r="I65" s="19" t="s">
        <v>34</v>
      </c>
      <c r="J65" s="19" t="s">
        <v>90</v>
      </c>
      <c r="K65" s="20"/>
      <c r="L65" s="20"/>
      <c r="M65" s="19" t="s">
        <v>36</v>
      </c>
      <c r="N65" s="42"/>
    </row>
    <row r="66" ht="27.0" customHeight="1">
      <c r="A66" s="34" t="s">
        <v>331</v>
      </c>
      <c r="B66" s="36" t="s">
        <v>509</v>
      </c>
      <c r="C66" s="36" t="s">
        <v>34</v>
      </c>
      <c r="D66" s="36" t="s">
        <v>34</v>
      </c>
      <c r="E66" s="36" t="s">
        <v>34</v>
      </c>
      <c r="F66" s="36" t="s">
        <v>34</v>
      </c>
      <c r="G66" s="36" t="s">
        <v>34</v>
      </c>
      <c r="H66" s="36"/>
      <c r="I66" s="36" t="s">
        <v>34</v>
      </c>
      <c r="J66" s="36" t="s">
        <v>34</v>
      </c>
      <c r="K66" s="36" t="s">
        <v>34</v>
      </c>
      <c r="L66" s="36" t="s">
        <v>34</v>
      </c>
      <c r="M66" s="36" t="s">
        <v>34</v>
      </c>
      <c r="N66" s="44"/>
    </row>
    <row r="67" ht="27.0" customHeight="1">
      <c r="A67" s="18" t="s">
        <v>337</v>
      </c>
      <c r="B67" s="19" t="s">
        <v>510</v>
      </c>
      <c r="C67" s="19" t="s">
        <v>29</v>
      </c>
      <c r="D67" s="19" t="s">
        <v>348</v>
      </c>
      <c r="E67" s="19" t="s">
        <v>469</v>
      </c>
      <c r="F67" s="19" t="s">
        <v>34</v>
      </c>
      <c r="G67" s="19" t="s">
        <v>34</v>
      </c>
      <c r="H67" s="19"/>
      <c r="I67" s="19" t="s">
        <v>34</v>
      </c>
      <c r="J67" s="19" t="s">
        <v>90</v>
      </c>
      <c r="K67" s="20"/>
      <c r="L67" s="20"/>
      <c r="M67" s="20"/>
      <c r="N67" s="42"/>
    </row>
    <row r="68" ht="27.0" customHeight="1">
      <c r="A68" s="34" t="s">
        <v>351</v>
      </c>
      <c r="B68" s="36" t="s">
        <v>511</v>
      </c>
      <c r="C68" s="36" t="s">
        <v>84</v>
      </c>
      <c r="D68" s="51" t="s">
        <v>512</v>
      </c>
      <c r="E68" s="36" t="s">
        <v>469</v>
      </c>
      <c r="F68" s="51" t="s">
        <v>31</v>
      </c>
      <c r="G68" s="36" t="s">
        <v>513</v>
      </c>
      <c r="H68" s="36"/>
      <c r="I68" s="36" t="s">
        <v>32</v>
      </c>
      <c r="J68" s="49" t="s">
        <v>514</v>
      </c>
      <c r="K68" s="52"/>
      <c r="L68" s="43"/>
      <c r="M68" s="51" t="s">
        <v>425</v>
      </c>
      <c r="N68" s="53"/>
    </row>
    <row r="69" ht="27.0" customHeight="1">
      <c r="A69" s="18" t="s">
        <v>52</v>
      </c>
      <c r="B69" s="19" t="s">
        <v>515</v>
      </c>
      <c r="C69" s="19" t="s">
        <v>29</v>
      </c>
      <c r="D69" s="19" t="s">
        <v>516</v>
      </c>
      <c r="E69" s="19" t="s">
        <v>34</v>
      </c>
      <c r="F69" s="19" t="s">
        <v>34</v>
      </c>
      <c r="G69" s="19" t="s">
        <v>34</v>
      </c>
      <c r="H69" s="19"/>
      <c r="I69" s="19" t="s">
        <v>34</v>
      </c>
      <c r="J69" s="19" t="s">
        <v>90</v>
      </c>
      <c r="K69" s="20"/>
      <c r="L69" s="20"/>
      <c r="M69" s="20"/>
      <c r="N69" s="42"/>
    </row>
    <row r="70" ht="27.0" customHeight="1">
      <c r="A70" s="34" t="s">
        <v>231</v>
      </c>
      <c r="B70" s="36" t="s">
        <v>517</v>
      </c>
      <c r="C70" s="36" t="s">
        <v>29</v>
      </c>
      <c r="D70" s="36" t="s">
        <v>516</v>
      </c>
      <c r="E70" s="36" t="s">
        <v>34</v>
      </c>
      <c r="F70" s="36" t="s">
        <v>34</v>
      </c>
      <c r="G70" s="36" t="s">
        <v>34</v>
      </c>
      <c r="H70" s="36"/>
      <c r="I70" s="36" t="s">
        <v>34</v>
      </c>
      <c r="J70" s="36" t="s">
        <v>90</v>
      </c>
      <c r="K70" s="43"/>
      <c r="L70" s="43"/>
      <c r="M70" s="43"/>
      <c r="N70" s="44"/>
    </row>
    <row r="71" ht="27.0" customHeight="1">
      <c r="A71" s="18" t="s">
        <v>374</v>
      </c>
      <c r="B71" s="19" t="s">
        <v>518</v>
      </c>
      <c r="C71" s="19" t="s">
        <v>34</v>
      </c>
      <c r="D71" s="54" t="s">
        <v>519</v>
      </c>
      <c r="E71" s="19" t="s">
        <v>34</v>
      </c>
      <c r="F71" s="19" t="s">
        <v>34</v>
      </c>
      <c r="G71" s="19" t="s">
        <v>34</v>
      </c>
      <c r="H71" s="19"/>
      <c r="I71" s="19" t="s">
        <v>34</v>
      </c>
      <c r="J71" s="19" t="s">
        <v>520</v>
      </c>
      <c r="K71" s="20"/>
      <c r="L71" s="20"/>
      <c r="M71" s="19" t="s">
        <v>185</v>
      </c>
      <c r="N71" s="42"/>
    </row>
    <row r="72" ht="27.0" customHeight="1">
      <c r="A72" s="34" t="s">
        <v>44</v>
      </c>
      <c r="B72" s="36" t="s">
        <v>201</v>
      </c>
      <c r="C72" s="36" t="s">
        <v>29</v>
      </c>
      <c r="D72" s="36" t="s">
        <v>521</v>
      </c>
      <c r="E72" s="36" t="s">
        <v>422</v>
      </c>
      <c r="F72" s="36" t="s">
        <v>31</v>
      </c>
      <c r="G72" s="36" t="s">
        <v>522</v>
      </c>
      <c r="H72" s="36"/>
      <c r="I72" s="36" t="s">
        <v>32</v>
      </c>
      <c r="J72" s="43"/>
      <c r="K72" s="43"/>
      <c r="L72" s="43"/>
      <c r="M72" s="36" t="s">
        <v>36</v>
      </c>
      <c r="N72" s="44"/>
    </row>
    <row r="73" ht="27.0" customHeight="1">
      <c r="A73" s="18" t="s">
        <v>44</v>
      </c>
      <c r="B73" s="19" t="s">
        <v>27</v>
      </c>
      <c r="C73" s="19" t="s">
        <v>29</v>
      </c>
      <c r="D73" s="19" t="s">
        <v>523</v>
      </c>
      <c r="E73" s="19" t="s">
        <v>422</v>
      </c>
      <c r="F73" s="19" t="s">
        <v>31</v>
      </c>
      <c r="G73" s="19" t="s">
        <v>522</v>
      </c>
      <c r="H73" s="19"/>
      <c r="I73" s="19" t="s">
        <v>32</v>
      </c>
      <c r="J73" s="20"/>
      <c r="K73" s="20"/>
      <c r="L73" s="20"/>
      <c r="M73" s="19" t="s">
        <v>36</v>
      </c>
      <c r="N73" s="42"/>
    </row>
    <row r="74" ht="27.0" customHeight="1">
      <c r="A74" s="34" t="s">
        <v>44</v>
      </c>
      <c r="B74" s="36" t="s">
        <v>462</v>
      </c>
      <c r="C74" s="36" t="s">
        <v>29</v>
      </c>
      <c r="D74" s="36" t="s">
        <v>524</v>
      </c>
      <c r="E74" s="36" t="s">
        <v>422</v>
      </c>
      <c r="F74" s="36" t="s">
        <v>31</v>
      </c>
      <c r="G74" s="36" t="s">
        <v>522</v>
      </c>
      <c r="H74" s="36"/>
      <c r="I74" s="36" t="s">
        <v>32</v>
      </c>
      <c r="J74" s="43"/>
      <c r="K74" s="43"/>
      <c r="L74" s="43"/>
      <c r="M74" s="36" t="s">
        <v>185</v>
      </c>
      <c r="N74" s="44"/>
    </row>
    <row r="75" ht="27.0" customHeight="1">
      <c r="A75" s="18" t="s">
        <v>44</v>
      </c>
      <c r="B75" s="19" t="s">
        <v>44</v>
      </c>
      <c r="C75" s="19" t="s">
        <v>29</v>
      </c>
      <c r="D75" s="19" t="s">
        <v>525</v>
      </c>
      <c r="E75" s="19" t="s">
        <v>469</v>
      </c>
      <c r="F75" s="19" t="s">
        <v>31</v>
      </c>
      <c r="G75" s="19" t="s">
        <v>526</v>
      </c>
      <c r="H75" s="19"/>
      <c r="I75" s="19" t="s">
        <v>32</v>
      </c>
      <c r="J75" s="20"/>
      <c r="K75" s="20"/>
      <c r="L75" s="20"/>
      <c r="M75" s="19" t="s">
        <v>185</v>
      </c>
      <c r="N75" s="42"/>
    </row>
    <row r="76" ht="27.0" customHeight="1">
      <c r="A76" s="34" t="s">
        <v>44</v>
      </c>
      <c r="B76" s="36" t="s">
        <v>44</v>
      </c>
      <c r="C76" s="36" t="s">
        <v>29</v>
      </c>
      <c r="D76" s="36" t="s">
        <v>527</v>
      </c>
      <c r="E76" s="36" t="s">
        <v>422</v>
      </c>
      <c r="F76" s="36" t="s">
        <v>31</v>
      </c>
      <c r="G76" s="36" t="s">
        <v>528</v>
      </c>
      <c r="H76" s="36"/>
      <c r="I76" s="36" t="s">
        <v>32</v>
      </c>
      <c r="J76" s="43"/>
      <c r="K76" s="43"/>
      <c r="L76" s="43"/>
      <c r="M76" s="36" t="s">
        <v>36</v>
      </c>
      <c r="N76" s="44"/>
    </row>
    <row r="77" ht="27.0" customHeight="1">
      <c r="A77" s="18" t="s">
        <v>44</v>
      </c>
      <c r="B77" s="19" t="s">
        <v>44</v>
      </c>
      <c r="C77" s="19" t="s">
        <v>29</v>
      </c>
      <c r="D77" s="19" t="s">
        <v>36</v>
      </c>
      <c r="E77" s="19" t="s">
        <v>439</v>
      </c>
      <c r="F77" s="19" t="s">
        <v>31</v>
      </c>
      <c r="G77" s="19" t="s">
        <v>522</v>
      </c>
      <c r="H77" s="19"/>
      <c r="I77" s="19" t="s">
        <v>32</v>
      </c>
      <c r="J77" s="20"/>
      <c r="K77" s="20"/>
      <c r="L77" s="20"/>
      <c r="M77" s="19" t="s">
        <v>36</v>
      </c>
      <c r="N77" s="42"/>
    </row>
    <row r="78" ht="27.0" customHeight="1">
      <c r="A78" s="34" t="s">
        <v>44</v>
      </c>
      <c r="B78" s="36" t="s">
        <v>529</v>
      </c>
      <c r="C78" s="36" t="s">
        <v>29</v>
      </c>
      <c r="D78" s="36" t="s">
        <v>524</v>
      </c>
      <c r="E78" s="36" t="s">
        <v>422</v>
      </c>
      <c r="F78" s="36" t="s">
        <v>31</v>
      </c>
      <c r="G78" s="36" t="s">
        <v>522</v>
      </c>
      <c r="H78" s="36"/>
      <c r="I78" s="36" t="s">
        <v>32</v>
      </c>
      <c r="J78" s="43"/>
      <c r="K78" s="43"/>
      <c r="L78" s="43"/>
      <c r="M78" s="36" t="s">
        <v>185</v>
      </c>
      <c r="N78" s="44"/>
    </row>
    <row r="79" ht="27.0" customHeight="1">
      <c r="A79" s="18" t="s">
        <v>44</v>
      </c>
      <c r="B79" s="19" t="s">
        <v>44</v>
      </c>
      <c r="C79" s="19" t="s">
        <v>29</v>
      </c>
      <c r="D79" s="19" t="s">
        <v>530</v>
      </c>
      <c r="E79" s="19" t="s">
        <v>422</v>
      </c>
      <c r="F79" s="19" t="s">
        <v>31</v>
      </c>
      <c r="G79" s="19" t="s">
        <v>522</v>
      </c>
      <c r="H79" s="19"/>
      <c r="I79" s="19" t="s">
        <v>32</v>
      </c>
      <c r="J79" s="20"/>
      <c r="K79" s="20"/>
      <c r="L79" s="20"/>
      <c r="M79" s="19" t="s">
        <v>185</v>
      </c>
      <c r="N79" s="42"/>
    </row>
    <row r="80" ht="27.0" customHeight="1">
      <c r="A80" s="34" t="s">
        <v>44</v>
      </c>
      <c r="B80" s="36" t="s">
        <v>531</v>
      </c>
      <c r="C80" s="36" t="s">
        <v>29</v>
      </c>
      <c r="D80" s="36" t="s">
        <v>530</v>
      </c>
      <c r="E80" s="36" t="s">
        <v>422</v>
      </c>
      <c r="F80" s="36" t="s">
        <v>31</v>
      </c>
      <c r="G80" s="36" t="s">
        <v>522</v>
      </c>
      <c r="H80" s="36"/>
      <c r="I80" s="36" t="s">
        <v>32</v>
      </c>
      <c r="J80" s="43"/>
      <c r="K80" s="43"/>
      <c r="L80" s="43"/>
      <c r="M80" s="36" t="s">
        <v>185</v>
      </c>
      <c r="N80" s="44"/>
    </row>
    <row r="81" ht="27.0" customHeight="1">
      <c r="A81" s="18" t="s">
        <v>44</v>
      </c>
      <c r="B81" s="19" t="s">
        <v>44</v>
      </c>
      <c r="C81" s="19" t="s">
        <v>29</v>
      </c>
      <c r="D81" s="19" t="s">
        <v>532</v>
      </c>
      <c r="E81" s="19" t="s">
        <v>422</v>
      </c>
      <c r="F81" s="19" t="s">
        <v>31</v>
      </c>
      <c r="G81" s="19" t="s">
        <v>522</v>
      </c>
      <c r="H81" s="19"/>
      <c r="I81" s="19" t="s">
        <v>32</v>
      </c>
      <c r="J81" s="20"/>
      <c r="K81" s="20"/>
      <c r="L81" s="20"/>
      <c r="M81" s="19" t="s">
        <v>185</v>
      </c>
      <c r="N81" s="42"/>
    </row>
    <row r="82" ht="27.0" customHeight="1">
      <c r="A82" s="34" t="s">
        <v>44</v>
      </c>
      <c r="B82" s="36" t="s">
        <v>118</v>
      </c>
      <c r="C82" s="36" t="s">
        <v>29</v>
      </c>
      <c r="D82" s="36" t="s">
        <v>533</v>
      </c>
      <c r="E82" s="36" t="s">
        <v>422</v>
      </c>
      <c r="F82" s="36" t="s">
        <v>31</v>
      </c>
      <c r="G82" s="36" t="s">
        <v>522</v>
      </c>
      <c r="H82" s="36"/>
      <c r="I82" s="36" t="s">
        <v>32</v>
      </c>
      <c r="J82" s="43"/>
      <c r="K82" s="43"/>
      <c r="L82" s="43"/>
      <c r="M82" s="36" t="s">
        <v>185</v>
      </c>
      <c r="N82" s="44"/>
    </row>
    <row r="83" ht="27.0" customHeight="1">
      <c r="A83" s="18" t="s">
        <v>44</v>
      </c>
      <c r="B83" s="19" t="s">
        <v>44</v>
      </c>
      <c r="C83" s="19" t="s">
        <v>29</v>
      </c>
      <c r="D83" s="19" t="s">
        <v>534</v>
      </c>
      <c r="E83" s="19" t="s">
        <v>469</v>
      </c>
      <c r="F83" s="19" t="s">
        <v>31</v>
      </c>
      <c r="G83" s="19" t="s">
        <v>522</v>
      </c>
      <c r="H83" s="19"/>
      <c r="I83" s="19" t="s">
        <v>32</v>
      </c>
      <c r="J83" s="20"/>
      <c r="K83" s="20"/>
      <c r="L83" s="20"/>
      <c r="M83" s="19" t="s">
        <v>185</v>
      </c>
      <c r="N83" s="42"/>
    </row>
  </sheetData>
  <autoFilter ref="$A$1:$N$83"/>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2.0" topLeftCell="A3" activePane="bottomLeft" state="frozen"/>
      <selection activeCell="B4" sqref="B4" pane="bottomLeft"/>
    </sheetView>
  </sheetViews>
  <sheetFormatPr customHeight="1" defaultColWidth="12.63" defaultRowHeight="15.75"/>
  <cols>
    <col customWidth="1" min="1" max="1" width="4.25"/>
    <col customWidth="1" min="2" max="2" width="21.75"/>
    <col customWidth="1" min="3" max="3" width="46.13"/>
    <col customWidth="1" min="5" max="5" width="15.5"/>
    <col customWidth="1" min="6" max="6" width="40.13"/>
  </cols>
  <sheetData>
    <row r="1">
      <c r="A1" s="8"/>
      <c r="B1" s="8"/>
      <c r="C1" s="8"/>
      <c r="D1" s="8"/>
      <c r="E1" s="8"/>
      <c r="F1" s="8"/>
      <c r="G1" s="8"/>
      <c r="H1" s="8"/>
      <c r="I1" s="8"/>
      <c r="J1" s="8"/>
      <c r="K1" s="8"/>
      <c r="L1" s="8"/>
      <c r="M1" s="8"/>
      <c r="N1" s="8"/>
      <c r="O1" s="8"/>
      <c r="P1" s="8"/>
      <c r="Q1" s="8"/>
      <c r="R1" s="8"/>
      <c r="S1" s="8"/>
      <c r="T1" s="8"/>
      <c r="U1" s="8"/>
      <c r="V1" s="8"/>
      <c r="W1" s="8"/>
      <c r="X1" s="8"/>
      <c r="Y1" s="8"/>
      <c r="Z1" s="8"/>
      <c r="AA1" s="8"/>
    </row>
    <row r="2">
      <c r="A2" s="8"/>
      <c r="B2" s="9" t="s">
        <v>535</v>
      </c>
      <c r="C2" s="8"/>
      <c r="D2" s="8"/>
      <c r="E2" s="8"/>
      <c r="F2" s="8"/>
      <c r="G2" s="8"/>
      <c r="H2" s="8"/>
      <c r="I2" s="8"/>
      <c r="J2" s="8"/>
      <c r="K2" s="8"/>
      <c r="L2" s="8"/>
      <c r="M2" s="8"/>
      <c r="N2" s="8"/>
      <c r="O2" s="8"/>
      <c r="P2" s="8"/>
      <c r="Q2" s="8"/>
      <c r="R2" s="8"/>
      <c r="S2" s="8"/>
      <c r="T2" s="8"/>
      <c r="U2" s="8"/>
      <c r="V2" s="8"/>
      <c r="W2" s="8"/>
      <c r="X2" s="8"/>
      <c r="Y2" s="8"/>
      <c r="Z2" s="8"/>
      <c r="AA2" s="8"/>
    </row>
    <row r="3">
      <c r="A3" s="8"/>
      <c r="B3" s="8"/>
      <c r="C3" s="8"/>
      <c r="D3" s="8"/>
      <c r="E3" s="8"/>
      <c r="F3" s="8"/>
      <c r="G3" s="8"/>
      <c r="H3" s="8"/>
      <c r="I3" s="8"/>
      <c r="J3" s="8"/>
      <c r="K3" s="8"/>
      <c r="L3" s="8"/>
      <c r="M3" s="8"/>
      <c r="N3" s="8"/>
      <c r="O3" s="8"/>
      <c r="P3" s="8"/>
      <c r="Q3" s="8"/>
      <c r="R3" s="8"/>
      <c r="S3" s="8"/>
      <c r="T3" s="8"/>
      <c r="U3" s="8"/>
      <c r="V3" s="8"/>
      <c r="W3" s="8"/>
      <c r="X3" s="8"/>
      <c r="Y3" s="8"/>
      <c r="Z3" s="8"/>
      <c r="AA3" s="8"/>
    </row>
    <row r="4" ht="45.75" customHeight="1">
      <c r="A4" s="8"/>
      <c r="B4" s="55" t="s">
        <v>536</v>
      </c>
      <c r="D4" s="8"/>
      <c r="E4" s="8"/>
      <c r="F4" s="8"/>
      <c r="G4" s="8"/>
      <c r="H4" s="8"/>
      <c r="I4" s="8"/>
      <c r="J4" s="8"/>
      <c r="K4" s="8"/>
      <c r="L4" s="8"/>
      <c r="M4" s="8"/>
      <c r="N4" s="8"/>
      <c r="O4" s="8"/>
      <c r="P4" s="8"/>
      <c r="Q4" s="8"/>
      <c r="R4" s="8"/>
      <c r="S4" s="8"/>
      <c r="T4" s="8"/>
      <c r="U4" s="8"/>
      <c r="V4" s="8"/>
      <c r="W4" s="8"/>
      <c r="X4" s="8"/>
      <c r="Y4" s="8"/>
      <c r="Z4" s="8"/>
      <c r="AA4" s="8"/>
    </row>
    <row r="5">
      <c r="A5" s="8"/>
      <c r="B5" s="8"/>
      <c r="C5" s="8"/>
      <c r="D5" s="8"/>
      <c r="E5" s="8"/>
      <c r="F5" s="8"/>
      <c r="G5" s="8"/>
      <c r="H5" s="8"/>
      <c r="I5" s="8"/>
      <c r="J5" s="8"/>
      <c r="K5" s="8"/>
      <c r="L5" s="8"/>
      <c r="M5" s="8"/>
      <c r="N5" s="8"/>
      <c r="O5" s="8"/>
      <c r="P5" s="8"/>
      <c r="Q5" s="8"/>
      <c r="R5" s="8"/>
      <c r="S5" s="8"/>
      <c r="T5" s="8"/>
      <c r="U5" s="8"/>
      <c r="V5" s="8"/>
      <c r="W5" s="8"/>
      <c r="X5" s="8"/>
      <c r="Y5" s="8"/>
      <c r="Z5" s="8"/>
      <c r="AA5" s="8"/>
    </row>
    <row r="6" ht="24.0" customHeight="1">
      <c r="A6" s="56"/>
      <c r="B6" s="57" t="s">
        <v>537</v>
      </c>
      <c r="C6" s="57" t="s">
        <v>538</v>
      </c>
      <c r="D6" s="57" t="s">
        <v>539</v>
      </c>
      <c r="E6" s="57" t="s">
        <v>540</v>
      </c>
      <c r="F6" s="57" t="s">
        <v>541</v>
      </c>
      <c r="G6" s="56"/>
      <c r="H6" s="56"/>
      <c r="I6" s="56"/>
      <c r="J6" s="56"/>
      <c r="K6" s="56"/>
      <c r="L6" s="56"/>
      <c r="M6" s="56"/>
      <c r="N6" s="56"/>
      <c r="O6" s="56"/>
      <c r="P6" s="56"/>
      <c r="Q6" s="56"/>
      <c r="R6" s="56"/>
      <c r="S6" s="56"/>
      <c r="T6" s="56"/>
      <c r="U6" s="56"/>
      <c r="V6" s="56"/>
      <c r="W6" s="56"/>
      <c r="X6" s="56"/>
      <c r="Y6" s="56"/>
      <c r="Z6" s="56"/>
      <c r="AA6" s="56"/>
    </row>
    <row r="7" ht="96.75" customHeight="1">
      <c r="A7" s="8"/>
      <c r="B7" s="58" t="s">
        <v>542</v>
      </c>
      <c r="C7" s="58" t="s">
        <v>543</v>
      </c>
      <c r="D7" s="58" t="s">
        <v>544</v>
      </c>
      <c r="E7" s="58" t="s">
        <v>545</v>
      </c>
      <c r="F7" s="58" t="s">
        <v>546</v>
      </c>
      <c r="G7" s="8"/>
      <c r="H7" s="8"/>
      <c r="I7" s="8"/>
      <c r="J7" s="8"/>
      <c r="K7" s="8"/>
      <c r="L7" s="8"/>
      <c r="M7" s="8"/>
      <c r="N7" s="8"/>
      <c r="O7" s="8"/>
      <c r="P7" s="8"/>
      <c r="Q7" s="8"/>
      <c r="R7" s="8"/>
      <c r="S7" s="8"/>
      <c r="T7" s="8"/>
      <c r="U7" s="8"/>
      <c r="V7" s="8"/>
      <c r="W7" s="8"/>
      <c r="X7" s="8"/>
      <c r="Y7" s="8"/>
      <c r="Z7" s="8"/>
      <c r="AA7" s="8"/>
    </row>
    <row r="8" ht="61.5" customHeight="1">
      <c r="A8" s="8"/>
      <c r="B8" s="59" t="s">
        <v>547</v>
      </c>
      <c r="C8" s="59" t="s">
        <v>548</v>
      </c>
      <c r="D8" s="59" t="s">
        <v>549</v>
      </c>
      <c r="E8" s="59" t="s">
        <v>143</v>
      </c>
      <c r="F8" s="59" t="s">
        <v>550</v>
      </c>
      <c r="G8" s="8"/>
      <c r="H8" s="8"/>
      <c r="I8" s="8"/>
      <c r="J8" s="8"/>
      <c r="K8" s="8"/>
      <c r="L8" s="8"/>
      <c r="M8" s="8"/>
      <c r="N8" s="8"/>
      <c r="O8" s="8"/>
      <c r="P8" s="8"/>
      <c r="Q8" s="8"/>
      <c r="R8" s="8"/>
      <c r="S8" s="8"/>
      <c r="T8" s="8"/>
      <c r="U8" s="8"/>
      <c r="V8" s="8"/>
      <c r="W8" s="8"/>
      <c r="X8" s="8"/>
      <c r="Y8" s="8"/>
      <c r="Z8" s="8"/>
      <c r="AA8" s="8"/>
    </row>
    <row r="9" ht="61.5" customHeight="1">
      <c r="A9" s="8"/>
      <c r="B9" s="59" t="s">
        <v>551</v>
      </c>
      <c r="C9" s="59" t="s">
        <v>552</v>
      </c>
      <c r="D9" s="59" t="s">
        <v>549</v>
      </c>
      <c r="E9" s="59" t="s">
        <v>143</v>
      </c>
      <c r="F9" s="59" t="s">
        <v>550</v>
      </c>
      <c r="G9" s="8"/>
      <c r="H9" s="8"/>
      <c r="I9" s="8"/>
      <c r="J9" s="8"/>
      <c r="K9" s="8"/>
      <c r="L9" s="8"/>
      <c r="M9" s="8"/>
      <c r="N9" s="8"/>
      <c r="O9" s="8"/>
      <c r="P9" s="8"/>
      <c r="Q9" s="8"/>
      <c r="R9" s="8"/>
      <c r="S9" s="8"/>
      <c r="T9" s="8"/>
      <c r="U9" s="8"/>
      <c r="V9" s="8"/>
      <c r="W9" s="8"/>
      <c r="X9" s="8"/>
      <c r="Y9" s="8"/>
      <c r="Z9" s="8"/>
      <c r="AA9" s="8"/>
    </row>
    <row r="10" ht="76.5" customHeight="1">
      <c r="A10" s="8"/>
      <c r="B10" s="59" t="s">
        <v>553</v>
      </c>
      <c r="C10" s="59" t="s">
        <v>554</v>
      </c>
      <c r="D10" s="59" t="s">
        <v>544</v>
      </c>
      <c r="E10" s="59" t="s">
        <v>92</v>
      </c>
      <c r="F10" s="59" t="s">
        <v>555</v>
      </c>
      <c r="G10" s="8"/>
      <c r="H10" s="8"/>
      <c r="I10" s="8"/>
      <c r="J10" s="8"/>
      <c r="K10" s="8"/>
      <c r="L10" s="8"/>
      <c r="M10" s="8"/>
      <c r="N10" s="8"/>
      <c r="O10" s="8"/>
      <c r="P10" s="8"/>
      <c r="Q10" s="8"/>
      <c r="R10" s="8"/>
      <c r="S10" s="8"/>
      <c r="T10" s="8"/>
      <c r="U10" s="8"/>
      <c r="V10" s="8"/>
      <c r="W10" s="8"/>
      <c r="X10" s="8"/>
      <c r="Y10" s="8"/>
      <c r="Z10" s="8"/>
      <c r="AA10" s="8"/>
    </row>
    <row r="11" ht="41.25" customHeight="1">
      <c r="A11" s="8"/>
      <c r="B11" s="59" t="s">
        <v>556</v>
      </c>
      <c r="C11" s="59" t="s">
        <v>557</v>
      </c>
      <c r="D11" s="59" t="s">
        <v>544</v>
      </c>
      <c r="E11" s="59" t="s">
        <v>92</v>
      </c>
      <c r="F11" s="59" t="s">
        <v>558</v>
      </c>
      <c r="G11" s="8"/>
      <c r="H11" s="8"/>
      <c r="I11" s="8"/>
      <c r="J11" s="8"/>
      <c r="K11" s="8"/>
      <c r="L11" s="8"/>
      <c r="M11" s="8"/>
      <c r="N11" s="8"/>
      <c r="O11" s="8"/>
      <c r="P11" s="8"/>
      <c r="Q11" s="8"/>
      <c r="R11" s="8"/>
      <c r="S11" s="8"/>
      <c r="T11" s="8"/>
      <c r="U11" s="8"/>
      <c r="V11" s="8"/>
      <c r="W11" s="8"/>
      <c r="X11" s="8"/>
      <c r="Y11" s="8"/>
      <c r="Z11" s="8"/>
      <c r="AA11" s="8"/>
    </row>
    <row r="12" ht="42.75" customHeight="1">
      <c r="A12" s="8"/>
      <c r="B12" s="59" t="s">
        <v>559</v>
      </c>
      <c r="C12" s="59" t="s">
        <v>557</v>
      </c>
      <c r="D12" s="59" t="s">
        <v>544</v>
      </c>
      <c r="E12" s="59" t="s">
        <v>92</v>
      </c>
      <c r="F12" s="59"/>
      <c r="G12" s="8"/>
      <c r="H12" s="8"/>
      <c r="I12" s="8"/>
      <c r="J12" s="8"/>
      <c r="K12" s="8"/>
      <c r="L12" s="8"/>
      <c r="M12" s="8"/>
      <c r="N12" s="8"/>
      <c r="O12" s="8"/>
      <c r="P12" s="8"/>
      <c r="Q12" s="8"/>
      <c r="R12" s="8"/>
      <c r="S12" s="8"/>
      <c r="T12" s="8"/>
      <c r="U12" s="8"/>
      <c r="V12" s="8"/>
      <c r="W12" s="8"/>
      <c r="X12" s="8"/>
      <c r="Y12" s="8"/>
      <c r="Z12" s="8"/>
      <c r="AA12" s="8"/>
    </row>
    <row r="13" ht="39.75" customHeight="1">
      <c r="A13" s="8"/>
      <c r="B13" s="59" t="s">
        <v>560</v>
      </c>
      <c r="C13" s="59" t="s">
        <v>561</v>
      </c>
      <c r="D13" s="59" t="s">
        <v>544</v>
      </c>
      <c r="E13" s="59" t="s">
        <v>92</v>
      </c>
      <c r="F13" s="59"/>
      <c r="G13" s="8"/>
      <c r="H13" s="8"/>
      <c r="I13" s="8"/>
      <c r="J13" s="8"/>
      <c r="K13" s="8"/>
      <c r="L13" s="8"/>
      <c r="M13" s="8"/>
      <c r="N13" s="8"/>
      <c r="O13" s="8"/>
      <c r="P13" s="8"/>
      <c r="Q13" s="8"/>
      <c r="R13" s="8"/>
      <c r="S13" s="8"/>
      <c r="T13" s="8"/>
      <c r="U13" s="8"/>
      <c r="V13" s="8"/>
      <c r="W13" s="8"/>
      <c r="X13" s="8"/>
      <c r="Y13" s="8"/>
      <c r="Z13" s="8"/>
      <c r="AA13" s="8"/>
    </row>
    <row r="14" ht="44.25" customHeight="1">
      <c r="A14" s="8"/>
      <c r="B14" s="59" t="s">
        <v>562</v>
      </c>
      <c r="C14" s="59" t="s">
        <v>563</v>
      </c>
      <c r="D14" s="59" t="s">
        <v>544</v>
      </c>
      <c r="E14" s="59" t="s">
        <v>92</v>
      </c>
      <c r="F14" s="59"/>
      <c r="G14" s="8"/>
      <c r="H14" s="8"/>
      <c r="I14" s="8"/>
      <c r="J14" s="8"/>
      <c r="K14" s="8"/>
      <c r="L14" s="8"/>
      <c r="M14" s="8"/>
      <c r="N14" s="8"/>
      <c r="O14" s="8"/>
      <c r="P14" s="8"/>
      <c r="Q14" s="8"/>
      <c r="R14" s="8"/>
      <c r="S14" s="8"/>
      <c r="T14" s="8"/>
      <c r="U14" s="8"/>
      <c r="V14" s="8"/>
      <c r="W14" s="8"/>
      <c r="X14" s="8"/>
      <c r="Y14" s="8"/>
      <c r="Z14" s="8"/>
      <c r="AA14" s="8"/>
    </row>
    <row r="15" ht="44.25" customHeight="1">
      <c r="A15" s="8"/>
      <c r="B15" s="59" t="s">
        <v>564</v>
      </c>
      <c r="C15" s="59" t="s">
        <v>565</v>
      </c>
      <c r="D15" s="59" t="s">
        <v>544</v>
      </c>
      <c r="E15" s="59" t="s">
        <v>92</v>
      </c>
      <c r="F15" s="59"/>
      <c r="G15" s="8"/>
      <c r="H15" s="8"/>
      <c r="I15" s="8"/>
      <c r="J15" s="8"/>
      <c r="K15" s="8"/>
      <c r="L15" s="8"/>
      <c r="M15" s="8"/>
      <c r="N15" s="8"/>
      <c r="O15" s="8"/>
      <c r="P15" s="8"/>
      <c r="Q15" s="8"/>
      <c r="R15" s="8"/>
      <c r="S15" s="8"/>
      <c r="T15" s="8"/>
      <c r="U15" s="8"/>
      <c r="V15" s="8"/>
      <c r="W15" s="8"/>
      <c r="X15" s="8"/>
      <c r="Y15" s="8"/>
      <c r="Z15" s="8"/>
      <c r="AA15" s="8"/>
    </row>
    <row r="16" ht="44.25" customHeight="1">
      <c r="A16" s="8"/>
      <c r="B16" s="59" t="s">
        <v>566</v>
      </c>
      <c r="C16" s="59" t="s">
        <v>567</v>
      </c>
      <c r="D16" s="59" t="s">
        <v>544</v>
      </c>
      <c r="E16" s="59" t="s">
        <v>92</v>
      </c>
      <c r="F16" s="59"/>
      <c r="G16" s="8"/>
      <c r="H16" s="8"/>
      <c r="I16" s="8"/>
      <c r="J16" s="8"/>
      <c r="K16" s="8"/>
      <c r="L16" s="8"/>
      <c r="M16" s="8"/>
      <c r="N16" s="8"/>
      <c r="O16" s="8"/>
      <c r="P16" s="8"/>
      <c r="Q16" s="8"/>
      <c r="R16" s="8"/>
      <c r="S16" s="8"/>
      <c r="T16" s="8"/>
      <c r="U16" s="8"/>
      <c r="V16" s="8"/>
      <c r="W16" s="8"/>
      <c r="X16" s="8"/>
      <c r="Y16" s="8"/>
      <c r="Z16" s="8"/>
      <c r="AA16" s="8"/>
    </row>
    <row r="17">
      <c r="A17" s="8"/>
      <c r="B17" s="8"/>
      <c r="C17" s="8"/>
      <c r="D17" s="8"/>
      <c r="E17" s="8"/>
      <c r="F17" s="8"/>
      <c r="G17" s="8"/>
      <c r="H17" s="8"/>
      <c r="I17" s="8"/>
      <c r="J17" s="8"/>
      <c r="K17" s="8"/>
      <c r="L17" s="8"/>
      <c r="M17" s="8"/>
      <c r="N17" s="8"/>
      <c r="O17" s="8"/>
      <c r="P17" s="8"/>
      <c r="Q17" s="8"/>
      <c r="R17" s="8"/>
      <c r="S17" s="8"/>
      <c r="T17" s="8"/>
      <c r="U17" s="8"/>
      <c r="V17" s="8"/>
      <c r="W17" s="8"/>
      <c r="X17" s="8"/>
      <c r="Y17" s="8"/>
      <c r="Z17" s="8"/>
      <c r="AA17" s="8"/>
    </row>
    <row r="18">
      <c r="A18" s="8"/>
      <c r="B18" s="8"/>
      <c r="C18" s="8"/>
      <c r="D18" s="8"/>
      <c r="E18" s="8"/>
      <c r="F18" s="8"/>
      <c r="G18" s="8"/>
      <c r="H18" s="8"/>
      <c r="I18" s="8"/>
      <c r="J18" s="8"/>
      <c r="K18" s="8"/>
      <c r="L18" s="8"/>
      <c r="M18" s="8"/>
      <c r="N18" s="8"/>
      <c r="O18" s="8"/>
      <c r="P18" s="8"/>
      <c r="Q18" s="8"/>
      <c r="R18" s="8"/>
      <c r="S18" s="8"/>
      <c r="T18" s="8"/>
      <c r="U18" s="8"/>
      <c r="V18" s="8"/>
      <c r="W18" s="8"/>
      <c r="X18" s="8"/>
      <c r="Y18" s="8"/>
      <c r="Z18" s="8"/>
      <c r="AA18" s="8"/>
    </row>
    <row r="19">
      <c r="A19" s="8"/>
      <c r="B19" s="8"/>
      <c r="C19" s="8"/>
      <c r="D19" s="8"/>
      <c r="E19" s="8"/>
      <c r="F19" s="8"/>
      <c r="G19" s="8"/>
      <c r="H19" s="8"/>
      <c r="I19" s="8"/>
      <c r="J19" s="8"/>
      <c r="K19" s="8"/>
      <c r="L19" s="8"/>
      <c r="M19" s="8"/>
      <c r="N19" s="8"/>
      <c r="O19" s="8"/>
      <c r="P19" s="8"/>
      <c r="Q19" s="8"/>
      <c r="R19" s="8"/>
      <c r="S19" s="8"/>
      <c r="T19" s="8"/>
      <c r="U19" s="8"/>
      <c r="V19" s="8"/>
      <c r="W19" s="8"/>
      <c r="X19" s="8"/>
      <c r="Y19" s="8"/>
      <c r="Z19" s="8"/>
      <c r="AA19" s="8"/>
    </row>
    <row r="20">
      <c r="A20" s="8"/>
      <c r="B20" s="8"/>
      <c r="C20" s="8"/>
      <c r="D20" s="8"/>
      <c r="E20" s="8"/>
      <c r="F20" s="8"/>
      <c r="G20" s="8"/>
      <c r="H20" s="8"/>
      <c r="I20" s="8"/>
      <c r="J20" s="8"/>
      <c r="K20" s="8"/>
      <c r="L20" s="8"/>
      <c r="M20" s="8"/>
      <c r="N20" s="8"/>
      <c r="O20" s="8"/>
      <c r="P20" s="8"/>
      <c r="Q20" s="8"/>
      <c r="R20" s="8"/>
      <c r="S20" s="8"/>
      <c r="T20" s="8"/>
      <c r="U20" s="8"/>
      <c r="V20" s="8"/>
      <c r="W20" s="8"/>
      <c r="X20" s="8"/>
      <c r="Y20" s="8"/>
      <c r="Z20" s="8"/>
      <c r="AA20" s="8"/>
    </row>
    <row r="21">
      <c r="A21" s="8"/>
      <c r="B21" s="8"/>
      <c r="C21" s="8"/>
      <c r="D21" s="8"/>
      <c r="E21" s="8"/>
      <c r="F21" s="8"/>
      <c r="G21" s="8"/>
      <c r="H21" s="8"/>
      <c r="I21" s="8"/>
      <c r="J21" s="8"/>
      <c r="K21" s="8"/>
      <c r="L21" s="8"/>
      <c r="M21" s="8"/>
      <c r="N21" s="8"/>
      <c r="O21" s="8"/>
      <c r="P21" s="8"/>
      <c r="Q21" s="8"/>
      <c r="R21" s="8"/>
      <c r="S21" s="8"/>
      <c r="T21" s="8"/>
      <c r="U21" s="8"/>
      <c r="V21" s="8"/>
      <c r="W21" s="8"/>
      <c r="X21" s="8"/>
      <c r="Y21" s="8"/>
      <c r="Z21" s="8"/>
      <c r="AA21" s="8"/>
    </row>
    <row r="22">
      <c r="A22" s="8"/>
      <c r="B22" s="8"/>
      <c r="C22" s="8"/>
      <c r="D22" s="8"/>
      <c r="E22" s="8"/>
      <c r="F22" s="8"/>
      <c r="G22" s="8"/>
      <c r="H22" s="8"/>
      <c r="I22" s="8"/>
      <c r="J22" s="8"/>
      <c r="K22" s="8"/>
      <c r="L22" s="8"/>
      <c r="M22" s="8"/>
      <c r="N22" s="8"/>
      <c r="O22" s="8"/>
      <c r="P22" s="8"/>
      <c r="Q22" s="8"/>
      <c r="R22" s="8"/>
      <c r="S22" s="8"/>
      <c r="T22" s="8"/>
      <c r="U22" s="8"/>
      <c r="V22" s="8"/>
      <c r="W22" s="8"/>
      <c r="X22" s="8"/>
      <c r="Y22" s="8"/>
      <c r="Z22" s="8"/>
      <c r="AA22" s="8"/>
    </row>
    <row r="23">
      <c r="A23" s="8"/>
      <c r="B23" s="8"/>
      <c r="C23" s="8"/>
      <c r="D23" s="8"/>
      <c r="E23" s="8"/>
      <c r="F23" s="8"/>
      <c r="G23" s="8"/>
      <c r="H23" s="8"/>
      <c r="I23" s="8"/>
      <c r="J23" s="8"/>
      <c r="K23" s="8"/>
      <c r="L23" s="8"/>
      <c r="M23" s="8"/>
      <c r="N23" s="8"/>
      <c r="O23" s="8"/>
      <c r="P23" s="8"/>
      <c r="Q23" s="8"/>
      <c r="R23" s="8"/>
      <c r="S23" s="8"/>
      <c r="T23" s="8"/>
      <c r="U23" s="8"/>
      <c r="V23" s="8"/>
      <c r="W23" s="8"/>
      <c r="X23" s="8"/>
      <c r="Y23" s="8"/>
      <c r="Z23" s="8"/>
      <c r="AA23" s="8"/>
    </row>
    <row r="24">
      <c r="A24" s="8"/>
      <c r="B24" s="8"/>
      <c r="C24" s="8"/>
      <c r="D24" s="8"/>
      <c r="E24" s="8"/>
      <c r="F24" s="8"/>
      <c r="G24" s="8"/>
      <c r="H24" s="8"/>
      <c r="I24" s="8"/>
      <c r="J24" s="8"/>
      <c r="K24" s="8"/>
      <c r="L24" s="8"/>
      <c r="M24" s="8"/>
      <c r="N24" s="8"/>
      <c r="O24" s="8"/>
      <c r="P24" s="8"/>
      <c r="Q24" s="8"/>
      <c r="R24" s="8"/>
      <c r="S24" s="8"/>
      <c r="T24" s="8"/>
      <c r="U24" s="8"/>
      <c r="V24" s="8"/>
      <c r="W24" s="8"/>
      <c r="X24" s="8"/>
      <c r="Y24" s="8"/>
      <c r="Z24" s="8"/>
      <c r="AA24" s="8"/>
    </row>
    <row r="25">
      <c r="A25" s="8"/>
      <c r="B25" s="8"/>
      <c r="C25" s="8"/>
      <c r="D25" s="8"/>
      <c r="E25" s="8"/>
      <c r="F25" s="8"/>
      <c r="G25" s="8"/>
      <c r="H25" s="8"/>
      <c r="I25" s="8"/>
      <c r="J25" s="8"/>
      <c r="K25" s="8"/>
      <c r="L25" s="8"/>
      <c r="M25" s="8"/>
      <c r="N25" s="8"/>
      <c r="O25" s="8"/>
      <c r="P25" s="8"/>
      <c r="Q25" s="8"/>
      <c r="R25" s="8"/>
      <c r="S25" s="8"/>
      <c r="T25" s="8"/>
      <c r="U25" s="8"/>
      <c r="V25" s="8"/>
      <c r="W25" s="8"/>
      <c r="X25" s="8"/>
      <c r="Y25" s="8"/>
      <c r="Z25" s="8"/>
      <c r="AA25" s="8"/>
    </row>
    <row r="26">
      <c r="A26" s="8"/>
      <c r="B26" s="8"/>
      <c r="C26" s="8"/>
      <c r="D26" s="8"/>
      <c r="E26" s="8"/>
      <c r="F26" s="8"/>
      <c r="G26" s="8"/>
      <c r="H26" s="8"/>
      <c r="I26" s="8"/>
      <c r="J26" s="8"/>
      <c r="K26" s="8"/>
      <c r="L26" s="8"/>
      <c r="M26" s="8"/>
      <c r="N26" s="8"/>
      <c r="O26" s="8"/>
      <c r="P26" s="8"/>
      <c r="Q26" s="8"/>
      <c r="R26" s="8"/>
      <c r="S26" s="8"/>
      <c r="T26" s="8"/>
      <c r="U26" s="8"/>
      <c r="V26" s="8"/>
      <c r="W26" s="8"/>
      <c r="X26" s="8"/>
      <c r="Y26" s="8"/>
      <c r="Z26" s="8"/>
      <c r="AA26" s="8"/>
    </row>
    <row r="27">
      <c r="A27" s="8"/>
      <c r="B27" s="8"/>
      <c r="C27" s="8"/>
      <c r="D27" s="8"/>
      <c r="E27" s="8"/>
      <c r="F27" s="8"/>
      <c r="G27" s="8"/>
      <c r="H27" s="8"/>
      <c r="I27" s="8"/>
      <c r="J27" s="8"/>
      <c r="K27" s="8"/>
      <c r="L27" s="8"/>
      <c r="M27" s="8"/>
      <c r="N27" s="8"/>
      <c r="O27" s="8"/>
      <c r="P27" s="8"/>
      <c r="Q27" s="8"/>
      <c r="R27" s="8"/>
      <c r="S27" s="8"/>
      <c r="T27" s="8"/>
      <c r="U27" s="8"/>
      <c r="V27" s="8"/>
      <c r="W27" s="8"/>
      <c r="X27" s="8"/>
      <c r="Y27" s="8"/>
      <c r="Z27" s="8"/>
      <c r="AA27" s="8"/>
    </row>
    <row r="28">
      <c r="A28" s="8"/>
      <c r="B28" s="8"/>
      <c r="C28" s="8"/>
      <c r="D28" s="8"/>
      <c r="E28" s="8"/>
      <c r="F28" s="8"/>
      <c r="G28" s="8"/>
      <c r="H28" s="8"/>
      <c r="I28" s="8"/>
      <c r="J28" s="8"/>
      <c r="K28" s="8"/>
      <c r="L28" s="8"/>
      <c r="M28" s="8"/>
      <c r="N28" s="8"/>
      <c r="O28" s="8"/>
      <c r="P28" s="8"/>
      <c r="Q28" s="8"/>
      <c r="R28" s="8"/>
      <c r="S28" s="8"/>
      <c r="T28" s="8"/>
      <c r="U28" s="8"/>
      <c r="V28" s="8"/>
      <c r="W28" s="8"/>
      <c r="X28" s="8"/>
      <c r="Y28" s="8"/>
      <c r="Z28" s="8"/>
      <c r="AA28" s="8"/>
    </row>
    <row r="29">
      <c r="A29" s="8"/>
      <c r="B29" s="8"/>
      <c r="C29" s="8"/>
      <c r="D29" s="8"/>
      <c r="E29" s="8"/>
      <c r="F29" s="8"/>
      <c r="G29" s="8"/>
      <c r="H29" s="8"/>
      <c r="I29" s="8"/>
      <c r="J29" s="8"/>
      <c r="K29" s="8"/>
      <c r="L29" s="8"/>
      <c r="M29" s="8"/>
      <c r="N29" s="8"/>
      <c r="O29" s="8"/>
      <c r="P29" s="8"/>
      <c r="Q29" s="8"/>
      <c r="R29" s="8"/>
      <c r="S29" s="8"/>
      <c r="T29" s="8"/>
      <c r="U29" s="8"/>
      <c r="V29" s="8"/>
      <c r="W29" s="8"/>
      <c r="X29" s="8"/>
      <c r="Y29" s="8"/>
      <c r="Z29" s="8"/>
      <c r="AA29" s="8"/>
    </row>
    <row r="30">
      <c r="A30" s="8"/>
      <c r="B30" s="8"/>
      <c r="C30" s="8"/>
      <c r="D30" s="8"/>
      <c r="E30" s="8"/>
      <c r="F30" s="8"/>
      <c r="G30" s="8"/>
      <c r="H30" s="8"/>
      <c r="I30" s="8"/>
      <c r="J30" s="8"/>
      <c r="K30" s="8"/>
      <c r="L30" s="8"/>
      <c r="M30" s="8"/>
      <c r="N30" s="8"/>
      <c r="O30" s="8"/>
      <c r="P30" s="8"/>
      <c r="Q30" s="8"/>
      <c r="R30" s="8"/>
      <c r="S30" s="8"/>
      <c r="T30" s="8"/>
      <c r="U30" s="8"/>
      <c r="V30" s="8"/>
      <c r="W30" s="8"/>
      <c r="X30" s="8"/>
      <c r="Y30" s="8"/>
      <c r="Z30" s="8"/>
      <c r="AA30" s="8"/>
    </row>
    <row r="31">
      <c r="A31" s="8"/>
      <c r="B31" s="8"/>
      <c r="C31" s="8"/>
      <c r="D31" s="8"/>
      <c r="E31" s="8"/>
      <c r="F31" s="8"/>
      <c r="G31" s="8"/>
      <c r="H31" s="8"/>
      <c r="I31" s="8"/>
      <c r="J31" s="8"/>
      <c r="K31" s="8"/>
      <c r="L31" s="8"/>
      <c r="M31" s="8"/>
      <c r="N31" s="8"/>
      <c r="O31" s="8"/>
      <c r="P31" s="8"/>
      <c r="Q31" s="8"/>
      <c r="R31" s="8"/>
      <c r="S31" s="8"/>
      <c r="T31" s="8"/>
      <c r="U31" s="8"/>
      <c r="V31" s="8"/>
      <c r="W31" s="8"/>
      <c r="X31" s="8"/>
      <c r="Y31" s="8"/>
      <c r="Z31" s="8"/>
      <c r="AA31" s="8"/>
    </row>
    <row r="32">
      <c r="A32" s="8"/>
      <c r="B32" s="8"/>
      <c r="C32" s="8"/>
      <c r="D32" s="8"/>
      <c r="E32" s="8"/>
      <c r="F32" s="8"/>
      <c r="G32" s="8"/>
      <c r="H32" s="8"/>
      <c r="I32" s="8"/>
      <c r="J32" s="8"/>
      <c r="K32" s="8"/>
      <c r="L32" s="8"/>
      <c r="M32" s="8"/>
      <c r="N32" s="8"/>
      <c r="O32" s="8"/>
      <c r="P32" s="8"/>
      <c r="Q32" s="8"/>
      <c r="R32" s="8"/>
      <c r="S32" s="8"/>
      <c r="T32" s="8"/>
      <c r="U32" s="8"/>
      <c r="V32" s="8"/>
      <c r="W32" s="8"/>
      <c r="X32" s="8"/>
      <c r="Y32" s="8"/>
      <c r="Z32" s="8"/>
      <c r="AA32" s="8"/>
    </row>
    <row r="33">
      <c r="A33" s="8"/>
      <c r="B33" s="8"/>
      <c r="C33" s="8"/>
      <c r="D33" s="8"/>
      <c r="E33" s="8"/>
      <c r="F33" s="8"/>
      <c r="G33" s="8"/>
      <c r="H33" s="8"/>
      <c r="I33" s="8"/>
      <c r="J33" s="8"/>
      <c r="K33" s="8"/>
      <c r="L33" s="8"/>
      <c r="M33" s="8"/>
      <c r="N33" s="8"/>
      <c r="O33" s="8"/>
      <c r="P33" s="8"/>
      <c r="Q33" s="8"/>
      <c r="R33" s="8"/>
      <c r="S33" s="8"/>
      <c r="T33" s="8"/>
      <c r="U33" s="8"/>
      <c r="V33" s="8"/>
      <c r="W33" s="8"/>
      <c r="X33" s="8"/>
      <c r="Y33" s="8"/>
      <c r="Z33" s="8"/>
      <c r="AA33" s="8"/>
    </row>
    <row r="34">
      <c r="A34" s="8"/>
      <c r="B34" s="8"/>
      <c r="C34" s="8"/>
      <c r="D34" s="8"/>
      <c r="E34" s="8"/>
      <c r="F34" s="8"/>
      <c r="G34" s="8"/>
      <c r="H34" s="8"/>
      <c r="I34" s="8"/>
      <c r="J34" s="8"/>
      <c r="K34" s="8"/>
      <c r="L34" s="8"/>
      <c r="M34" s="8"/>
      <c r="N34" s="8"/>
      <c r="O34" s="8"/>
      <c r="P34" s="8"/>
      <c r="Q34" s="8"/>
      <c r="R34" s="8"/>
      <c r="S34" s="8"/>
      <c r="T34" s="8"/>
      <c r="U34" s="8"/>
      <c r="V34" s="8"/>
      <c r="W34" s="8"/>
      <c r="X34" s="8"/>
      <c r="Y34" s="8"/>
      <c r="Z34" s="8"/>
      <c r="AA34" s="8"/>
    </row>
    <row r="35">
      <c r="A35" s="8"/>
      <c r="B35" s="8"/>
      <c r="C35" s="8"/>
      <c r="D35" s="8"/>
      <c r="E35" s="8"/>
      <c r="F35" s="8"/>
      <c r="G35" s="8"/>
      <c r="H35" s="8"/>
      <c r="I35" s="8"/>
      <c r="J35" s="8"/>
      <c r="K35" s="8"/>
      <c r="L35" s="8"/>
      <c r="M35" s="8"/>
      <c r="N35" s="8"/>
      <c r="O35" s="8"/>
      <c r="P35" s="8"/>
      <c r="Q35" s="8"/>
      <c r="R35" s="8"/>
      <c r="S35" s="8"/>
      <c r="T35" s="8"/>
      <c r="U35" s="8"/>
      <c r="V35" s="8"/>
      <c r="W35" s="8"/>
      <c r="X35" s="8"/>
      <c r="Y35" s="8"/>
      <c r="Z35" s="8"/>
      <c r="AA35" s="8"/>
    </row>
    <row r="36">
      <c r="A36" s="8"/>
      <c r="B36" s="8"/>
      <c r="C36" s="8"/>
      <c r="D36" s="8"/>
      <c r="E36" s="8"/>
      <c r="F36" s="8"/>
      <c r="G36" s="8"/>
      <c r="H36" s="8"/>
      <c r="I36" s="8"/>
      <c r="J36" s="8"/>
      <c r="K36" s="8"/>
      <c r="L36" s="8"/>
      <c r="M36" s="8"/>
      <c r="N36" s="8"/>
      <c r="O36" s="8"/>
      <c r="P36" s="8"/>
      <c r="Q36" s="8"/>
      <c r="R36" s="8"/>
      <c r="S36" s="8"/>
      <c r="T36" s="8"/>
      <c r="U36" s="8"/>
      <c r="V36" s="8"/>
      <c r="W36" s="8"/>
      <c r="X36" s="8"/>
      <c r="Y36" s="8"/>
      <c r="Z36" s="8"/>
      <c r="AA36" s="8"/>
    </row>
    <row r="37">
      <c r="A37" s="8"/>
      <c r="B37" s="8"/>
      <c r="C37" s="8"/>
      <c r="D37" s="8"/>
      <c r="E37" s="8"/>
      <c r="F37" s="8"/>
      <c r="G37" s="8"/>
      <c r="H37" s="8"/>
      <c r="I37" s="8"/>
      <c r="J37" s="8"/>
      <c r="K37" s="8"/>
      <c r="L37" s="8"/>
      <c r="M37" s="8"/>
      <c r="N37" s="8"/>
      <c r="O37" s="8"/>
      <c r="P37" s="8"/>
      <c r="Q37" s="8"/>
      <c r="R37" s="8"/>
      <c r="S37" s="8"/>
      <c r="T37" s="8"/>
      <c r="U37" s="8"/>
      <c r="V37" s="8"/>
      <c r="W37" s="8"/>
      <c r="X37" s="8"/>
      <c r="Y37" s="8"/>
      <c r="Z37" s="8"/>
      <c r="AA37" s="8"/>
    </row>
    <row r="38">
      <c r="A38" s="8"/>
      <c r="B38" s="8"/>
      <c r="C38" s="8"/>
      <c r="D38" s="8"/>
      <c r="E38" s="8"/>
      <c r="F38" s="8"/>
      <c r="G38" s="8"/>
      <c r="H38" s="8"/>
      <c r="I38" s="8"/>
      <c r="J38" s="8"/>
      <c r="K38" s="8"/>
      <c r="L38" s="8"/>
      <c r="M38" s="8"/>
      <c r="N38" s="8"/>
      <c r="O38" s="8"/>
      <c r="P38" s="8"/>
      <c r="Q38" s="8"/>
      <c r="R38" s="8"/>
      <c r="S38" s="8"/>
      <c r="T38" s="8"/>
      <c r="U38" s="8"/>
      <c r="V38" s="8"/>
      <c r="W38" s="8"/>
      <c r="X38" s="8"/>
      <c r="Y38" s="8"/>
      <c r="Z38" s="8"/>
      <c r="AA38" s="8"/>
    </row>
    <row r="39">
      <c r="A39" s="8"/>
      <c r="B39" s="8"/>
      <c r="C39" s="8"/>
      <c r="D39" s="8"/>
      <c r="E39" s="8"/>
      <c r="F39" s="8"/>
      <c r="G39" s="8"/>
      <c r="H39" s="8"/>
      <c r="I39" s="8"/>
      <c r="J39" s="8"/>
      <c r="K39" s="8"/>
      <c r="L39" s="8"/>
      <c r="M39" s="8"/>
      <c r="N39" s="8"/>
      <c r="O39" s="8"/>
      <c r="P39" s="8"/>
      <c r="Q39" s="8"/>
      <c r="R39" s="8"/>
      <c r="S39" s="8"/>
      <c r="T39" s="8"/>
      <c r="U39" s="8"/>
      <c r="V39" s="8"/>
      <c r="W39" s="8"/>
      <c r="X39" s="8"/>
      <c r="Y39" s="8"/>
      <c r="Z39" s="8"/>
      <c r="AA39" s="8"/>
    </row>
    <row r="40">
      <c r="A40" s="8"/>
      <c r="B40" s="8"/>
      <c r="C40" s="8"/>
      <c r="D40" s="8"/>
      <c r="E40" s="8"/>
      <c r="F40" s="8"/>
      <c r="G40" s="8"/>
      <c r="H40" s="8"/>
      <c r="I40" s="8"/>
      <c r="J40" s="8"/>
      <c r="K40" s="8"/>
      <c r="L40" s="8"/>
      <c r="M40" s="8"/>
      <c r="N40" s="8"/>
      <c r="O40" s="8"/>
      <c r="P40" s="8"/>
      <c r="Q40" s="8"/>
      <c r="R40" s="8"/>
      <c r="S40" s="8"/>
      <c r="T40" s="8"/>
      <c r="U40" s="8"/>
      <c r="V40" s="8"/>
      <c r="W40" s="8"/>
      <c r="X40" s="8"/>
      <c r="Y40" s="8"/>
      <c r="Z40" s="8"/>
      <c r="AA40" s="8"/>
    </row>
    <row r="41">
      <c r="A41" s="8"/>
      <c r="B41" s="8"/>
      <c r="C41" s="8"/>
      <c r="D41" s="8"/>
      <c r="E41" s="8"/>
      <c r="F41" s="8"/>
      <c r="G41" s="8"/>
      <c r="H41" s="8"/>
      <c r="I41" s="8"/>
      <c r="J41" s="8"/>
      <c r="K41" s="8"/>
      <c r="L41" s="8"/>
      <c r="M41" s="8"/>
      <c r="N41" s="8"/>
      <c r="O41" s="8"/>
      <c r="P41" s="8"/>
      <c r="Q41" s="8"/>
      <c r="R41" s="8"/>
      <c r="S41" s="8"/>
      <c r="T41" s="8"/>
      <c r="U41" s="8"/>
      <c r="V41" s="8"/>
      <c r="W41" s="8"/>
      <c r="X41" s="8"/>
      <c r="Y41" s="8"/>
      <c r="Z41" s="8"/>
      <c r="AA41" s="8"/>
    </row>
    <row r="42">
      <c r="A42" s="8"/>
      <c r="B42" s="8"/>
      <c r="C42" s="8"/>
      <c r="D42" s="8"/>
      <c r="E42" s="8"/>
      <c r="F42" s="8"/>
      <c r="G42" s="8"/>
      <c r="H42" s="8"/>
      <c r="I42" s="8"/>
      <c r="J42" s="8"/>
      <c r="K42" s="8"/>
      <c r="L42" s="8"/>
      <c r="M42" s="8"/>
      <c r="N42" s="8"/>
      <c r="O42" s="8"/>
      <c r="P42" s="8"/>
      <c r="Q42" s="8"/>
      <c r="R42" s="8"/>
      <c r="S42" s="8"/>
      <c r="T42" s="8"/>
      <c r="U42" s="8"/>
      <c r="V42" s="8"/>
      <c r="W42" s="8"/>
      <c r="X42" s="8"/>
      <c r="Y42" s="8"/>
      <c r="Z42" s="8"/>
      <c r="AA42" s="8"/>
    </row>
    <row r="43">
      <c r="A43" s="8"/>
      <c r="B43" s="8"/>
      <c r="C43" s="8"/>
      <c r="D43" s="8"/>
      <c r="E43" s="8"/>
      <c r="F43" s="8"/>
      <c r="G43" s="8"/>
      <c r="H43" s="8"/>
      <c r="I43" s="8"/>
      <c r="J43" s="8"/>
      <c r="K43" s="8"/>
      <c r="L43" s="8"/>
      <c r="M43" s="8"/>
      <c r="N43" s="8"/>
      <c r="O43" s="8"/>
      <c r="P43" s="8"/>
      <c r="Q43" s="8"/>
      <c r="R43" s="8"/>
      <c r="S43" s="8"/>
      <c r="T43" s="8"/>
      <c r="U43" s="8"/>
      <c r="V43" s="8"/>
      <c r="W43" s="8"/>
      <c r="X43" s="8"/>
      <c r="Y43" s="8"/>
      <c r="Z43" s="8"/>
      <c r="AA43" s="8"/>
    </row>
    <row r="44">
      <c r="A44" s="8"/>
      <c r="B44" s="8"/>
      <c r="C44" s="8"/>
      <c r="D44" s="8"/>
      <c r="E44" s="8"/>
      <c r="F44" s="8"/>
      <c r="G44" s="8"/>
      <c r="H44" s="8"/>
      <c r="I44" s="8"/>
      <c r="J44" s="8"/>
      <c r="K44" s="8"/>
      <c r="L44" s="8"/>
      <c r="M44" s="8"/>
      <c r="N44" s="8"/>
      <c r="O44" s="8"/>
      <c r="P44" s="8"/>
      <c r="Q44" s="8"/>
      <c r="R44" s="8"/>
      <c r="S44" s="8"/>
      <c r="T44" s="8"/>
      <c r="U44" s="8"/>
      <c r="V44" s="8"/>
      <c r="W44" s="8"/>
      <c r="X44" s="8"/>
      <c r="Y44" s="8"/>
      <c r="Z44" s="8"/>
      <c r="AA44" s="8"/>
    </row>
    <row r="45">
      <c r="A45" s="8"/>
      <c r="B45" s="8"/>
      <c r="C45" s="8"/>
      <c r="D45" s="8"/>
      <c r="E45" s="8"/>
      <c r="F45" s="8"/>
      <c r="G45" s="8"/>
      <c r="H45" s="8"/>
      <c r="I45" s="8"/>
      <c r="J45" s="8"/>
      <c r="K45" s="8"/>
      <c r="L45" s="8"/>
      <c r="M45" s="8"/>
      <c r="N45" s="8"/>
      <c r="O45" s="8"/>
      <c r="P45" s="8"/>
      <c r="Q45" s="8"/>
      <c r="R45" s="8"/>
      <c r="S45" s="8"/>
      <c r="T45" s="8"/>
      <c r="U45" s="8"/>
      <c r="V45" s="8"/>
      <c r="W45" s="8"/>
      <c r="X45" s="8"/>
      <c r="Y45" s="8"/>
      <c r="Z45" s="8"/>
      <c r="AA45" s="8"/>
    </row>
    <row r="46">
      <c r="A46" s="8"/>
      <c r="B46" s="8"/>
      <c r="C46" s="8"/>
      <c r="D46" s="8"/>
      <c r="E46" s="8"/>
      <c r="F46" s="8"/>
      <c r="G46" s="8"/>
      <c r="H46" s="8"/>
      <c r="I46" s="8"/>
      <c r="J46" s="8"/>
      <c r="K46" s="8"/>
      <c r="L46" s="8"/>
      <c r="M46" s="8"/>
      <c r="N46" s="8"/>
      <c r="O46" s="8"/>
      <c r="P46" s="8"/>
      <c r="Q46" s="8"/>
      <c r="R46" s="8"/>
      <c r="S46" s="8"/>
      <c r="T46" s="8"/>
      <c r="U46" s="8"/>
      <c r="V46" s="8"/>
      <c r="W46" s="8"/>
      <c r="X46" s="8"/>
      <c r="Y46" s="8"/>
      <c r="Z46" s="8"/>
      <c r="AA46" s="8"/>
    </row>
    <row r="47">
      <c r="A47" s="8"/>
      <c r="B47" s="8"/>
      <c r="C47" s="8"/>
      <c r="D47" s="8"/>
      <c r="E47" s="8"/>
      <c r="F47" s="8"/>
      <c r="G47" s="8"/>
      <c r="H47" s="8"/>
      <c r="I47" s="8"/>
      <c r="J47" s="8"/>
      <c r="K47" s="8"/>
      <c r="L47" s="8"/>
      <c r="M47" s="8"/>
      <c r="N47" s="8"/>
      <c r="O47" s="8"/>
      <c r="P47" s="8"/>
      <c r="Q47" s="8"/>
      <c r="R47" s="8"/>
      <c r="S47" s="8"/>
      <c r="T47" s="8"/>
      <c r="U47" s="8"/>
      <c r="V47" s="8"/>
      <c r="W47" s="8"/>
      <c r="X47" s="8"/>
      <c r="Y47" s="8"/>
      <c r="Z47" s="8"/>
      <c r="AA47" s="8"/>
    </row>
    <row r="48">
      <c r="A48" s="8"/>
      <c r="B48" s="8"/>
      <c r="C48" s="8"/>
      <c r="D48" s="8"/>
      <c r="E48" s="8"/>
      <c r="F48" s="8"/>
      <c r="G48" s="8"/>
      <c r="H48" s="8"/>
      <c r="I48" s="8"/>
      <c r="J48" s="8"/>
      <c r="K48" s="8"/>
      <c r="L48" s="8"/>
      <c r="M48" s="8"/>
      <c r="N48" s="8"/>
      <c r="O48" s="8"/>
      <c r="P48" s="8"/>
      <c r="Q48" s="8"/>
      <c r="R48" s="8"/>
      <c r="S48" s="8"/>
      <c r="T48" s="8"/>
      <c r="U48" s="8"/>
      <c r="V48" s="8"/>
      <c r="W48" s="8"/>
      <c r="X48" s="8"/>
      <c r="Y48" s="8"/>
      <c r="Z48" s="8"/>
      <c r="AA48" s="8"/>
    </row>
    <row r="49">
      <c r="A49" s="8"/>
      <c r="B49" s="8"/>
      <c r="C49" s="8"/>
      <c r="D49" s="8"/>
      <c r="E49" s="8"/>
      <c r="F49" s="8"/>
      <c r="G49" s="8"/>
      <c r="H49" s="8"/>
      <c r="I49" s="8"/>
      <c r="J49" s="8"/>
      <c r="K49" s="8"/>
      <c r="L49" s="8"/>
      <c r="M49" s="8"/>
      <c r="N49" s="8"/>
      <c r="O49" s="8"/>
      <c r="P49" s="8"/>
      <c r="Q49" s="8"/>
      <c r="R49" s="8"/>
      <c r="S49" s="8"/>
      <c r="T49" s="8"/>
      <c r="U49" s="8"/>
      <c r="V49" s="8"/>
      <c r="W49" s="8"/>
      <c r="X49" s="8"/>
      <c r="Y49" s="8"/>
      <c r="Z49" s="8"/>
      <c r="AA49" s="8"/>
    </row>
    <row r="50">
      <c r="A50" s="8"/>
      <c r="B50" s="8"/>
      <c r="C50" s="8"/>
      <c r="D50" s="8"/>
      <c r="E50" s="8"/>
      <c r="F50" s="8"/>
      <c r="G50" s="8"/>
      <c r="H50" s="8"/>
      <c r="I50" s="8"/>
      <c r="J50" s="8"/>
      <c r="K50" s="8"/>
      <c r="L50" s="8"/>
      <c r="M50" s="8"/>
      <c r="N50" s="8"/>
      <c r="O50" s="8"/>
      <c r="P50" s="8"/>
      <c r="Q50" s="8"/>
      <c r="R50" s="8"/>
      <c r="S50" s="8"/>
      <c r="T50" s="8"/>
      <c r="U50" s="8"/>
      <c r="V50" s="8"/>
      <c r="W50" s="8"/>
      <c r="X50" s="8"/>
      <c r="Y50" s="8"/>
      <c r="Z50" s="8"/>
      <c r="AA50" s="8"/>
    </row>
    <row r="51">
      <c r="A51" s="8"/>
      <c r="B51" s="8"/>
      <c r="C51" s="8"/>
      <c r="D51" s="8"/>
      <c r="E51" s="8"/>
      <c r="F51" s="8"/>
      <c r="G51" s="8"/>
      <c r="H51" s="8"/>
      <c r="I51" s="8"/>
      <c r="J51" s="8"/>
      <c r="K51" s="8"/>
      <c r="L51" s="8"/>
      <c r="M51" s="8"/>
      <c r="N51" s="8"/>
      <c r="O51" s="8"/>
      <c r="P51" s="8"/>
      <c r="Q51" s="8"/>
      <c r="R51" s="8"/>
      <c r="S51" s="8"/>
      <c r="T51" s="8"/>
      <c r="U51" s="8"/>
      <c r="V51" s="8"/>
      <c r="W51" s="8"/>
      <c r="X51" s="8"/>
      <c r="Y51" s="8"/>
      <c r="Z51" s="8"/>
      <c r="AA51" s="8"/>
    </row>
    <row r="52">
      <c r="A52" s="8"/>
      <c r="B52" s="8"/>
      <c r="C52" s="8"/>
      <c r="D52" s="8"/>
      <c r="E52" s="8"/>
      <c r="F52" s="8"/>
      <c r="G52" s="8"/>
      <c r="H52" s="8"/>
      <c r="I52" s="8"/>
      <c r="J52" s="8"/>
      <c r="K52" s="8"/>
      <c r="L52" s="8"/>
      <c r="M52" s="8"/>
      <c r="N52" s="8"/>
      <c r="O52" s="8"/>
      <c r="P52" s="8"/>
      <c r="Q52" s="8"/>
      <c r="R52" s="8"/>
      <c r="S52" s="8"/>
      <c r="T52" s="8"/>
      <c r="U52" s="8"/>
      <c r="V52" s="8"/>
      <c r="W52" s="8"/>
      <c r="X52" s="8"/>
      <c r="Y52" s="8"/>
      <c r="Z52" s="8"/>
      <c r="AA52" s="8"/>
    </row>
    <row r="53">
      <c r="A53" s="8"/>
      <c r="B53" s="8"/>
      <c r="C53" s="8"/>
      <c r="D53" s="8"/>
      <c r="E53" s="8"/>
      <c r="F53" s="8"/>
      <c r="G53" s="8"/>
      <c r="H53" s="8"/>
      <c r="I53" s="8"/>
      <c r="J53" s="8"/>
      <c r="K53" s="8"/>
      <c r="L53" s="8"/>
      <c r="M53" s="8"/>
      <c r="N53" s="8"/>
      <c r="O53" s="8"/>
      <c r="P53" s="8"/>
      <c r="Q53" s="8"/>
      <c r="R53" s="8"/>
      <c r="S53" s="8"/>
      <c r="T53" s="8"/>
      <c r="U53" s="8"/>
      <c r="V53" s="8"/>
      <c r="W53" s="8"/>
      <c r="X53" s="8"/>
      <c r="Y53" s="8"/>
      <c r="Z53" s="8"/>
      <c r="AA53" s="8"/>
    </row>
    <row r="54">
      <c r="A54" s="8"/>
      <c r="B54" s="8"/>
      <c r="C54" s="8"/>
      <c r="D54" s="8"/>
      <c r="E54" s="8"/>
      <c r="F54" s="8"/>
      <c r="G54" s="8"/>
      <c r="H54" s="8"/>
      <c r="I54" s="8"/>
      <c r="J54" s="8"/>
      <c r="K54" s="8"/>
      <c r="L54" s="8"/>
      <c r="M54" s="8"/>
      <c r="N54" s="8"/>
      <c r="O54" s="8"/>
      <c r="P54" s="8"/>
      <c r="Q54" s="8"/>
      <c r="R54" s="8"/>
      <c r="S54" s="8"/>
      <c r="T54" s="8"/>
      <c r="U54" s="8"/>
      <c r="V54" s="8"/>
      <c r="W54" s="8"/>
      <c r="X54" s="8"/>
      <c r="Y54" s="8"/>
      <c r="Z54" s="8"/>
      <c r="AA54" s="8"/>
    </row>
    <row r="55">
      <c r="A55" s="8"/>
      <c r="B55" s="8"/>
      <c r="C55" s="8"/>
      <c r="D55" s="8"/>
      <c r="E55" s="8"/>
      <c r="F55" s="8"/>
      <c r="G55" s="8"/>
      <c r="H55" s="8"/>
      <c r="I55" s="8"/>
      <c r="J55" s="8"/>
      <c r="K55" s="8"/>
      <c r="L55" s="8"/>
      <c r="M55" s="8"/>
      <c r="N55" s="8"/>
      <c r="O55" s="8"/>
      <c r="P55" s="8"/>
      <c r="Q55" s="8"/>
      <c r="R55" s="8"/>
      <c r="S55" s="8"/>
      <c r="T55" s="8"/>
      <c r="U55" s="8"/>
      <c r="V55" s="8"/>
      <c r="W55" s="8"/>
      <c r="X55" s="8"/>
      <c r="Y55" s="8"/>
      <c r="Z55" s="8"/>
      <c r="AA55" s="8"/>
    </row>
    <row r="56">
      <c r="A56" s="8"/>
      <c r="B56" s="8"/>
      <c r="C56" s="8"/>
      <c r="D56" s="8"/>
      <c r="E56" s="8"/>
      <c r="F56" s="8"/>
      <c r="G56" s="8"/>
      <c r="H56" s="8"/>
      <c r="I56" s="8"/>
      <c r="J56" s="8"/>
      <c r="K56" s="8"/>
      <c r="L56" s="8"/>
      <c r="M56" s="8"/>
      <c r="N56" s="8"/>
      <c r="O56" s="8"/>
      <c r="P56" s="8"/>
      <c r="Q56" s="8"/>
      <c r="R56" s="8"/>
      <c r="S56" s="8"/>
      <c r="T56" s="8"/>
      <c r="U56" s="8"/>
      <c r="V56" s="8"/>
      <c r="W56" s="8"/>
      <c r="X56" s="8"/>
      <c r="Y56" s="8"/>
      <c r="Z56" s="8"/>
      <c r="AA56" s="8"/>
    </row>
    <row r="57">
      <c r="A57" s="8"/>
      <c r="B57" s="8"/>
      <c r="C57" s="8"/>
      <c r="D57" s="8"/>
      <c r="E57" s="8"/>
      <c r="F57" s="8"/>
      <c r="G57" s="8"/>
      <c r="H57" s="8"/>
      <c r="I57" s="8"/>
      <c r="J57" s="8"/>
      <c r="K57" s="8"/>
      <c r="L57" s="8"/>
      <c r="M57" s="8"/>
      <c r="N57" s="8"/>
      <c r="O57" s="8"/>
      <c r="P57" s="8"/>
      <c r="Q57" s="8"/>
      <c r="R57" s="8"/>
      <c r="S57" s="8"/>
      <c r="T57" s="8"/>
      <c r="U57" s="8"/>
      <c r="V57" s="8"/>
      <c r="W57" s="8"/>
      <c r="X57" s="8"/>
      <c r="Y57" s="8"/>
      <c r="Z57" s="8"/>
      <c r="AA57" s="8"/>
    </row>
    <row r="58">
      <c r="A58" s="8"/>
      <c r="B58" s="8"/>
      <c r="C58" s="8"/>
      <c r="D58" s="8"/>
      <c r="E58" s="8"/>
      <c r="F58" s="8"/>
      <c r="G58" s="8"/>
      <c r="H58" s="8"/>
      <c r="I58" s="8"/>
      <c r="J58" s="8"/>
      <c r="K58" s="8"/>
      <c r="L58" s="8"/>
      <c r="M58" s="8"/>
      <c r="N58" s="8"/>
      <c r="O58" s="8"/>
      <c r="P58" s="8"/>
      <c r="Q58" s="8"/>
      <c r="R58" s="8"/>
      <c r="S58" s="8"/>
      <c r="T58" s="8"/>
      <c r="U58" s="8"/>
      <c r="V58" s="8"/>
      <c r="W58" s="8"/>
      <c r="X58" s="8"/>
      <c r="Y58" s="8"/>
      <c r="Z58" s="8"/>
      <c r="AA58" s="8"/>
    </row>
    <row r="59">
      <c r="A59" s="8"/>
      <c r="B59" s="8"/>
      <c r="C59" s="8"/>
      <c r="D59" s="8"/>
      <c r="E59" s="8"/>
      <c r="F59" s="8"/>
      <c r="G59" s="8"/>
      <c r="H59" s="8"/>
      <c r="I59" s="8"/>
      <c r="J59" s="8"/>
      <c r="K59" s="8"/>
      <c r="L59" s="8"/>
      <c r="M59" s="8"/>
      <c r="N59" s="8"/>
      <c r="O59" s="8"/>
      <c r="P59" s="8"/>
      <c r="Q59" s="8"/>
      <c r="R59" s="8"/>
      <c r="S59" s="8"/>
      <c r="T59" s="8"/>
      <c r="U59" s="8"/>
      <c r="V59" s="8"/>
      <c r="W59" s="8"/>
      <c r="X59" s="8"/>
      <c r="Y59" s="8"/>
      <c r="Z59" s="8"/>
      <c r="AA59" s="8"/>
    </row>
    <row r="60">
      <c r="A60" s="8"/>
      <c r="B60" s="8"/>
      <c r="C60" s="8"/>
      <c r="D60" s="8"/>
      <c r="E60" s="8"/>
      <c r="F60" s="8"/>
      <c r="G60" s="8"/>
      <c r="H60" s="8"/>
      <c r="I60" s="8"/>
      <c r="J60" s="8"/>
      <c r="K60" s="8"/>
      <c r="L60" s="8"/>
      <c r="M60" s="8"/>
      <c r="N60" s="8"/>
      <c r="O60" s="8"/>
      <c r="P60" s="8"/>
      <c r="Q60" s="8"/>
      <c r="R60" s="8"/>
      <c r="S60" s="8"/>
      <c r="T60" s="8"/>
      <c r="U60" s="8"/>
      <c r="V60" s="8"/>
      <c r="W60" s="8"/>
      <c r="X60" s="8"/>
      <c r="Y60" s="8"/>
      <c r="Z60" s="8"/>
      <c r="AA60" s="8"/>
    </row>
    <row r="61">
      <c r="A61" s="8"/>
      <c r="B61" s="8"/>
      <c r="C61" s="8"/>
      <c r="D61" s="8"/>
      <c r="E61" s="8"/>
      <c r="F61" s="8"/>
      <c r="G61" s="8"/>
      <c r="H61" s="8"/>
      <c r="I61" s="8"/>
      <c r="J61" s="8"/>
      <c r="K61" s="8"/>
      <c r="L61" s="8"/>
      <c r="M61" s="8"/>
      <c r="N61" s="8"/>
      <c r="O61" s="8"/>
      <c r="P61" s="8"/>
      <c r="Q61" s="8"/>
      <c r="R61" s="8"/>
      <c r="S61" s="8"/>
      <c r="T61" s="8"/>
      <c r="U61" s="8"/>
      <c r="V61" s="8"/>
      <c r="W61" s="8"/>
      <c r="X61" s="8"/>
      <c r="Y61" s="8"/>
      <c r="Z61" s="8"/>
      <c r="AA61" s="8"/>
    </row>
    <row r="62">
      <c r="A62" s="8"/>
      <c r="B62" s="8"/>
      <c r="C62" s="8"/>
      <c r="D62" s="8"/>
      <c r="E62" s="8"/>
      <c r="F62" s="8"/>
      <c r="G62" s="8"/>
      <c r="H62" s="8"/>
      <c r="I62" s="8"/>
      <c r="J62" s="8"/>
      <c r="K62" s="8"/>
      <c r="L62" s="8"/>
      <c r="M62" s="8"/>
      <c r="N62" s="8"/>
      <c r="O62" s="8"/>
      <c r="P62" s="8"/>
      <c r="Q62" s="8"/>
      <c r="R62" s="8"/>
      <c r="S62" s="8"/>
      <c r="T62" s="8"/>
      <c r="U62" s="8"/>
      <c r="V62" s="8"/>
      <c r="W62" s="8"/>
      <c r="X62" s="8"/>
      <c r="Y62" s="8"/>
      <c r="Z62" s="8"/>
      <c r="AA62" s="8"/>
    </row>
    <row r="63">
      <c r="A63" s="8"/>
      <c r="B63" s="8"/>
      <c r="C63" s="8"/>
      <c r="D63" s="8"/>
      <c r="E63" s="8"/>
      <c r="F63" s="8"/>
      <c r="G63" s="8"/>
      <c r="H63" s="8"/>
      <c r="I63" s="8"/>
      <c r="J63" s="8"/>
      <c r="K63" s="8"/>
      <c r="L63" s="8"/>
      <c r="M63" s="8"/>
      <c r="N63" s="8"/>
      <c r="O63" s="8"/>
      <c r="P63" s="8"/>
      <c r="Q63" s="8"/>
      <c r="R63" s="8"/>
      <c r="S63" s="8"/>
      <c r="T63" s="8"/>
      <c r="U63" s="8"/>
      <c r="V63" s="8"/>
      <c r="W63" s="8"/>
      <c r="X63" s="8"/>
      <c r="Y63" s="8"/>
      <c r="Z63" s="8"/>
      <c r="AA63" s="8"/>
    </row>
    <row r="64">
      <c r="A64" s="8"/>
      <c r="B64" s="8"/>
      <c r="C64" s="8"/>
      <c r="D64" s="8"/>
      <c r="E64" s="8"/>
      <c r="F64" s="8"/>
      <c r="G64" s="8"/>
      <c r="H64" s="8"/>
      <c r="I64" s="8"/>
      <c r="J64" s="8"/>
      <c r="K64" s="8"/>
      <c r="L64" s="8"/>
      <c r="M64" s="8"/>
      <c r="N64" s="8"/>
      <c r="O64" s="8"/>
      <c r="P64" s="8"/>
      <c r="Q64" s="8"/>
      <c r="R64" s="8"/>
      <c r="S64" s="8"/>
      <c r="T64" s="8"/>
      <c r="U64" s="8"/>
      <c r="V64" s="8"/>
      <c r="W64" s="8"/>
      <c r="X64" s="8"/>
      <c r="Y64" s="8"/>
      <c r="Z64" s="8"/>
      <c r="AA64" s="8"/>
    </row>
    <row r="65">
      <c r="A65" s="8"/>
      <c r="B65" s="8"/>
      <c r="C65" s="8"/>
      <c r="D65" s="8"/>
      <c r="E65" s="8"/>
      <c r="F65" s="8"/>
      <c r="G65" s="8"/>
      <c r="H65" s="8"/>
      <c r="I65" s="8"/>
      <c r="J65" s="8"/>
      <c r="K65" s="8"/>
      <c r="L65" s="8"/>
      <c r="M65" s="8"/>
      <c r="N65" s="8"/>
      <c r="O65" s="8"/>
      <c r="P65" s="8"/>
      <c r="Q65" s="8"/>
      <c r="R65" s="8"/>
      <c r="S65" s="8"/>
      <c r="T65" s="8"/>
      <c r="U65" s="8"/>
      <c r="V65" s="8"/>
      <c r="W65" s="8"/>
      <c r="X65" s="8"/>
      <c r="Y65" s="8"/>
      <c r="Z65" s="8"/>
      <c r="AA65" s="8"/>
    </row>
    <row r="66">
      <c r="A66" s="8"/>
      <c r="B66" s="8"/>
      <c r="C66" s="8"/>
      <c r="D66" s="8"/>
      <c r="E66" s="8"/>
      <c r="F66" s="8"/>
      <c r="G66" s="8"/>
      <c r="H66" s="8"/>
      <c r="I66" s="8"/>
      <c r="J66" s="8"/>
      <c r="K66" s="8"/>
      <c r="L66" s="8"/>
      <c r="M66" s="8"/>
      <c r="N66" s="8"/>
      <c r="O66" s="8"/>
      <c r="P66" s="8"/>
      <c r="Q66" s="8"/>
      <c r="R66" s="8"/>
      <c r="S66" s="8"/>
      <c r="T66" s="8"/>
      <c r="U66" s="8"/>
      <c r="V66" s="8"/>
      <c r="W66" s="8"/>
      <c r="X66" s="8"/>
      <c r="Y66" s="8"/>
      <c r="Z66" s="8"/>
      <c r="AA66" s="8"/>
    </row>
    <row r="67">
      <c r="A67" s="8"/>
      <c r="B67" s="8"/>
      <c r="C67" s="8"/>
      <c r="D67" s="8"/>
      <c r="E67" s="8"/>
      <c r="F67" s="8"/>
      <c r="G67" s="8"/>
      <c r="H67" s="8"/>
      <c r="I67" s="8"/>
      <c r="J67" s="8"/>
      <c r="K67" s="8"/>
      <c r="L67" s="8"/>
      <c r="M67" s="8"/>
      <c r="N67" s="8"/>
      <c r="O67" s="8"/>
      <c r="P67" s="8"/>
      <c r="Q67" s="8"/>
      <c r="R67" s="8"/>
      <c r="S67" s="8"/>
      <c r="T67" s="8"/>
      <c r="U67" s="8"/>
      <c r="V67" s="8"/>
      <c r="W67" s="8"/>
      <c r="X67" s="8"/>
      <c r="Y67" s="8"/>
      <c r="Z67" s="8"/>
      <c r="AA67" s="8"/>
    </row>
    <row r="68">
      <c r="A68" s="8"/>
      <c r="B68" s="8"/>
      <c r="C68" s="8"/>
      <c r="D68" s="8"/>
      <c r="E68" s="8"/>
      <c r="F68" s="8"/>
      <c r="G68" s="8"/>
      <c r="H68" s="8"/>
      <c r="I68" s="8"/>
      <c r="J68" s="8"/>
      <c r="K68" s="8"/>
      <c r="L68" s="8"/>
      <c r="M68" s="8"/>
      <c r="N68" s="8"/>
      <c r="O68" s="8"/>
      <c r="P68" s="8"/>
      <c r="Q68" s="8"/>
      <c r="R68" s="8"/>
      <c r="S68" s="8"/>
      <c r="T68" s="8"/>
      <c r="U68" s="8"/>
      <c r="V68" s="8"/>
      <c r="W68" s="8"/>
      <c r="X68" s="8"/>
      <c r="Y68" s="8"/>
      <c r="Z68" s="8"/>
      <c r="AA68" s="8"/>
    </row>
    <row r="69">
      <c r="A69" s="8"/>
      <c r="B69" s="8"/>
      <c r="C69" s="8"/>
      <c r="D69" s="8"/>
      <c r="E69" s="8"/>
      <c r="F69" s="8"/>
      <c r="G69" s="8"/>
      <c r="H69" s="8"/>
      <c r="I69" s="8"/>
      <c r="J69" s="8"/>
      <c r="K69" s="8"/>
      <c r="L69" s="8"/>
      <c r="M69" s="8"/>
      <c r="N69" s="8"/>
      <c r="O69" s="8"/>
      <c r="P69" s="8"/>
      <c r="Q69" s="8"/>
      <c r="R69" s="8"/>
      <c r="S69" s="8"/>
      <c r="T69" s="8"/>
      <c r="U69" s="8"/>
      <c r="V69" s="8"/>
      <c r="W69" s="8"/>
      <c r="X69" s="8"/>
      <c r="Y69" s="8"/>
      <c r="Z69" s="8"/>
      <c r="AA69" s="8"/>
    </row>
    <row r="70">
      <c r="A70" s="8"/>
      <c r="B70" s="8"/>
      <c r="C70" s="8"/>
      <c r="D70" s="8"/>
      <c r="E70" s="8"/>
      <c r="F70" s="8"/>
      <c r="G70" s="8"/>
      <c r="H70" s="8"/>
      <c r="I70" s="8"/>
      <c r="J70" s="8"/>
      <c r="K70" s="8"/>
      <c r="L70" s="8"/>
      <c r="M70" s="8"/>
      <c r="N70" s="8"/>
      <c r="O70" s="8"/>
      <c r="P70" s="8"/>
      <c r="Q70" s="8"/>
      <c r="R70" s="8"/>
      <c r="S70" s="8"/>
      <c r="T70" s="8"/>
      <c r="U70" s="8"/>
      <c r="V70" s="8"/>
      <c r="W70" s="8"/>
      <c r="X70" s="8"/>
      <c r="Y70" s="8"/>
      <c r="Z70" s="8"/>
      <c r="AA70" s="8"/>
    </row>
    <row r="71">
      <c r="A71" s="8"/>
      <c r="B71" s="8"/>
      <c r="C71" s="8"/>
      <c r="D71" s="8"/>
      <c r="E71" s="8"/>
      <c r="F71" s="8"/>
      <c r="G71" s="8"/>
      <c r="H71" s="8"/>
      <c r="I71" s="8"/>
      <c r="J71" s="8"/>
      <c r="K71" s="8"/>
      <c r="L71" s="8"/>
      <c r="M71" s="8"/>
      <c r="N71" s="8"/>
      <c r="O71" s="8"/>
      <c r="P71" s="8"/>
      <c r="Q71" s="8"/>
      <c r="R71" s="8"/>
      <c r="S71" s="8"/>
      <c r="T71" s="8"/>
      <c r="U71" s="8"/>
      <c r="V71" s="8"/>
      <c r="W71" s="8"/>
      <c r="X71" s="8"/>
      <c r="Y71" s="8"/>
      <c r="Z71" s="8"/>
      <c r="AA71" s="8"/>
    </row>
    <row r="72">
      <c r="A72" s="8"/>
      <c r="B72" s="8"/>
      <c r="C72" s="8"/>
      <c r="D72" s="8"/>
      <c r="E72" s="8"/>
      <c r="F72" s="8"/>
      <c r="G72" s="8"/>
      <c r="H72" s="8"/>
      <c r="I72" s="8"/>
      <c r="J72" s="8"/>
      <c r="K72" s="8"/>
      <c r="L72" s="8"/>
      <c r="M72" s="8"/>
      <c r="N72" s="8"/>
      <c r="O72" s="8"/>
      <c r="P72" s="8"/>
      <c r="Q72" s="8"/>
      <c r="R72" s="8"/>
      <c r="S72" s="8"/>
      <c r="T72" s="8"/>
      <c r="U72" s="8"/>
      <c r="V72" s="8"/>
      <c r="W72" s="8"/>
      <c r="X72" s="8"/>
      <c r="Y72" s="8"/>
      <c r="Z72" s="8"/>
      <c r="AA72" s="8"/>
    </row>
    <row r="73">
      <c r="A73" s="8"/>
      <c r="B73" s="8"/>
      <c r="C73" s="8"/>
      <c r="D73" s="8"/>
      <c r="E73" s="8"/>
      <c r="F73" s="8"/>
      <c r="G73" s="8"/>
      <c r="H73" s="8"/>
      <c r="I73" s="8"/>
      <c r="J73" s="8"/>
      <c r="K73" s="8"/>
      <c r="L73" s="8"/>
      <c r="M73" s="8"/>
      <c r="N73" s="8"/>
      <c r="O73" s="8"/>
      <c r="P73" s="8"/>
      <c r="Q73" s="8"/>
      <c r="R73" s="8"/>
      <c r="S73" s="8"/>
      <c r="T73" s="8"/>
      <c r="U73" s="8"/>
      <c r="V73" s="8"/>
      <c r="W73" s="8"/>
      <c r="X73" s="8"/>
      <c r="Y73" s="8"/>
      <c r="Z73" s="8"/>
      <c r="AA73" s="8"/>
    </row>
    <row r="74">
      <c r="A74" s="8"/>
      <c r="B74" s="8"/>
      <c r="C74" s="8"/>
      <c r="D74" s="8"/>
      <c r="E74" s="8"/>
      <c r="F74" s="8"/>
      <c r="G74" s="8"/>
      <c r="H74" s="8"/>
      <c r="I74" s="8"/>
      <c r="J74" s="8"/>
      <c r="K74" s="8"/>
      <c r="L74" s="8"/>
      <c r="M74" s="8"/>
      <c r="N74" s="8"/>
      <c r="O74" s="8"/>
      <c r="P74" s="8"/>
      <c r="Q74" s="8"/>
      <c r="R74" s="8"/>
      <c r="S74" s="8"/>
      <c r="T74" s="8"/>
      <c r="U74" s="8"/>
      <c r="V74" s="8"/>
      <c r="W74" s="8"/>
      <c r="X74" s="8"/>
      <c r="Y74" s="8"/>
      <c r="Z74" s="8"/>
      <c r="AA74" s="8"/>
    </row>
    <row r="75">
      <c r="A75" s="8"/>
      <c r="B75" s="8"/>
      <c r="C75" s="8"/>
      <c r="D75" s="8"/>
      <c r="E75" s="8"/>
      <c r="F75" s="8"/>
      <c r="G75" s="8"/>
      <c r="H75" s="8"/>
      <c r="I75" s="8"/>
      <c r="J75" s="8"/>
      <c r="K75" s="8"/>
      <c r="L75" s="8"/>
      <c r="M75" s="8"/>
      <c r="N75" s="8"/>
      <c r="O75" s="8"/>
      <c r="P75" s="8"/>
      <c r="Q75" s="8"/>
      <c r="R75" s="8"/>
      <c r="S75" s="8"/>
      <c r="T75" s="8"/>
      <c r="U75" s="8"/>
      <c r="V75" s="8"/>
      <c r="W75" s="8"/>
      <c r="X75" s="8"/>
      <c r="Y75" s="8"/>
      <c r="Z75" s="8"/>
      <c r="AA75" s="8"/>
    </row>
    <row r="76">
      <c r="A76" s="8"/>
      <c r="B76" s="8"/>
      <c r="C76" s="8"/>
      <c r="D76" s="8"/>
      <c r="E76" s="8"/>
      <c r="F76" s="8"/>
      <c r="G76" s="8"/>
      <c r="H76" s="8"/>
      <c r="I76" s="8"/>
      <c r="J76" s="8"/>
      <c r="K76" s="8"/>
      <c r="L76" s="8"/>
      <c r="M76" s="8"/>
      <c r="N76" s="8"/>
      <c r="O76" s="8"/>
      <c r="P76" s="8"/>
      <c r="Q76" s="8"/>
      <c r="R76" s="8"/>
      <c r="S76" s="8"/>
      <c r="T76" s="8"/>
      <c r="U76" s="8"/>
      <c r="V76" s="8"/>
      <c r="W76" s="8"/>
      <c r="X76" s="8"/>
      <c r="Y76" s="8"/>
      <c r="Z76" s="8"/>
      <c r="AA76" s="8"/>
    </row>
    <row r="77">
      <c r="A77" s="8"/>
      <c r="B77" s="8"/>
      <c r="C77" s="8"/>
      <c r="D77" s="8"/>
      <c r="E77" s="8"/>
      <c r="F77" s="8"/>
      <c r="G77" s="8"/>
      <c r="H77" s="8"/>
      <c r="I77" s="8"/>
      <c r="J77" s="8"/>
      <c r="K77" s="8"/>
      <c r="L77" s="8"/>
      <c r="M77" s="8"/>
      <c r="N77" s="8"/>
      <c r="O77" s="8"/>
      <c r="P77" s="8"/>
      <c r="Q77" s="8"/>
      <c r="R77" s="8"/>
      <c r="S77" s="8"/>
      <c r="T77" s="8"/>
      <c r="U77" s="8"/>
      <c r="V77" s="8"/>
      <c r="W77" s="8"/>
      <c r="X77" s="8"/>
      <c r="Y77" s="8"/>
      <c r="Z77" s="8"/>
      <c r="AA77" s="8"/>
    </row>
    <row r="78">
      <c r="A78" s="8"/>
      <c r="B78" s="8"/>
      <c r="C78" s="8"/>
      <c r="D78" s="8"/>
      <c r="E78" s="8"/>
      <c r="F78" s="8"/>
      <c r="G78" s="8"/>
      <c r="H78" s="8"/>
      <c r="I78" s="8"/>
      <c r="J78" s="8"/>
      <c r="K78" s="8"/>
      <c r="L78" s="8"/>
      <c r="M78" s="8"/>
      <c r="N78" s="8"/>
      <c r="O78" s="8"/>
      <c r="P78" s="8"/>
      <c r="Q78" s="8"/>
      <c r="R78" s="8"/>
      <c r="S78" s="8"/>
      <c r="T78" s="8"/>
      <c r="U78" s="8"/>
      <c r="V78" s="8"/>
      <c r="W78" s="8"/>
      <c r="X78" s="8"/>
      <c r="Y78" s="8"/>
      <c r="Z78" s="8"/>
      <c r="AA78" s="8"/>
    </row>
    <row r="79">
      <c r="A79" s="8"/>
      <c r="B79" s="8"/>
      <c r="C79" s="8"/>
      <c r="D79" s="8"/>
      <c r="E79" s="8"/>
      <c r="F79" s="8"/>
      <c r="G79" s="8"/>
      <c r="H79" s="8"/>
      <c r="I79" s="8"/>
      <c r="J79" s="8"/>
      <c r="K79" s="8"/>
      <c r="L79" s="8"/>
      <c r="M79" s="8"/>
      <c r="N79" s="8"/>
      <c r="O79" s="8"/>
      <c r="P79" s="8"/>
      <c r="Q79" s="8"/>
      <c r="R79" s="8"/>
      <c r="S79" s="8"/>
      <c r="T79" s="8"/>
      <c r="U79" s="8"/>
      <c r="V79" s="8"/>
      <c r="W79" s="8"/>
      <c r="X79" s="8"/>
      <c r="Y79" s="8"/>
      <c r="Z79" s="8"/>
      <c r="AA79" s="8"/>
    </row>
    <row r="80">
      <c r="A80" s="8"/>
      <c r="B80" s="8"/>
      <c r="C80" s="8"/>
      <c r="D80" s="8"/>
      <c r="E80" s="8"/>
      <c r="F80" s="8"/>
      <c r="G80" s="8"/>
      <c r="H80" s="8"/>
      <c r="I80" s="8"/>
      <c r="J80" s="8"/>
      <c r="K80" s="8"/>
      <c r="L80" s="8"/>
      <c r="M80" s="8"/>
      <c r="N80" s="8"/>
      <c r="O80" s="8"/>
      <c r="P80" s="8"/>
      <c r="Q80" s="8"/>
      <c r="R80" s="8"/>
      <c r="S80" s="8"/>
      <c r="T80" s="8"/>
      <c r="U80" s="8"/>
      <c r="V80" s="8"/>
      <c r="W80" s="8"/>
      <c r="X80" s="8"/>
      <c r="Y80" s="8"/>
      <c r="Z80" s="8"/>
      <c r="AA80" s="8"/>
    </row>
    <row r="81">
      <c r="A81" s="8"/>
      <c r="B81" s="8"/>
      <c r="C81" s="8"/>
      <c r="D81" s="8"/>
      <c r="E81" s="8"/>
      <c r="F81" s="8"/>
      <c r="G81" s="8"/>
      <c r="H81" s="8"/>
      <c r="I81" s="8"/>
      <c r="J81" s="8"/>
      <c r="K81" s="8"/>
      <c r="L81" s="8"/>
      <c r="M81" s="8"/>
      <c r="N81" s="8"/>
      <c r="O81" s="8"/>
      <c r="P81" s="8"/>
      <c r="Q81" s="8"/>
      <c r="R81" s="8"/>
      <c r="S81" s="8"/>
      <c r="T81" s="8"/>
      <c r="U81" s="8"/>
      <c r="V81" s="8"/>
      <c r="W81" s="8"/>
      <c r="X81" s="8"/>
      <c r="Y81" s="8"/>
      <c r="Z81" s="8"/>
      <c r="AA81" s="8"/>
    </row>
    <row r="82">
      <c r="A82" s="8"/>
      <c r="B82" s="8"/>
      <c r="C82" s="8"/>
      <c r="D82" s="8"/>
      <c r="E82" s="8"/>
      <c r="F82" s="8"/>
      <c r="G82" s="8"/>
      <c r="H82" s="8"/>
      <c r="I82" s="8"/>
      <c r="J82" s="8"/>
      <c r="K82" s="8"/>
      <c r="L82" s="8"/>
      <c r="M82" s="8"/>
      <c r="N82" s="8"/>
      <c r="O82" s="8"/>
      <c r="P82" s="8"/>
      <c r="Q82" s="8"/>
      <c r="R82" s="8"/>
      <c r="S82" s="8"/>
      <c r="T82" s="8"/>
      <c r="U82" s="8"/>
      <c r="V82" s="8"/>
      <c r="W82" s="8"/>
      <c r="X82" s="8"/>
      <c r="Y82" s="8"/>
      <c r="Z82" s="8"/>
      <c r="AA82" s="8"/>
    </row>
    <row r="83">
      <c r="A83" s="8"/>
      <c r="B83" s="8"/>
      <c r="C83" s="8"/>
      <c r="D83" s="8"/>
      <c r="E83" s="8"/>
      <c r="F83" s="8"/>
      <c r="G83" s="8"/>
      <c r="H83" s="8"/>
      <c r="I83" s="8"/>
      <c r="J83" s="8"/>
      <c r="K83" s="8"/>
      <c r="L83" s="8"/>
      <c r="M83" s="8"/>
      <c r="N83" s="8"/>
      <c r="O83" s="8"/>
      <c r="P83" s="8"/>
      <c r="Q83" s="8"/>
      <c r="R83" s="8"/>
      <c r="S83" s="8"/>
      <c r="T83" s="8"/>
      <c r="U83" s="8"/>
      <c r="V83" s="8"/>
      <c r="W83" s="8"/>
      <c r="X83" s="8"/>
      <c r="Y83" s="8"/>
      <c r="Z83" s="8"/>
      <c r="AA83" s="8"/>
    </row>
    <row r="84">
      <c r="A84" s="8"/>
      <c r="B84" s="8"/>
      <c r="C84" s="8"/>
      <c r="D84" s="8"/>
      <c r="E84" s="8"/>
      <c r="F84" s="8"/>
      <c r="G84" s="8"/>
      <c r="H84" s="8"/>
      <c r="I84" s="8"/>
      <c r="J84" s="8"/>
      <c r="K84" s="8"/>
      <c r="L84" s="8"/>
      <c r="M84" s="8"/>
      <c r="N84" s="8"/>
      <c r="O84" s="8"/>
      <c r="P84" s="8"/>
      <c r="Q84" s="8"/>
      <c r="R84" s="8"/>
      <c r="S84" s="8"/>
      <c r="T84" s="8"/>
      <c r="U84" s="8"/>
      <c r="V84" s="8"/>
      <c r="W84" s="8"/>
      <c r="X84" s="8"/>
      <c r="Y84" s="8"/>
      <c r="Z84" s="8"/>
      <c r="AA84" s="8"/>
    </row>
    <row r="85">
      <c r="A85" s="8"/>
      <c r="B85" s="8"/>
      <c r="C85" s="8"/>
      <c r="D85" s="8"/>
      <c r="E85" s="8"/>
      <c r="F85" s="8"/>
      <c r="G85" s="8"/>
      <c r="H85" s="8"/>
      <c r="I85" s="8"/>
      <c r="J85" s="8"/>
      <c r="K85" s="8"/>
      <c r="L85" s="8"/>
      <c r="M85" s="8"/>
      <c r="N85" s="8"/>
      <c r="O85" s="8"/>
      <c r="P85" s="8"/>
      <c r="Q85" s="8"/>
      <c r="R85" s="8"/>
      <c r="S85" s="8"/>
      <c r="T85" s="8"/>
      <c r="U85" s="8"/>
      <c r="V85" s="8"/>
      <c r="W85" s="8"/>
      <c r="X85" s="8"/>
      <c r="Y85" s="8"/>
      <c r="Z85" s="8"/>
      <c r="AA85" s="8"/>
    </row>
    <row r="86">
      <c r="A86" s="8"/>
      <c r="B86" s="8"/>
      <c r="C86" s="8"/>
      <c r="D86" s="8"/>
      <c r="E86" s="8"/>
      <c r="F86" s="8"/>
      <c r="G86" s="8"/>
      <c r="H86" s="8"/>
      <c r="I86" s="8"/>
      <c r="J86" s="8"/>
      <c r="K86" s="8"/>
      <c r="L86" s="8"/>
      <c r="M86" s="8"/>
      <c r="N86" s="8"/>
      <c r="O86" s="8"/>
      <c r="P86" s="8"/>
      <c r="Q86" s="8"/>
      <c r="R86" s="8"/>
      <c r="S86" s="8"/>
      <c r="T86" s="8"/>
      <c r="U86" s="8"/>
      <c r="V86" s="8"/>
      <c r="W86" s="8"/>
      <c r="X86" s="8"/>
      <c r="Y86" s="8"/>
      <c r="Z86" s="8"/>
      <c r="AA86" s="8"/>
    </row>
    <row r="87">
      <c r="A87" s="8"/>
      <c r="B87" s="8"/>
      <c r="C87" s="8"/>
      <c r="D87" s="8"/>
      <c r="E87" s="8"/>
      <c r="F87" s="8"/>
      <c r="G87" s="8"/>
      <c r="H87" s="8"/>
      <c r="I87" s="8"/>
      <c r="J87" s="8"/>
      <c r="K87" s="8"/>
      <c r="L87" s="8"/>
      <c r="M87" s="8"/>
      <c r="N87" s="8"/>
      <c r="O87" s="8"/>
      <c r="P87" s="8"/>
      <c r="Q87" s="8"/>
      <c r="R87" s="8"/>
      <c r="S87" s="8"/>
      <c r="T87" s="8"/>
      <c r="U87" s="8"/>
      <c r="V87" s="8"/>
      <c r="W87" s="8"/>
      <c r="X87" s="8"/>
      <c r="Y87" s="8"/>
      <c r="Z87" s="8"/>
      <c r="AA87" s="8"/>
    </row>
    <row r="88">
      <c r="A88" s="8"/>
      <c r="B88" s="8"/>
      <c r="C88" s="8"/>
      <c r="D88" s="8"/>
      <c r="E88" s="8"/>
      <c r="F88" s="8"/>
      <c r="G88" s="8"/>
      <c r="H88" s="8"/>
      <c r="I88" s="8"/>
      <c r="J88" s="8"/>
      <c r="K88" s="8"/>
      <c r="L88" s="8"/>
      <c r="M88" s="8"/>
      <c r="N88" s="8"/>
      <c r="O88" s="8"/>
      <c r="P88" s="8"/>
      <c r="Q88" s="8"/>
      <c r="R88" s="8"/>
      <c r="S88" s="8"/>
      <c r="T88" s="8"/>
      <c r="U88" s="8"/>
      <c r="V88" s="8"/>
      <c r="W88" s="8"/>
      <c r="X88" s="8"/>
      <c r="Y88" s="8"/>
      <c r="Z88" s="8"/>
      <c r="AA88" s="8"/>
    </row>
    <row r="89">
      <c r="A89" s="8"/>
      <c r="B89" s="8"/>
      <c r="C89" s="8"/>
      <c r="D89" s="8"/>
      <c r="E89" s="8"/>
      <c r="F89" s="8"/>
      <c r="G89" s="8"/>
      <c r="H89" s="8"/>
      <c r="I89" s="8"/>
      <c r="J89" s="8"/>
      <c r="K89" s="8"/>
      <c r="L89" s="8"/>
      <c r="M89" s="8"/>
      <c r="N89" s="8"/>
      <c r="O89" s="8"/>
      <c r="P89" s="8"/>
      <c r="Q89" s="8"/>
      <c r="R89" s="8"/>
      <c r="S89" s="8"/>
      <c r="T89" s="8"/>
      <c r="U89" s="8"/>
      <c r="V89" s="8"/>
      <c r="W89" s="8"/>
      <c r="X89" s="8"/>
      <c r="Y89" s="8"/>
      <c r="Z89" s="8"/>
      <c r="AA89" s="8"/>
    </row>
    <row r="90">
      <c r="A90" s="8"/>
      <c r="B90" s="8"/>
      <c r="C90" s="8"/>
      <c r="D90" s="8"/>
      <c r="E90" s="8"/>
      <c r="F90" s="8"/>
      <c r="G90" s="8"/>
      <c r="H90" s="8"/>
      <c r="I90" s="8"/>
      <c r="J90" s="8"/>
      <c r="K90" s="8"/>
      <c r="L90" s="8"/>
      <c r="M90" s="8"/>
      <c r="N90" s="8"/>
      <c r="O90" s="8"/>
      <c r="P90" s="8"/>
      <c r="Q90" s="8"/>
      <c r="R90" s="8"/>
      <c r="S90" s="8"/>
      <c r="T90" s="8"/>
      <c r="U90" s="8"/>
      <c r="V90" s="8"/>
      <c r="W90" s="8"/>
      <c r="X90" s="8"/>
      <c r="Y90" s="8"/>
      <c r="Z90" s="8"/>
      <c r="AA90" s="8"/>
    </row>
    <row r="91">
      <c r="A91" s="8"/>
      <c r="B91" s="8"/>
      <c r="C91" s="8"/>
      <c r="D91" s="8"/>
      <c r="E91" s="8"/>
      <c r="F91" s="8"/>
      <c r="G91" s="8"/>
      <c r="H91" s="8"/>
      <c r="I91" s="8"/>
      <c r="J91" s="8"/>
      <c r="K91" s="8"/>
      <c r="L91" s="8"/>
      <c r="M91" s="8"/>
      <c r="N91" s="8"/>
      <c r="O91" s="8"/>
      <c r="P91" s="8"/>
      <c r="Q91" s="8"/>
      <c r="R91" s="8"/>
      <c r="S91" s="8"/>
      <c r="T91" s="8"/>
      <c r="U91" s="8"/>
      <c r="V91" s="8"/>
      <c r="W91" s="8"/>
      <c r="X91" s="8"/>
      <c r="Y91" s="8"/>
      <c r="Z91" s="8"/>
      <c r="AA91" s="8"/>
    </row>
    <row r="92">
      <c r="A92" s="8"/>
      <c r="B92" s="8"/>
      <c r="C92" s="8"/>
      <c r="D92" s="8"/>
      <c r="E92" s="8"/>
      <c r="F92" s="8"/>
      <c r="G92" s="8"/>
      <c r="H92" s="8"/>
      <c r="I92" s="8"/>
      <c r="J92" s="8"/>
      <c r="K92" s="8"/>
      <c r="L92" s="8"/>
      <c r="M92" s="8"/>
      <c r="N92" s="8"/>
      <c r="O92" s="8"/>
      <c r="P92" s="8"/>
      <c r="Q92" s="8"/>
      <c r="R92" s="8"/>
      <c r="S92" s="8"/>
      <c r="T92" s="8"/>
      <c r="U92" s="8"/>
      <c r="V92" s="8"/>
      <c r="W92" s="8"/>
      <c r="X92" s="8"/>
      <c r="Y92" s="8"/>
      <c r="Z92" s="8"/>
      <c r="AA92" s="8"/>
    </row>
    <row r="93">
      <c r="A93" s="8"/>
      <c r="B93" s="8"/>
      <c r="C93" s="8"/>
      <c r="D93" s="8"/>
      <c r="E93" s="8"/>
      <c r="F93" s="8"/>
      <c r="G93" s="8"/>
      <c r="H93" s="8"/>
      <c r="I93" s="8"/>
      <c r="J93" s="8"/>
      <c r="K93" s="8"/>
      <c r="L93" s="8"/>
      <c r="M93" s="8"/>
      <c r="N93" s="8"/>
      <c r="O93" s="8"/>
      <c r="P93" s="8"/>
      <c r="Q93" s="8"/>
      <c r="R93" s="8"/>
      <c r="S93" s="8"/>
      <c r="T93" s="8"/>
      <c r="U93" s="8"/>
      <c r="V93" s="8"/>
      <c r="W93" s="8"/>
      <c r="X93" s="8"/>
      <c r="Y93" s="8"/>
      <c r="Z93" s="8"/>
      <c r="AA93" s="8"/>
    </row>
    <row r="94">
      <c r="A94" s="8"/>
      <c r="B94" s="8"/>
      <c r="C94" s="8"/>
      <c r="D94" s="8"/>
      <c r="E94" s="8"/>
      <c r="F94" s="8"/>
      <c r="G94" s="8"/>
      <c r="H94" s="8"/>
      <c r="I94" s="8"/>
      <c r="J94" s="8"/>
      <c r="K94" s="8"/>
      <c r="L94" s="8"/>
      <c r="M94" s="8"/>
      <c r="N94" s="8"/>
      <c r="O94" s="8"/>
      <c r="P94" s="8"/>
      <c r="Q94" s="8"/>
      <c r="R94" s="8"/>
      <c r="S94" s="8"/>
      <c r="T94" s="8"/>
      <c r="U94" s="8"/>
      <c r="V94" s="8"/>
      <c r="W94" s="8"/>
      <c r="X94" s="8"/>
      <c r="Y94" s="8"/>
      <c r="Z94" s="8"/>
      <c r="AA94" s="8"/>
    </row>
    <row r="95">
      <c r="A95" s="8"/>
      <c r="B95" s="8"/>
      <c r="C95" s="8"/>
      <c r="D95" s="8"/>
      <c r="E95" s="8"/>
      <c r="F95" s="8"/>
      <c r="G95" s="8"/>
      <c r="H95" s="8"/>
      <c r="I95" s="8"/>
      <c r="J95" s="8"/>
      <c r="K95" s="8"/>
      <c r="L95" s="8"/>
      <c r="M95" s="8"/>
      <c r="N95" s="8"/>
      <c r="O95" s="8"/>
      <c r="P95" s="8"/>
      <c r="Q95" s="8"/>
      <c r="R95" s="8"/>
      <c r="S95" s="8"/>
      <c r="T95" s="8"/>
      <c r="U95" s="8"/>
      <c r="V95" s="8"/>
      <c r="W95" s="8"/>
      <c r="X95" s="8"/>
      <c r="Y95" s="8"/>
      <c r="Z95" s="8"/>
      <c r="AA95" s="8"/>
    </row>
    <row r="96">
      <c r="A96" s="8"/>
      <c r="B96" s="8"/>
      <c r="C96" s="8"/>
      <c r="D96" s="8"/>
      <c r="E96" s="8"/>
      <c r="F96" s="8"/>
      <c r="G96" s="8"/>
      <c r="H96" s="8"/>
      <c r="I96" s="8"/>
      <c r="J96" s="8"/>
      <c r="K96" s="8"/>
      <c r="L96" s="8"/>
      <c r="M96" s="8"/>
      <c r="N96" s="8"/>
      <c r="O96" s="8"/>
      <c r="P96" s="8"/>
      <c r="Q96" s="8"/>
      <c r="R96" s="8"/>
      <c r="S96" s="8"/>
      <c r="T96" s="8"/>
      <c r="U96" s="8"/>
      <c r="V96" s="8"/>
      <c r="W96" s="8"/>
      <c r="X96" s="8"/>
      <c r="Y96" s="8"/>
      <c r="Z96" s="8"/>
      <c r="AA96" s="8"/>
    </row>
    <row r="97">
      <c r="A97" s="8"/>
      <c r="B97" s="8"/>
      <c r="C97" s="8"/>
      <c r="D97" s="8"/>
      <c r="E97" s="8"/>
      <c r="F97" s="8"/>
      <c r="G97" s="8"/>
      <c r="H97" s="8"/>
      <c r="I97" s="8"/>
      <c r="J97" s="8"/>
      <c r="K97" s="8"/>
      <c r="L97" s="8"/>
      <c r="M97" s="8"/>
      <c r="N97" s="8"/>
      <c r="O97" s="8"/>
      <c r="P97" s="8"/>
      <c r="Q97" s="8"/>
      <c r="R97" s="8"/>
      <c r="S97" s="8"/>
      <c r="T97" s="8"/>
      <c r="U97" s="8"/>
      <c r="V97" s="8"/>
      <c r="W97" s="8"/>
      <c r="X97" s="8"/>
      <c r="Y97" s="8"/>
      <c r="Z97" s="8"/>
      <c r="AA97" s="8"/>
    </row>
    <row r="98">
      <c r="A98" s="8"/>
      <c r="B98" s="8"/>
      <c r="C98" s="8"/>
      <c r="D98" s="8"/>
      <c r="E98" s="8"/>
      <c r="F98" s="8"/>
      <c r="G98" s="8"/>
      <c r="H98" s="8"/>
      <c r="I98" s="8"/>
      <c r="J98" s="8"/>
      <c r="K98" s="8"/>
      <c r="L98" s="8"/>
      <c r="M98" s="8"/>
      <c r="N98" s="8"/>
      <c r="O98" s="8"/>
      <c r="P98" s="8"/>
      <c r="Q98" s="8"/>
      <c r="R98" s="8"/>
      <c r="S98" s="8"/>
      <c r="T98" s="8"/>
      <c r="U98" s="8"/>
      <c r="V98" s="8"/>
      <c r="W98" s="8"/>
      <c r="X98" s="8"/>
      <c r="Y98" s="8"/>
      <c r="Z98" s="8"/>
      <c r="AA98" s="8"/>
    </row>
    <row r="99">
      <c r="A99" s="8"/>
      <c r="B99" s="8"/>
      <c r="C99" s="8"/>
      <c r="D99" s="8"/>
      <c r="E99" s="8"/>
      <c r="F99" s="8"/>
      <c r="G99" s="8"/>
      <c r="H99" s="8"/>
      <c r="I99" s="8"/>
      <c r="J99" s="8"/>
      <c r="K99" s="8"/>
      <c r="L99" s="8"/>
      <c r="M99" s="8"/>
      <c r="N99" s="8"/>
      <c r="O99" s="8"/>
      <c r="P99" s="8"/>
      <c r="Q99" s="8"/>
      <c r="R99" s="8"/>
      <c r="S99" s="8"/>
      <c r="T99" s="8"/>
      <c r="U99" s="8"/>
      <c r="V99" s="8"/>
      <c r="W99" s="8"/>
      <c r="X99" s="8"/>
      <c r="Y99" s="8"/>
      <c r="Z99" s="8"/>
      <c r="AA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row>
  </sheetData>
  <mergeCells count="1">
    <mergeCell ref="B4:C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18.5"/>
    <col customWidth="1" min="2" max="2" width="22.0"/>
    <col customWidth="1" min="3" max="3" width="19.88"/>
    <col customWidth="1" min="4" max="4" width="18.38"/>
    <col customWidth="1" min="5" max="5" width="4.63"/>
    <col customWidth="1" min="6" max="6" width="27.75"/>
    <col customWidth="1" min="7" max="7" width="4.13"/>
    <col customWidth="1" min="8" max="8" width="18.63"/>
  </cols>
  <sheetData>
    <row r="1" ht="30.0" customHeight="1">
      <c r="A1" s="60" t="s">
        <v>568</v>
      </c>
      <c r="B1" s="60" t="s">
        <v>569</v>
      </c>
      <c r="C1" s="60" t="s">
        <v>570</v>
      </c>
      <c r="D1" s="61" t="s">
        <v>571</v>
      </c>
      <c r="E1" s="61" t="s">
        <v>572</v>
      </c>
      <c r="F1" s="60" t="s">
        <v>573</v>
      </c>
      <c r="G1" s="61" t="s">
        <v>574</v>
      </c>
      <c r="H1" s="60" t="s">
        <v>575</v>
      </c>
    </row>
    <row r="2">
      <c r="A2" s="62" t="str">
        <f t="shared" ref="A2:A243" si="1">Substitute(SUBSTITUTE(substitute(substitute(substitute(substitute(substitute(substitute(substitute(lower(B2)," ","-"),"(",""),")",""),"&gt;",""),"&lt;",""),"---","-"),".","-"),"--","-"),"&amp;","-and-")</f>
        <v>blue-lyrebird</v>
      </c>
      <c r="B2" s="63" t="s">
        <v>27</v>
      </c>
      <c r="C2" s="64" t="str">
        <f t="shared" ref="C2:C25" si="2">B2</f>
        <v>Blue Lyrebird</v>
      </c>
      <c r="D2" s="64" t="str">
        <f>if(G2="yes","R","")&amp;"E-01"</f>
        <v>RE-01</v>
      </c>
      <c r="E2" s="64" t="str">
        <f>IFERROR(__xludf.DUMMYFUNCTION("TEXTJOIN("""", TRUE, ARRAYFORMULA(LEFT(SPLIT(C2, "" ""),1)))"),"BL")</f>
        <v>BL</v>
      </c>
      <c r="F2" s="65" t="s">
        <v>576</v>
      </c>
      <c r="G2" s="65" t="s">
        <v>577</v>
      </c>
      <c r="H2" s="66"/>
    </row>
    <row r="3">
      <c r="A3" s="67" t="str">
        <f t="shared" si="1"/>
        <v>clever-frilled-neck-lizard</v>
      </c>
      <c r="B3" s="68" t="s">
        <v>53</v>
      </c>
      <c r="C3" s="69" t="str">
        <f t="shared" si="2"/>
        <v>Clever Frilled Neck Lizard</v>
      </c>
      <c r="D3" s="64" t="s">
        <v>578</v>
      </c>
      <c r="E3" s="69" t="str">
        <f>IFERROR(__xludf.DUMMYFUNCTION("TEXTJOIN("""", TRUE, ARRAYFORMULA(LEFT(SPLIT(C3, "" ""),1)))"),"CFNL")</f>
        <v>CFNL</v>
      </c>
      <c r="F3" s="70" t="s">
        <v>579</v>
      </c>
      <c r="G3" s="65" t="s">
        <v>577</v>
      </c>
      <c r="H3" s="71"/>
    </row>
    <row r="4">
      <c r="A4" s="67" t="str">
        <f t="shared" si="1"/>
        <v>fuzzy-perentie</v>
      </c>
      <c r="B4" s="68" t="s">
        <v>88</v>
      </c>
      <c r="C4" s="69" t="str">
        <f t="shared" si="2"/>
        <v>Fuzzy Perentie</v>
      </c>
      <c r="D4" s="64" t="s">
        <v>580</v>
      </c>
      <c r="E4" s="69" t="str">
        <f>IFERROR(__xludf.DUMMYFUNCTION("TEXTJOIN("""", TRUE, ARRAYFORMULA(LEFT(SPLIT(C4, "" ""),1)))"),"FP")</f>
        <v>FP</v>
      </c>
      <c r="F4" s="70" t="s">
        <v>581</v>
      </c>
      <c r="G4" s="65" t="s">
        <v>577</v>
      </c>
      <c r="H4" s="71"/>
    </row>
    <row r="5">
      <c r="A5" s="67" t="str">
        <f t="shared" si="1"/>
        <v>fuzzy-sugar-glider</v>
      </c>
      <c r="B5" s="68" t="s">
        <v>47</v>
      </c>
      <c r="C5" s="69" t="str">
        <f t="shared" si="2"/>
        <v>Fuzzy Sugar Glider</v>
      </c>
      <c r="D5" s="64" t="s">
        <v>582</v>
      </c>
      <c r="E5" s="69" t="str">
        <f>IFERROR(__xludf.DUMMYFUNCTION("TEXTJOIN("""", TRUE, ARRAYFORMULA(LEFT(SPLIT(C5, "" ""),1)))"),"FSG")</f>
        <v>FSG</v>
      </c>
      <c r="F5" s="65" t="s">
        <v>583</v>
      </c>
      <c r="G5" s="65" t="s">
        <v>577</v>
      </c>
      <c r="H5" s="71"/>
    </row>
    <row r="6">
      <c r="A6" s="67" t="str">
        <f t="shared" si="1"/>
        <v>golden-possum</v>
      </c>
      <c r="B6" s="68" t="s">
        <v>118</v>
      </c>
      <c r="C6" s="69" t="str">
        <f t="shared" si="2"/>
        <v>Golden Possum</v>
      </c>
      <c r="D6" s="64" t="s">
        <v>584</v>
      </c>
      <c r="E6" s="69" t="str">
        <f>IFERROR(__xludf.DUMMYFUNCTION("TEXTJOIN("""", TRUE, ARRAYFORMULA(LEFT(SPLIT(C6, "" ""),1)))"),"GP")</f>
        <v>GP</v>
      </c>
      <c r="F6" s="70" t="s">
        <v>585</v>
      </c>
      <c r="G6" s="65" t="s">
        <v>577</v>
      </c>
      <c r="H6" s="71"/>
    </row>
    <row r="7">
      <c r="A7" s="67" t="str">
        <f t="shared" si="1"/>
        <v>lazy-lyrebird</v>
      </c>
      <c r="B7" s="68" t="s">
        <v>129</v>
      </c>
      <c r="C7" s="69" t="str">
        <f t="shared" si="2"/>
        <v>Lazy Lyrebird</v>
      </c>
      <c r="D7" s="64" t="s">
        <v>586</v>
      </c>
      <c r="E7" s="69" t="str">
        <f>IFERROR(__xludf.DUMMYFUNCTION("TEXTJOIN("""", TRUE, ARRAYFORMULA(LEFT(SPLIT(C7, "" ""),1)))"),"LL")</f>
        <v>LL</v>
      </c>
      <c r="F7" s="70" t="s">
        <v>587</v>
      </c>
      <c r="G7" s="65" t="s">
        <v>577</v>
      </c>
      <c r="H7" s="71"/>
    </row>
    <row r="8">
      <c r="A8" s="67" t="str">
        <f t="shared" si="1"/>
        <v>lazy-sugar-glider</v>
      </c>
      <c r="B8" s="68" t="s">
        <v>155</v>
      </c>
      <c r="C8" s="69" t="str">
        <f t="shared" si="2"/>
        <v>Lazy Sugar Glider</v>
      </c>
      <c r="D8" s="64" t="s">
        <v>588</v>
      </c>
      <c r="E8" s="69" t="str">
        <f>IFERROR(__xludf.DUMMYFUNCTION("TEXTJOIN("""", TRUE, ARRAYFORMULA(LEFT(SPLIT(C8, "" ""),1)))"),"LSG")</f>
        <v>LSG</v>
      </c>
      <c r="F8" s="70" t="s">
        <v>589</v>
      </c>
      <c r="G8" s="65" t="s">
        <v>577</v>
      </c>
      <c r="H8" s="71"/>
    </row>
    <row r="9">
      <c r="A9" s="67" t="str">
        <f t="shared" si="1"/>
        <v>noisy-dingo</v>
      </c>
      <c r="B9" s="68" t="s">
        <v>200</v>
      </c>
      <c r="C9" s="69" t="str">
        <f t="shared" si="2"/>
        <v>Noisy Dingo</v>
      </c>
      <c r="D9" s="64" t="s">
        <v>590</v>
      </c>
      <c r="E9" s="69" t="str">
        <f>IFERROR(__xludf.DUMMYFUNCTION("TEXTJOIN("""", TRUE, ARRAYFORMULA(LEFT(SPLIT(C9, "" ""),1)))"),"ND")</f>
        <v>ND</v>
      </c>
      <c r="F9" s="70" t="s">
        <v>591</v>
      </c>
      <c r="G9" s="65" t="s">
        <v>577</v>
      </c>
      <c r="H9" s="71"/>
    </row>
    <row r="10">
      <c r="A10" s="67" t="str">
        <f t="shared" si="1"/>
        <v>noisy-quokka</v>
      </c>
      <c r="B10" s="68" t="s">
        <v>212</v>
      </c>
      <c r="C10" s="69" t="str">
        <f t="shared" si="2"/>
        <v>Noisy Quokka</v>
      </c>
      <c r="D10" s="64" t="s">
        <v>592</v>
      </c>
      <c r="E10" s="69" t="str">
        <f>IFERROR(__xludf.DUMMYFUNCTION("TEXTJOIN("""", TRUE, ARRAYFORMULA(LEFT(SPLIT(C10, "" ""),1)))"),"NQ")</f>
        <v>NQ</v>
      </c>
      <c r="F10" s="70" t="s">
        <v>593</v>
      </c>
      <c r="G10" s="65" t="s">
        <v>577</v>
      </c>
      <c r="H10" s="71"/>
    </row>
    <row r="11">
      <c r="A11" s="67" t="str">
        <f t="shared" si="1"/>
        <v>red-lyrebird</v>
      </c>
      <c r="B11" s="68" t="s">
        <v>232</v>
      </c>
      <c r="C11" s="69" t="str">
        <f t="shared" si="2"/>
        <v>Red Lyrebird</v>
      </c>
      <c r="D11" s="64" t="s">
        <v>594</v>
      </c>
      <c r="E11" s="69" t="str">
        <f>IFERROR(__xludf.DUMMYFUNCTION("TEXTJOIN("""", TRUE, ARRAYFORMULA(LEFT(SPLIT(C11, "" ""),1)))"),"RL")</f>
        <v>RL</v>
      </c>
      <c r="F11" s="70" t="s">
        <v>587</v>
      </c>
      <c r="G11" s="65" t="s">
        <v>577</v>
      </c>
      <c r="H11" s="71"/>
    </row>
    <row r="12">
      <c r="A12" s="67" t="str">
        <f t="shared" si="1"/>
        <v>red-possum</v>
      </c>
      <c r="B12" s="68" t="s">
        <v>245</v>
      </c>
      <c r="C12" s="69" t="str">
        <f t="shared" si="2"/>
        <v>Red Possum</v>
      </c>
      <c r="D12" s="64" t="s">
        <v>595</v>
      </c>
      <c r="E12" s="69" t="str">
        <f>IFERROR(__xludf.DUMMYFUNCTION("TEXTJOIN("""", TRUE, ARRAYFORMULA(LEFT(SPLIT(C12, "" ""),1)))"),"RP")</f>
        <v>RP</v>
      </c>
      <c r="F12" s="70" t="s">
        <v>596</v>
      </c>
      <c r="G12" s="65" t="s">
        <v>577</v>
      </c>
      <c r="H12" s="71"/>
    </row>
    <row r="13">
      <c r="A13" s="67" t="str">
        <f t="shared" si="1"/>
        <v>silent-rosella</v>
      </c>
      <c r="B13" s="68" t="s">
        <v>211</v>
      </c>
      <c r="C13" s="69" t="str">
        <f t="shared" si="2"/>
        <v>Silent Rosella</v>
      </c>
      <c r="D13" s="64" t="s">
        <v>597</v>
      </c>
      <c r="E13" s="69" t="str">
        <f>IFERROR(__xludf.DUMMYFUNCTION("TEXTJOIN("""", TRUE, ARRAYFORMULA(LEFT(SPLIT(C13, "" ""),1)))"),"SR")</f>
        <v>SR</v>
      </c>
      <c r="F13" s="70" t="s">
        <v>591</v>
      </c>
      <c r="G13" s="65" t="s">
        <v>577</v>
      </c>
      <c r="H13" s="71"/>
    </row>
    <row r="14">
      <c r="A14" s="67" t="str">
        <f t="shared" si="1"/>
        <v>spotted-cockatoo</v>
      </c>
      <c r="B14" s="68" t="s">
        <v>281</v>
      </c>
      <c r="C14" s="69" t="str">
        <f t="shared" si="2"/>
        <v>Spotted Cockatoo</v>
      </c>
      <c r="D14" s="64" t="s">
        <v>598</v>
      </c>
      <c r="E14" s="69" t="str">
        <f>IFERROR(__xludf.DUMMYFUNCTION("TEXTJOIN("""", TRUE, ARRAYFORMULA(LEFT(SPLIT(C14, "" ""),1)))"),"SC")</f>
        <v>SC</v>
      </c>
      <c r="F14" s="70" t="s">
        <v>599</v>
      </c>
      <c r="G14" s="65" t="s">
        <v>577</v>
      </c>
      <c r="H14" s="71"/>
    </row>
    <row r="15">
      <c r="A15" s="67" t="str">
        <f t="shared" si="1"/>
        <v>spotted-koala</v>
      </c>
      <c r="B15" s="68" t="s">
        <v>230</v>
      </c>
      <c r="C15" s="69" t="str">
        <f t="shared" si="2"/>
        <v>Spotted Koala</v>
      </c>
      <c r="D15" s="64" t="s">
        <v>600</v>
      </c>
      <c r="E15" s="69" t="str">
        <f>IFERROR(__xludf.DUMMYFUNCTION("TEXTJOIN("""", TRUE, ARRAYFORMULA(LEFT(SPLIT(C15, "" ""),1)))"),"SK")</f>
        <v>SK</v>
      </c>
      <c r="F15" s="70" t="s">
        <v>601</v>
      </c>
      <c r="G15" s="65" t="s">
        <v>577</v>
      </c>
      <c r="H15" s="71"/>
    </row>
    <row r="16">
      <c r="A16" s="67" t="str">
        <f t="shared" si="1"/>
        <v>striped-frilled-neck-lizard</v>
      </c>
      <c r="B16" s="68" t="s">
        <v>208</v>
      </c>
      <c r="C16" s="69" t="str">
        <f t="shared" si="2"/>
        <v>Striped Frilled Neck Lizard</v>
      </c>
      <c r="D16" s="64" t="s">
        <v>602</v>
      </c>
      <c r="E16" s="69" t="str">
        <f>IFERROR(__xludf.DUMMYFUNCTION("TEXTJOIN("""", TRUE, ARRAYFORMULA(LEFT(SPLIT(C16, "" ""),1)))"),"SFNL")</f>
        <v>SFNL</v>
      </c>
      <c r="F16" s="70" t="s">
        <v>591</v>
      </c>
      <c r="G16" s="65" t="s">
        <v>577</v>
      </c>
      <c r="H16" s="71"/>
    </row>
    <row r="17">
      <c r="A17" s="67" t="str">
        <f t="shared" si="1"/>
        <v>striped-koala</v>
      </c>
      <c r="B17" s="68" t="s">
        <v>312</v>
      </c>
      <c r="C17" s="69" t="str">
        <f t="shared" si="2"/>
        <v>Striped Koala</v>
      </c>
      <c r="D17" s="64" t="s">
        <v>603</v>
      </c>
      <c r="E17" s="69" t="str">
        <f>IFERROR(__xludf.DUMMYFUNCTION("TEXTJOIN("""", TRUE, ARRAYFORMULA(LEFT(SPLIT(C17, "" ""),1)))"),"SK")</f>
        <v>SK</v>
      </c>
      <c r="F17" s="70" t="s">
        <v>604</v>
      </c>
      <c r="G17" s="65" t="s">
        <v>577</v>
      </c>
      <c r="H17" s="71"/>
    </row>
    <row r="18">
      <c r="A18" s="67" t="str">
        <f t="shared" si="1"/>
        <v>swift-blue-tongue-skink</v>
      </c>
      <c r="B18" s="68" t="s">
        <v>283</v>
      </c>
      <c r="C18" s="69" t="str">
        <f t="shared" si="2"/>
        <v>Swift Blue-tongue Skink</v>
      </c>
      <c r="D18" s="64" t="s">
        <v>605</v>
      </c>
      <c r="E18" s="69" t="str">
        <f>IFERROR(__xludf.DUMMYFUNCTION("TEXTJOIN("""", TRUE, ARRAYFORMULA(LEFT(SPLIT(C18, "" ""),1)))"),"SBS")</f>
        <v>SBS</v>
      </c>
      <c r="F18" s="70" t="s">
        <v>606</v>
      </c>
      <c r="G18" s="65" t="s">
        <v>577</v>
      </c>
      <c r="H18" s="71"/>
    </row>
    <row r="19">
      <c r="A19" s="67" t="str">
        <f t="shared" si="1"/>
        <v>tiny-platypus</v>
      </c>
      <c r="B19" s="68" t="s">
        <v>331</v>
      </c>
      <c r="C19" s="69" t="str">
        <f t="shared" si="2"/>
        <v>Tiny Platypus</v>
      </c>
      <c r="D19" s="64" t="s">
        <v>607</v>
      </c>
      <c r="E19" s="69" t="str">
        <f>IFERROR(__xludf.DUMMYFUNCTION("TEXTJOIN("""", TRUE, ARRAYFORMULA(LEFT(SPLIT(C19, "" ""),1)))"),"TP")</f>
        <v>TP</v>
      </c>
      <c r="F19" s="70" t="s">
        <v>599</v>
      </c>
      <c r="G19" s="65" t="s">
        <v>577</v>
      </c>
      <c r="H19" s="71"/>
    </row>
    <row r="20">
      <c r="A20" s="67" t="str">
        <f t="shared" si="1"/>
        <v>wild-cassowary</v>
      </c>
      <c r="B20" s="68" t="s">
        <v>337</v>
      </c>
      <c r="C20" s="69" t="str">
        <f t="shared" si="2"/>
        <v>Wild Cassowary</v>
      </c>
      <c r="D20" s="64" t="s">
        <v>608</v>
      </c>
      <c r="E20" s="69" t="str">
        <f>IFERROR(__xludf.DUMMYFUNCTION("TEXTJOIN("""", TRUE, ARRAYFORMULA(LEFT(SPLIT(C20, "" ""),1)))"),"WC")</f>
        <v>WC</v>
      </c>
      <c r="F20" s="70" t="s">
        <v>609</v>
      </c>
      <c r="G20" s="65" t="s">
        <v>577</v>
      </c>
      <c r="H20" s="71"/>
    </row>
    <row r="21">
      <c r="A21" s="67" t="str">
        <f t="shared" si="1"/>
        <v>wild-kangaroo</v>
      </c>
      <c r="B21" s="68" t="s">
        <v>351</v>
      </c>
      <c r="C21" s="69" t="str">
        <f t="shared" si="2"/>
        <v>Wild Kangaroo</v>
      </c>
      <c r="D21" s="64" t="s">
        <v>610</v>
      </c>
      <c r="E21" s="69" t="str">
        <f>IFERROR(__xludf.DUMMYFUNCTION("TEXTJOIN("""", TRUE, ARRAYFORMULA(LEFT(SPLIT(C21, "" ""),1)))"),"WK")</f>
        <v>WK</v>
      </c>
      <c r="F21" s="70" t="s">
        <v>579</v>
      </c>
      <c r="G21" s="65" t="s">
        <v>577</v>
      </c>
      <c r="H21" s="71"/>
    </row>
    <row r="22">
      <c r="A22" s="67" t="str">
        <f t="shared" si="1"/>
        <v>wild-numbat</v>
      </c>
      <c r="B22" s="68" t="s">
        <v>52</v>
      </c>
      <c r="C22" s="69" t="str">
        <f t="shared" si="2"/>
        <v>Wild Numbat</v>
      </c>
      <c r="D22" s="64" t="s">
        <v>611</v>
      </c>
      <c r="E22" s="69" t="str">
        <f>IFERROR(__xludf.DUMMYFUNCTION("TEXTJOIN("""", TRUE, ARRAYFORMULA(LEFT(SPLIT(C22, "" ""),1)))"),"WN")</f>
        <v>WN</v>
      </c>
      <c r="F22" s="70" t="s">
        <v>579</v>
      </c>
      <c r="G22" s="65" t="s">
        <v>577</v>
      </c>
      <c r="H22" s="71"/>
    </row>
    <row r="23">
      <c r="A23" s="67" t="str">
        <f t="shared" si="1"/>
        <v>wild-possum</v>
      </c>
      <c r="B23" s="68" t="s">
        <v>231</v>
      </c>
      <c r="C23" s="69" t="str">
        <f t="shared" si="2"/>
        <v>Wild Possum</v>
      </c>
      <c r="D23" s="64" t="s">
        <v>612</v>
      </c>
      <c r="E23" s="69" t="str">
        <f>IFERROR(__xludf.DUMMYFUNCTION("TEXTJOIN("""", TRUE, ARRAYFORMULA(LEFT(SPLIT(C23, "" ""),1)))"),"WP")</f>
        <v>WP</v>
      </c>
      <c r="F23" s="70" t="s">
        <v>613</v>
      </c>
      <c r="G23" s="65" t="s">
        <v>577</v>
      </c>
      <c r="H23" s="71"/>
    </row>
    <row r="24">
      <c r="A24" s="67" t="str">
        <f t="shared" si="1"/>
        <v>wild-tasmanian-devil</v>
      </c>
      <c r="B24" s="68" t="s">
        <v>374</v>
      </c>
      <c r="C24" s="69" t="str">
        <f t="shared" si="2"/>
        <v>Wild Tasmanian Devil</v>
      </c>
      <c r="D24" s="64" t="s">
        <v>614</v>
      </c>
      <c r="E24" s="69" t="str">
        <f>IFERROR(__xludf.DUMMYFUNCTION("TEXTJOIN("""", TRUE, ARRAYFORMULA(LEFT(SPLIT(C24, "" ""),1)))"),"WTD")</f>
        <v>WTD</v>
      </c>
      <c r="F24" s="70" t="s">
        <v>599</v>
      </c>
      <c r="G24" s="65" t="s">
        <v>577</v>
      </c>
      <c r="H24" s="71"/>
    </row>
    <row r="25">
      <c r="A25" s="72" t="str">
        <f t="shared" si="1"/>
        <v>yellow-australian-magpie</v>
      </c>
      <c r="B25" s="73" t="s">
        <v>44</v>
      </c>
      <c r="C25" s="74" t="str">
        <f t="shared" si="2"/>
        <v>Yellow Australian Magpie</v>
      </c>
      <c r="D25" s="75" t="s">
        <v>615</v>
      </c>
      <c r="E25" s="74" t="str">
        <f>IFERROR(__xludf.DUMMYFUNCTION("TEXTJOIN("""", TRUE, ARRAYFORMULA(LEFT(SPLIT(C25, "" ""),1)))"),"YAM")</f>
        <v>YAM</v>
      </c>
      <c r="F25" s="65" t="s">
        <v>616</v>
      </c>
      <c r="G25" s="76" t="s">
        <v>577</v>
      </c>
      <c r="H25" s="77"/>
    </row>
    <row r="26">
      <c r="A26" s="78" t="str">
        <f t="shared" si="1"/>
        <v>blue-bandicoot</v>
      </c>
      <c r="B26" s="63" t="str">
        <f>'analysis _non-RE-nodes'!A4</f>
        <v>Blue Bandicoot</v>
      </c>
      <c r="C26" s="64" t="str">
        <f>'analysis _non-RE-nodes'!A28</f>
        <v>Clever Blue-tongue Skink</v>
      </c>
      <c r="D26" s="64" t="s">
        <v>617</v>
      </c>
      <c r="E26" s="64" t="str">
        <f>IFERROR(__xludf.DUMMYFUNCTION("TEXTJOIN("""", TRUE, ARRAYFORMULA(LEFT(SPLIT(C26, "" ""),1)))"),"CBS")</f>
        <v>CBS</v>
      </c>
      <c r="F26" s="79"/>
      <c r="G26" s="65" t="s">
        <v>618</v>
      </c>
      <c r="H26" s="65"/>
    </row>
    <row r="27">
      <c r="A27" s="80" t="str">
        <f t="shared" si="1"/>
        <v>blue-bush-stone-curlew</v>
      </c>
      <c r="B27" s="63" t="str">
        <f>'analysis _non-RE-nodes'!A5</f>
        <v>Blue Bush Stone-curlew</v>
      </c>
      <c r="C27" s="69" t="str">
        <f t="shared" ref="C27:C243" si="3">B27</f>
        <v>Blue Bush Stone-curlew</v>
      </c>
      <c r="D27" s="64" t="s">
        <v>619</v>
      </c>
      <c r="E27" s="69" t="str">
        <f>IFERROR(__xludf.DUMMYFUNCTION("TEXTJOIN("""", TRUE, ARRAYFORMULA(LEFT(SPLIT(C27, "" ""),1)))"),"BBS")</f>
        <v>BBS</v>
      </c>
      <c r="F27" s="65"/>
      <c r="G27" s="65" t="s">
        <v>618</v>
      </c>
      <c r="H27" s="65"/>
    </row>
    <row r="28">
      <c r="A28" s="80" t="str">
        <f t="shared" si="1"/>
        <v>blue-dingo</v>
      </c>
      <c r="B28" s="63" t="str">
        <f>'analysis _non-RE-nodes'!A6</f>
        <v>Blue Dingo</v>
      </c>
      <c r="C28" s="69" t="str">
        <f t="shared" si="3"/>
        <v>Blue Dingo</v>
      </c>
      <c r="D28" s="64" t="s">
        <v>620</v>
      </c>
      <c r="E28" s="69" t="str">
        <f>IFERROR(__xludf.DUMMYFUNCTION("TEXTJOIN("""", TRUE, ARRAYFORMULA(LEFT(SPLIT(C28, "" ""),1)))"),"BD")</f>
        <v>BD</v>
      </c>
      <c r="F28" s="65"/>
      <c r="G28" s="65" t="s">
        <v>618</v>
      </c>
      <c r="H28" s="65"/>
    </row>
    <row r="29">
      <c r="A29" s="80" t="str">
        <f t="shared" si="1"/>
        <v>blue-echidna</v>
      </c>
      <c r="B29" s="63" t="str">
        <f>'analysis _non-RE-nodes'!A7</f>
        <v>Blue Echidna</v>
      </c>
      <c r="C29" s="69" t="str">
        <f t="shared" si="3"/>
        <v>Blue Echidna</v>
      </c>
      <c r="D29" s="64" t="s">
        <v>621</v>
      </c>
      <c r="E29" s="69" t="str">
        <f>IFERROR(__xludf.DUMMYFUNCTION("TEXTJOIN("""", TRUE, ARRAYFORMULA(LEFT(SPLIT(C29, "" ""),1)))"),"BE")</f>
        <v>BE</v>
      </c>
      <c r="F29" s="65"/>
      <c r="G29" s="65" t="s">
        <v>618</v>
      </c>
      <c r="H29" s="65"/>
    </row>
    <row r="30">
      <c r="A30" s="80" t="str">
        <f t="shared" si="1"/>
        <v>blue-fairy-penguin</v>
      </c>
      <c r="B30" s="63" t="str">
        <f>'analysis _non-RE-nodes'!A8</f>
        <v>Blue Fairy Penguin</v>
      </c>
      <c r="C30" s="69" t="str">
        <f t="shared" si="3"/>
        <v>Blue Fairy Penguin</v>
      </c>
      <c r="D30" s="64" t="s">
        <v>622</v>
      </c>
      <c r="E30" s="69" t="str">
        <f>IFERROR(__xludf.DUMMYFUNCTION("TEXTJOIN("""", TRUE, ARRAYFORMULA(LEFT(SPLIT(C30, "" ""),1)))"),"BFP")</f>
        <v>BFP</v>
      </c>
      <c r="F30" s="65"/>
      <c r="G30" s="65" t="s">
        <v>618</v>
      </c>
      <c r="H30" s="65"/>
    </row>
    <row r="31">
      <c r="A31" s="80" t="str">
        <f t="shared" si="1"/>
        <v>blue-frilled-neck-lizard</v>
      </c>
      <c r="B31" s="63" t="str">
        <f>'analysis _non-RE-nodes'!A9</f>
        <v>Blue Frilled Neck Lizard</v>
      </c>
      <c r="C31" s="69" t="str">
        <f t="shared" si="3"/>
        <v>Blue Frilled Neck Lizard</v>
      </c>
      <c r="D31" s="64" t="s">
        <v>623</v>
      </c>
      <c r="E31" s="69" t="str">
        <f>IFERROR(__xludf.DUMMYFUNCTION("TEXTJOIN("""", TRUE, ARRAYFORMULA(LEFT(SPLIT(C31, "" ""),1)))"),"BFNL")</f>
        <v>BFNL</v>
      </c>
      <c r="F31" s="65"/>
      <c r="G31" s="65" t="s">
        <v>618</v>
      </c>
      <c r="H31" s="65"/>
    </row>
    <row r="32">
      <c r="A32" s="80" t="str">
        <f t="shared" si="1"/>
        <v>blue-goanna</v>
      </c>
      <c r="B32" s="63" t="str">
        <f>'analysis _non-RE-nodes'!A10</f>
        <v>Blue Goanna</v>
      </c>
      <c r="C32" s="69" t="str">
        <f t="shared" si="3"/>
        <v>Blue Goanna</v>
      </c>
      <c r="D32" s="64" t="s">
        <v>624</v>
      </c>
      <c r="E32" s="69" t="str">
        <f>IFERROR(__xludf.DUMMYFUNCTION("TEXTJOIN("""", TRUE, ARRAYFORMULA(LEFT(SPLIT(C32, "" ""),1)))"),"BG")</f>
        <v>BG</v>
      </c>
      <c r="F32" s="65"/>
      <c r="G32" s="65" t="s">
        <v>618</v>
      </c>
      <c r="H32" s="65"/>
    </row>
    <row r="33">
      <c r="A33" s="80" t="str">
        <f t="shared" si="1"/>
        <v>blue-koala</v>
      </c>
      <c r="B33" s="63" t="str">
        <f>'analysis _non-RE-nodes'!A11</f>
        <v>Blue Koala</v>
      </c>
      <c r="C33" s="69" t="str">
        <f t="shared" si="3"/>
        <v>Blue Koala</v>
      </c>
      <c r="D33" s="64" t="s">
        <v>625</v>
      </c>
      <c r="E33" s="69" t="str">
        <f>IFERROR(__xludf.DUMMYFUNCTION("TEXTJOIN("""", TRUE, ARRAYFORMULA(LEFT(SPLIT(C33, "" ""),1)))"),"BK")</f>
        <v>BK</v>
      </c>
      <c r="F33" s="65"/>
      <c r="G33" s="65" t="s">
        <v>618</v>
      </c>
      <c r="H33" s="65"/>
    </row>
    <row r="34">
      <c r="A34" s="80" t="str">
        <f t="shared" si="1"/>
        <v>blue-numbat</v>
      </c>
      <c r="B34" s="63" t="str">
        <f>'analysis _non-RE-nodes'!A12</f>
        <v>Blue Numbat</v>
      </c>
      <c r="C34" s="69" t="str">
        <f t="shared" si="3"/>
        <v>Blue Numbat</v>
      </c>
      <c r="D34" s="64" t="s">
        <v>626</v>
      </c>
      <c r="E34" s="69" t="str">
        <f>IFERROR(__xludf.DUMMYFUNCTION("TEXTJOIN("""", TRUE, ARRAYFORMULA(LEFT(SPLIT(C34, "" ""),1)))"),"BN")</f>
        <v>BN</v>
      </c>
      <c r="F34" s="65"/>
      <c r="G34" s="65" t="s">
        <v>618</v>
      </c>
      <c r="H34" s="65"/>
    </row>
    <row r="35">
      <c r="A35" s="80" t="str">
        <f t="shared" si="1"/>
        <v>blue-perentie</v>
      </c>
      <c r="B35" s="63" t="str">
        <f>'analysis _non-RE-nodes'!A13</f>
        <v>Blue Perentie</v>
      </c>
      <c r="C35" s="69" t="str">
        <f t="shared" si="3"/>
        <v>Blue Perentie</v>
      </c>
      <c r="D35" s="64" t="s">
        <v>627</v>
      </c>
      <c r="E35" s="69" t="str">
        <f>IFERROR(__xludf.DUMMYFUNCTION("TEXTJOIN("""", TRUE, ARRAYFORMULA(LEFT(SPLIT(C35, "" ""),1)))"),"BP")</f>
        <v>BP</v>
      </c>
      <c r="F35" s="65"/>
      <c r="G35" s="65" t="s">
        <v>618</v>
      </c>
      <c r="H35" s="65"/>
    </row>
    <row r="36">
      <c r="A36" s="80" t="str">
        <f t="shared" si="1"/>
        <v>blue-sugar-glider</v>
      </c>
      <c r="B36" s="63" t="str">
        <f>'analysis _non-RE-nodes'!A14</f>
        <v>Blue Sugar Glider</v>
      </c>
      <c r="C36" s="69" t="str">
        <f t="shared" si="3"/>
        <v>Blue Sugar Glider</v>
      </c>
      <c r="D36" s="64" t="s">
        <v>628</v>
      </c>
      <c r="E36" s="69" t="str">
        <f>IFERROR(__xludf.DUMMYFUNCTION("TEXTJOIN("""", TRUE, ARRAYFORMULA(LEFT(SPLIT(C36, "" ""),1)))"),"BSG")</f>
        <v>BSG</v>
      </c>
      <c r="F36" s="65"/>
      <c r="G36" s="65" t="s">
        <v>618</v>
      </c>
      <c r="H36" s="65"/>
    </row>
    <row r="37">
      <c r="A37" s="80" t="str">
        <f t="shared" si="1"/>
        <v>blue-tasmanian-devil</v>
      </c>
      <c r="B37" s="63" t="str">
        <f>'analysis _non-RE-nodes'!A15</f>
        <v>Blue Tasmanian Devil</v>
      </c>
      <c r="C37" s="69" t="str">
        <f t="shared" si="3"/>
        <v>Blue Tasmanian Devil</v>
      </c>
      <c r="D37" s="64" t="s">
        <v>629</v>
      </c>
      <c r="E37" s="69" t="str">
        <f>IFERROR(__xludf.DUMMYFUNCTION("TEXTJOIN("""", TRUE, ARRAYFORMULA(LEFT(SPLIT(C37, "" ""),1)))"),"BTD")</f>
        <v>BTD</v>
      </c>
      <c r="F37" s="65"/>
      <c r="G37" s="65" t="s">
        <v>618</v>
      </c>
      <c r="H37" s="65"/>
    </row>
    <row r="38">
      <c r="A38" s="80" t="str">
        <f t="shared" si="1"/>
        <v>blue-thorny-devil</v>
      </c>
      <c r="B38" s="63" t="str">
        <f>'analysis _non-RE-nodes'!A16</f>
        <v>Blue Thorny Devil</v>
      </c>
      <c r="C38" s="69" t="str">
        <f t="shared" si="3"/>
        <v>Blue Thorny Devil</v>
      </c>
      <c r="D38" s="64" t="s">
        <v>630</v>
      </c>
      <c r="E38" s="69" t="str">
        <f>IFERROR(__xludf.DUMMYFUNCTION("TEXTJOIN("""", TRUE, ARRAYFORMULA(LEFT(SPLIT(C38, "" ""),1)))"),"BTD")</f>
        <v>BTD</v>
      </c>
      <c r="F38" s="65"/>
      <c r="G38" s="65" t="s">
        <v>618</v>
      </c>
      <c r="H38" s="65"/>
    </row>
    <row r="39">
      <c r="A39" s="80" t="str">
        <f t="shared" si="1"/>
        <v>blue-wallaby</v>
      </c>
      <c r="B39" s="63" t="str">
        <f>'analysis _non-RE-nodes'!A17</f>
        <v>Blue Wallaby</v>
      </c>
      <c r="C39" s="69" t="str">
        <f t="shared" si="3"/>
        <v>Blue Wallaby</v>
      </c>
      <c r="D39" s="64" t="s">
        <v>631</v>
      </c>
      <c r="E39" s="69" t="str">
        <f>IFERROR(__xludf.DUMMYFUNCTION("TEXTJOIN("""", TRUE, ARRAYFORMULA(LEFT(SPLIT(C39, "" ""),1)))"),"BW")</f>
        <v>BW</v>
      </c>
      <c r="F39" s="65"/>
      <c r="G39" s="65" t="s">
        <v>618</v>
      </c>
      <c r="H39" s="65"/>
    </row>
    <row r="40">
      <c r="A40" s="80" t="str">
        <f t="shared" si="1"/>
        <v>brave-bandicoot</v>
      </c>
      <c r="B40" s="63" t="str">
        <f>'analysis _non-RE-nodes'!A18</f>
        <v>Brave Bandicoot</v>
      </c>
      <c r="C40" s="69" t="str">
        <f t="shared" si="3"/>
        <v>Brave Bandicoot</v>
      </c>
      <c r="D40" s="64" t="s">
        <v>632</v>
      </c>
      <c r="E40" s="69" t="str">
        <f>IFERROR(__xludf.DUMMYFUNCTION("TEXTJOIN("""", TRUE, ARRAYFORMULA(LEFT(SPLIT(C40, "" ""),1)))"),"BB")</f>
        <v>BB</v>
      </c>
      <c r="F40" s="65"/>
      <c r="G40" s="65" t="s">
        <v>618</v>
      </c>
      <c r="H40" s="65"/>
    </row>
    <row r="41">
      <c r="A41" s="80" t="str">
        <f t="shared" si="1"/>
        <v>brave-bilby</v>
      </c>
      <c r="B41" s="63" t="str">
        <f>'analysis _non-RE-nodes'!A19</f>
        <v>Brave Bilby</v>
      </c>
      <c r="C41" s="69" t="str">
        <f t="shared" si="3"/>
        <v>Brave Bilby</v>
      </c>
      <c r="D41" s="64" t="s">
        <v>633</v>
      </c>
      <c r="E41" s="69" t="str">
        <f>IFERROR(__xludf.DUMMYFUNCTION("TEXTJOIN("""", TRUE, ARRAYFORMULA(LEFT(SPLIT(C41, "" ""),1)))"),"BB")</f>
        <v>BB</v>
      </c>
      <c r="F41" s="65"/>
      <c r="G41" s="65" t="s">
        <v>618</v>
      </c>
      <c r="H41" s="65"/>
    </row>
    <row r="42">
      <c r="A42" s="80" t="str">
        <f t="shared" si="1"/>
        <v>brave-bush-stone-curlew</v>
      </c>
      <c r="B42" s="63" t="str">
        <f>'analysis _non-RE-nodes'!A20</f>
        <v>Brave Bush Stone-curlew</v>
      </c>
      <c r="C42" s="69" t="str">
        <f t="shared" si="3"/>
        <v>Brave Bush Stone-curlew</v>
      </c>
      <c r="D42" s="64" t="s">
        <v>634</v>
      </c>
      <c r="E42" s="69" t="str">
        <f>IFERROR(__xludf.DUMMYFUNCTION("TEXTJOIN("""", TRUE, ARRAYFORMULA(LEFT(SPLIT(C42, "" ""),1)))"),"BBS")</f>
        <v>BBS</v>
      </c>
      <c r="F42" s="65"/>
      <c r="G42" s="65" t="s">
        <v>618</v>
      </c>
      <c r="H42" s="65"/>
    </row>
    <row r="43">
      <c r="A43" s="80" t="str">
        <f t="shared" si="1"/>
        <v>brave-cockatoo</v>
      </c>
      <c r="B43" s="63" t="str">
        <f>'analysis _non-RE-nodes'!A21</f>
        <v>Brave Cockatoo</v>
      </c>
      <c r="C43" s="69" t="str">
        <f t="shared" si="3"/>
        <v>Brave Cockatoo</v>
      </c>
      <c r="D43" s="64" t="s">
        <v>635</v>
      </c>
      <c r="E43" s="69" t="str">
        <f>IFERROR(__xludf.DUMMYFUNCTION("TEXTJOIN("""", TRUE, ARRAYFORMULA(LEFT(SPLIT(C43, "" ""),1)))"),"BC")</f>
        <v>BC</v>
      </c>
      <c r="F43" s="65"/>
      <c r="G43" s="65" t="s">
        <v>618</v>
      </c>
      <c r="H43" s="65"/>
    </row>
    <row r="44">
      <c r="A44" s="80" t="str">
        <f t="shared" si="1"/>
        <v>brave-kookaburra</v>
      </c>
      <c r="B44" s="63" t="str">
        <f>'analysis _non-RE-nodes'!A22</f>
        <v>Brave Kookaburra</v>
      </c>
      <c r="C44" s="69" t="str">
        <f t="shared" si="3"/>
        <v>Brave Kookaburra</v>
      </c>
      <c r="D44" s="64" t="s">
        <v>636</v>
      </c>
      <c r="E44" s="69" t="str">
        <f>IFERROR(__xludf.DUMMYFUNCTION("TEXTJOIN("""", TRUE, ARRAYFORMULA(LEFT(SPLIT(C44, "" ""),1)))"),"BK")</f>
        <v>BK</v>
      </c>
      <c r="F44" s="65"/>
      <c r="G44" s="65" t="s">
        <v>618</v>
      </c>
      <c r="H44" s="65"/>
    </row>
    <row r="45">
      <c r="A45" s="80" t="str">
        <f t="shared" si="1"/>
        <v>brave-perentie</v>
      </c>
      <c r="B45" s="63" t="str">
        <f>'analysis _non-RE-nodes'!A23</f>
        <v>Brave Perentie</v>
      </c>
      <c r="C45" s="69" t="str">
        <f t="shared" si="3"/>
        <v>Brave Perentie</v>
      </c>
      <c r="D45" s="64" t="s">
        <v>637</v>
      </c>
      <c r="E45" s="69" t="str">
        <f>IFERROR(__xludf.DUMMYFUNCTION("TEXTJOIN("""", TRUE, ARRAYFORMULA(LEFT(SPLIT(C45, "" ""),1)))"),"BP")</f>
        <v>BP</v>
      </c>
      <c r="F45" s="65"/>
      <c r="G45" s="65" t="s">
        <v>618</v>
      </c>
      <c r="H45" s="65"/>
    </row>
    <row r="46">
      <c r="A46" s="80" t="str">
        <f t="shared" si="1"/>
        <v>brave-platypus</v>
      </c>
      <c r="B46" s="63" t="str">
        <f>'analysis _non-RE-nodes'!A24</f>
        <v>Brave Platypus</v>
      </c>
      <c r="C46" s="69" t="str">
        <f t="shared" si="3"/>
        <v>Brave Platypus</v>
      </c>
      <c r="D46" s="64" t="s">
        <v>638</v>
      </c>
      <c r="E46" s="69" t="str">
        <f>IFERROR(__xludf.DUMMYFUNCTION("TEXTJOIN("""", TRUE, ARRAYFORMULA(LEFT(SPLIT(C46, "" ""),1)))"),"BP")</f>
        <v>BP</v>
      </c>
      <c r="F46" s="65"/>
      <c r="G46" s="65" t="s">
        <v>618</v>
      </c>
      <c r="H46" s="65"/>
    </row>
    <row r="47">
      <c r="A47" s="80" t="str">
        <f t="shared" si="1"/>
        <v>brave-quokka</v>
      </c>
      <c r="B47" s="63" t="str">
        <f>'analysis _non-RE-nodes'!A25</f>
        <v>Brave Quokka</v>
      </c>
      <c r="C47" s="69" t="str">
        <f t="shared" si="3"/>
        <v>Brave Quokka</v>
      </c>
      <c r="D47" s="64" t="s">
        <v>639</v>
      </c>
      <c r="E47" s="69" t="str">
        <f>IFERROR(__xludf.DUMMYFUNCTION("TEXTJOIN("""", TRUE, ARRAYFORMULA(LEFT(SPLIT(C47, "" ""),1)))"),"BQ")</f>
        <v>BQ</v>
      </c>
      <c r="F47" s="65"/>
      <c r="G47" s="65" t="s">
        <v>618</v>
      </c>
      <c r="H47" s="65"/>
    </row>
    <row r="48">
      <c r="A48" s="80" t="str">
        <f t="shared" si="1"/>
        <v>brave-sugar-glider</v>
      </c>
      <c r="B48" s="63" t="str">
        <f>'analysis _non-RE-nodes'!A26</f>
        <v>Brave Sugar Glider</v>
      </c>
      <c r="C48" s="69" t="str">
        <f t="shared" si="3"/>
        <v>Brave Sugar Glider</v>
      </c>
      <c r="D48" s="64" t="s">
        <v>640</v>
      </c>
      <c r="E48" s="69" t="str">
        <f>IFERROR(__xludf.DUMMYFUNCTION("TEXTJOIN("""", TRUE, ARRAYFORMULA(LEFT(SPLIT(C48, "" ""),1)))"),"BSG")</f>
        <v>BSG</v>
      </c>
      <c r="F48" s="65"/>
      <c r="G48" s="65" t="s">
        <v>618</v>
      </c>
      <c r="H48" s="65"/>
    </row>
    <row r="49">
      <c r="A49" s="80" t="str">
        <f t="shared" si="1"/>
        <v>brave-tasmanian-devil</v>
      </c>
      <c r="B49" s="63" t="str">
        <f>'analysis _non-RE-nodes'!A27</f>
        <v>Brave Tasmanian Devil</v>
      </c>
      <c r="C49" s="69" t="str">
        <f t="shared" si="3"/>
        <v>Brave Tasmanian Devil</v>
      </c>
      <c r="D49" s="64" t="s">
        <v>641</v>
      </c>
      <c r="E49" s="69" t="str">
        <f>IFERROR(__xludf.DUMMYFUNCTION("TEXTJOIN("""", TRUE, ARRAYFORMULA(LEFT(SPLIT(C49, "" ""),1)))"),"BTD")</f>
        <v>BTD</v>
      </c>
      <c r="F49" s="65"/>
      <c r="G49" s="65" t="s">
        <v>618</v>
      </c>
      <c r="H49" s="65"/>
    </row>
    <row r="50">
      <c r="A50" s="80" t="str">
        <f t="shared" si="1"/>
        <v>clever-blue-tongue-skink</v>
      </c>
      <c r="B50" s="63" t="str">
        <f>'analysis _non-RE-nodes'!A28</f>
        <v>Clever Blue-tongue Skink</v>
      </c>
      <c r="C50" s="69" t="str">
        <f t="shared" si="3"/>
        <v>Clever Blue-tongue Skink</v>
      </c>
      <c r="D50" s="64" t="s">
        <v>642</v>
      </c>
      <c r="E50" s="69" t="str">
        <f>IFERROR(__xludf.DUMMYFUNCTION("TEXTJOIN("""", TRUE, ARRAYFORMULA(LEFT(SPLIT(C50, "" ""),1)))"),"CBS")</f>
        <v>CBS</v>
      </c>
      <c r="F50" s="65"/>
      <c r="G50" s="65" t="s">
        <v>618</v>
      </c>
      <c r="H50" s="65"/>
    </row>
    <row r="51">
      <c r="A51" s="80" t="str">
        <f t="shared" si="1"/>
        <v>clever-bush-stone-curlew</v>
      </c>
      <c r="B51" s="63" t="str">
        <f>'analysis _non-RE-nodes'!A29</f>
        <v>Clever Bush Stone-curlew</v>
      </c>
      <c r="C51" s="69" t="str">
        <f t="shared" si="3"/>
        <v>Clever Bush Stone-curlew</v>
      </c>
      <c r="D51" s="64" t="s">
        <v>643</v>
      </c>
      <c r="E51" s="69" t="str">
        <f>IFERROR(__xludf.DUMMYFUNCTION("TEXTJOIN("""", TRUE, ARRAYFORMULA(LEFT(SPLIT(C51, "" ""),1)))"),"CBS")</f>
        <v>CBS</v>
      </c>
      <c r="F51" s="65"/>
      <c r="G51" s="65" t="s">
        <v>618</v>
      </c>
      <c r="H51" s="65"/>
    </row>
    <row r="52">
      <c r="A52" s="80" t="str">
        <f t="shared" si="1"/>
        <v>clever-emu</v>
      </c>
      <c r="B52" s="63" t="str">
        <f>'analysis _non-RE-nodes'!A30</f>
        <v>Clever Emu</v>
      </c>
      <c r="C52" s="69" t="str">
        <f t="shared" si="3"/>
        <v>Clever Emu</v>
      </c>
      <c r="D52" s="64" t="s">
        <v>644</v>
      </c>
      <c r="E52" s="69" t="str">
        <f>IFERROR(__xludf.DUMMYFUNCTION("TEXTJOIN("""", TRUE, ARRAYFORMULA(LEFT(SPLIT(C52, "" ""),1)))"),"CE")</f>
        <v>CE</v>
      </c>
      <c r="F52" s="65"/>
      <c r="G52" s="65" t="s">
        <v>618</v>
      </c>
      <c r="H52" s="65"/>
    </row>
    <row r="53">
      <c r="A53" s="80" t="str">
        <f t="shared" si="1"/>
        <v>clever-goanna</v>
      </c>
      <c r="B53" s="63" t="str">
        <f>'analysis _non-RE-nodes'!A31</f>
        <v>Clever Goanna</v>
      </c>
      <c r="C53" s="69" t="str">
        <f t="shared" si="3"/>
        <v>Clever Goanna</v>
      </c>
      <c r="D53" s="64" t="s">
        <v>645</v>
      </c>
      <c r="E53" s="69" t="str">
        <f>IFERROR(__xludf.DUMMYFUNCTION("TEXTJOIN("""", TRUE, ARRAYFORMULA(LEFT(SPLIT(C53, "" ""),1)))"),"CG")</f>
        <v>CG</v>
      </c>
      <c r="F53" s="65"/>
      <c r="G53" s="65" t="s">
        <v>618</v>
      </c>
      <c r="H53" s="65"/>
    </row>
    <row r="54">
      <c r="A54" s="80" t="str">
        <f t="shared" si="1"/>
        <v>clever-kangaroo</v>
      </c>
      <c r="B54" s="63" t="str">
        <f>'analysis _non-RE-nodes'!A32</f>
        <v>Clever Kangaroo</v>
      </c>
      <c r="C54" s="69" t="str">
        <f t="shared" si="3"/>
        <v>Clever Kangaroo</v>
      </c>
      <c r="D54" s="64" t="s">
        <v>646</v>
      </c>
      <c r="E54" s="69" t="str">
        <f>IFERROR(__xludf.DUMMYFUNCTION("TEXTJOIN("""", TRUE, ARRAYFORMULA(LEFT(SPLIT(C54, "" ""),1)))"),"CK")</f>
        <v>CK</v>
      </c>
      <c r="F54" s="65"/>
      <c r="G54" s="65" t="s">
        <v>618</v>
      </c>
      <c r="H54" s="65"/>
    </row>
    <row r="55">
      <c r="A55" s="80" t="str">
        <f t="shared" si="1"/>
        <v>clever-koala</v>
      </c>
      <c r="B55" s="63" t="str">
        <f>'analysis _non-RE-nodes'!A33</f>
        <v>Clever Koala</v>
      </c>
      <c r="C55" s="69" t="str">
        <f t="shared" si="3"/>
        <v>Clever Koala</v>
      </c>
      <c r="D55" s="64" t="s">
        <v>647</v>
      </c>
      <c r="E55" s="69" t="str">
        <f>IFERROR(__xludf.DUMMYFUNCTION("TEXTJOIN("""", TRUE, ARRAYFORMULA(LEFT(SPLIT(C55, "" ""),1)))"),"CK")</f>
        <v>CK</v>
      </c>
      <c r="F55" s="65"/>
      <c r="G55" s="65" t="s">
        <v>618</v>
      </c>
      <c r="H55" s="65"/>
    </row>
    <row r="56">
      <c r="A56" s="80" t="str">
        <f t="shared" si="1"/>
        <v>clever-perentie</v>
      </c>
      <c r="B56" s="63" t="str">
        <f>'analysis _non-RE-nodes'!A34</f>
        <v>Clever Perentie</v>
      </c>
      <c r="C56" s="69" t="str">
        <f t="shared" si="3"/>
        <v>Clever Perentie</v>
      </c>
      <c r="D56" s="64" t="s">
        <v>648</v>
      </c>
      <c r="E56" s="69" t="str">
        <f>IFERROR(__xludf.DUMMYFUNCTION("TEXTJOIN("""", TRUE, ARRAYFORMULA(LEFT(SPLIT(C56, "" ""),1)))"),"CP")</f>
        <v>CP</v>
      </c>
      <c r="F56" s="65"/>
      <c r="G56" s="65" t="s">
        <v>618</v>
      </c>
      <c r="H56" s="65"/>
    </row>
    <row r="57">
      <c r="A57" s="80" t="str">
        <f t="shared" si="1"/>
        <v>clever-quokka</v>
      </c>
      <c r="B57" s="63" t="str">
        <f>'analysis _non-RE-nodes'!A35</f>
        <v>Clever Quokka</v>
      </c>
      <c r="C57" s="69" t="str">
        <f t="shared" si="3"/>
        <v>Clever Quokka</v>
      </c>
      <c r="D57" s="64" t="s">
        <v>649</v>
      </c>
      <c r="E57" s="69" t="str">
        <f>IFERROR(__xludf.DUMMYFUNCTION("TEXTJOIN("""", TRUE, ARRAYFORMULA(LEFT(SPLIT(C57, "" ""),1)))"),"CQ")</f>
        <v>CQ</v>
      </c>
      <c r="F57" s="65"/>
      <c r="G57" s="65" t="s">
        <v>618</v>
      </c>
      <c r="H57" s="65"/>
    </row>
    <row r="58">
      <c r="A58" s="80" t="str">
        <f t="shared" si="1"/>
        <v>clever-sugar-glider</v>
      </c>
      <c r="B58" s="63" t="str">
        <f>'analysis _non-RE-nodes'!A36</f>
        <v>Clever Sugar Glider</v>
      </c>
      <c r="C58" s="69" t="str">
        <f t="shared" si="3"/>
        <v>Clever Sugar Glider</v>
      </c>
      <c r="D58" s="64" t="s">
        <v>650</v>
      </c>
      <c r="E58" s="69" t="str">
        <f>IFERROR(__xludf.DUMMYFUNCTION("TEXTJOIN("""", TRUE, ARRAYFORMULA(LEFT(SPLIT(C58, "" ""),1)))"),"CSG")</f>
        <v>CSG</v>
      </c>
      <c r="F58" s="65"/>
      <c r="G58" s="65" t="s">
        <v>618</v>
      </c>
      <c r="H58" s="65"/>
    </row>
    <row r="59">
      <c r="A59" s="80" t="str">
        <f t="shared" si="1"/>
        <v>clever-tree-kangaroo</v>
      </c>
      <c r="B59" s="63" t="str">
        <f>'analysis _non-RE-nodes'!A37</f>
        <v>Clever Tree Kangaroo</v>
      </c>
      <c r="C59" s="69" t="str">
        <f t="shared" si="3"/>
        <v>Clever Tree Kangaroo</v>
      </c>
      <c r="D59" s="64" t="s">
        <v>651</v>
      </c>
      <c r="E59" s="69" t="str">
        <f>IFERROR(__xludf.DUMMYFUNCTION("TEXTJOIN("""", TRUE, ARRAYFORMULA(LEFT(SPLIT(C59, "" ""),1)))"),"CTK")</f>
        <v>CTK</v>
      </c>
      <c r="F59" s="65"/>
      <c r="G59" s="65" t="s">
        <v>618</v>
      </c>
      <c r="H59" s="65"/>
    </row>
    <row r="60">
      <c r="A60" s="80" t="str">
        <f t="shared" si="1"/>
        <v>fuzzy-cassowary</v>
      </c>
      <c r="B60" s="63" t="str">
        <f>'analysis _non-RE-nodes'!A38</f>
        <v>Fuzzy Cassowary</v>
      </c>
      <c r="C60" s="69" t="str">
        <f t="shared" si="3"/>
        <v>Fuzzy Cassowary</v>
      </c>
      <c r="D60" s="64" t="s">
        <v>652</v>
      </c>
      <c r="E60" s="69" t="str">
        <f>IFERROR(__xludf.DUMMYFUNCTION("TEXTJOIN("""", TRUE, ARRAYFORMULA(LEFT(SPLIT(C60, "" ""),1)))"),"FC")</f>
        <v>FC</v>
      </c>
      <c r="F60" s="65"/>
      <c r="G60" s="65" t="s">
        <v>618</v>
      </c>
      <c r="H60" s="65"/>
    </row>
    <row r="61">
      <c r="A61" s="80" t="str">
        <f t="shared" si="1"/>
        <v>fuzzy-echidna</v>
      </c>
      <c r="B61" s="63" t="str">
        <f>'analysis _non-RE-nodes'!A39</f>
        <v>Fuzzy Echidna</v>
      </c>
      <c r="C61" s="69" t="str">
        <f t="shared" si="3"/>
        <v>Fuzzy Echidna</v>
      </c>
      <c r="D61" s="64" t="s">
        <v>653</v>
      </c>
      <c r="E61" s="69" t="str">
        <f>IFERROR(__xludf.DUMMYFUNCTION("TEXTJOIN("""", TRUE, ARRAYFORMULA(LEFT(SPLIT(C61, "" ""),1)))"),"FE")</f>
        <v>FE</v>
      </c>
      <c r="F61" s="65"/>
      <c r="G61" s="65" t="s">
        <v>618</v>
      </c>
      <c r="H61" s="65"/>
    </row>
    <row r="62">
      <c r="A62" s="80" t="str">
        <f t="shared" si="1"/>
        <v>fuzzy-fairy-penguin</v>
      </c>
      <c r="B62" s="63" t="str">
        <f>'analysis _non-RE-nodes'!A40</f>
        <v>Fuzzy Fairy Penguin</v>
      </c>
      <c r="C62" s="69" t="str">
        <f t="shared" si="3"/>
        <v>Fuzzy Fairy Penguin</v>
      </c>
      <c r="D62" s="64" t="s">
        <v>654</v>
      </c>
      <c r="E62" s="69" t="str">
        <f>IFERROR(__xludf.DUMMYFUNCTION("TEXTJOIN("""", TRUE, ARRAYFORMULA(LEFT(SPLIT(C62, "" ""),1)))"),"FFP")</f>
        <v>FFP</v>
      </c>
      <c r="F62" s="65"/>
      <c r="G62" s="65" t="s">
        <v>618</v>
      </c>
      <c r="H62" s="65"/>
    </row>
    <row r="63">
      <c r="A63" s="80" t="str">
        <f t="shared" si="1"/>
        <v>fuzzy-goanna</v>
      </c>
      <c r="B63" s="63" t="str">
        <f>'analysis _non-RE-nodes'!A41</f>
        <v>Fuzzy Goanna</v>
      </c>
      <c r="C63" s="69" t="str">
        <f t="shared" si="3"/>
        <v>Fuzzy Goanna</v>
      </c>
      <c r="D63" s="64" t="s">
        <v>655</v>
      </c>
      <c r="E63" s="69" t="str">
        <f>IFERROR(__xludf.DUMMYFUNCTION("TEXTJOIN("""", TRUE, ARRAYFORMULA(LEFT(SPLIT(C63, "" ""),1)))"),"FG")</f>
        <v>FG</v>
      </c>
      <c r="F63" s="65"/>
      <c r="G63" s="65" t="s">
        <v>618</v>
      </c>
      <c r="H63" s="65"/>
    </row>
    <row r="64">
      <c r="A64" s="80" t="str">
        <f t="shared" si="1"/>
        <v>fuzzy-kangaroo</v>
      </c>
      <c r="B64" s="63" t="str">
        <f>'analysis _non-RE-nodes'!A42</f>
        <v>Fuzzy Kangaroo</v>
      </c>
      <c r="C64" s="69" t="str">
        <f t="shared" si="3"/>
        <v>Fuzzy Kangaroo</v>
      </c>
      <c r="D64" s="64" t="s">
        <v>656</v>
      </c>
      <c r="E64" s="69" t="str">
        <f>IFERROR(__xludf.DUMMYFUNCTION("TEXTJOIN("""", TRUE, ARRAYFORMULA(LEFT(SPLIT(C64, "" ""),1)))"),"FK")</f>
        <v>FK</v>
      </c>
      <c r="F64" s="65"/>
      <c r="G64" s="65" t="s">
        <v>618</v>
      </c>
      <c r="H64" s="65"/>
    </row>
    <row r="65">
      <c r="A65" s="80" t="str">
        <f t="shared" si="1"/>
        <v>fuzzy-koala</v>
      </c>
      <c r="B65" s="63" t="str">
        <f>'analysis _non-RE-nodes'!A43</f>
        <v>Fuzzy Koala</v>
      </c>
      <c r="C65" s="69" t="str">
        <f t="shared" si="3"/>
        <v>Fuzzy Koala</v>
      </c>
      <c r="D65" s="64" t="s">
        <v>657</v>
      </c>
      <c r="E65" s="69" t="str">
        <f>IFERROR(__xludf.DUMMYFUNCTION("TEXTJOIN("""", TRUE, ARRAYFORMULA(LEFT(SPLIT(C65, "" ""),1)))"),"FK")</f>
        <v>FK</v>
      </c>
      <c r="F65" s="65"/>
      <c r="G65" s="65" t="s">
        <v>618</v>
      </c>
      <c r="H65" s="65"/>
    </row>
    <row r="66">
      <c r="A66" s="80" t="str">
        <f t="shared" si="1"/>
        <v>fuzzy-lyrebird</v>
      </c>
      <c r="B66" s="63" t="str">
        <f>'analysis _non-RE-nodes'!A44</f>
        <v>Fuzzy Lyrebird</v>
      </c>
      <c r="C66" s="69" t="str">
        <f t="shared" si="3"/>
        <v>Fuzzy Lyrebird</v>
      </c>
      <c r="D66" s="64" t="s">
        <v>658</v>
      </c>
      <c r="E66" s="69" t="str">
        <f>IFERROR(__xludf.DUMMYFUNCTION("TEXTJOIN("""", TRUE, ARRAYFORMULA(LEFT(SPLIT(C66, "" ""),1)))"),"FL")</f>
        <v>FL</v>
      </c>
      <c r="F66" s="65"/>
      <c r="G66" s="65" t="s">
        <v>618</v>
      </c>
      <c r="H66" s="65"/>
    </row>
    <row r="67">
      <c r="A67" s="80" t="str">
        <f t="shared" si="1"/>
        <v>fuzzy-platypus</v>
      </c>
      <c r="B67" s="63" t="str">
        <f>'analysis _non-RE-nodes'!A45</f>
        <v>Fuzzy Platypus</v>
      </c>
      <c r="C67" s="69" t="str">
        <f t="shared" si="3"/>
        <v>Fuzzy Platypus</v>
      </c>
      <c r="D67" s="64" t="s">
        <v>659</v>
      </c>
      <c r="E67" s="69" t="str">
        <f>IFERROR(__xludf.DUMMYFUNCTION("TEXTJOIN("""", TRUE, ARRAYFORMULA(LEFT(SPLIT(C67, "" ""),1)))"),"FP")</f>
        <v>FP</v>
      </c>
      <c r="F67" s="65"/>
      <c r="G67" s="65" t="s">
        <v>618</v>
      </c>
      <c r="H67" s="65"/>
    </row>
    <row r="68">
      <c r="A68" s="80" t="str">
        <f t="shared" si="1"/>
        <v>fuzzy-quokka</v>
      </c>
      <c r="B68" s="63" t="str">
        <f>'analysis _non-RE-nodes'!A46</f>
        <v>Fuzzy Quokka</v>
      </c>
      <c r="C68" s="69" t="str">
        <f t="shared" si="3"/>
        <v>Fuzzy Quokka</v>
      </c>
      <c r="D68" s="64" t="s">
        <v>660</v>
      </c>
      <c r="E68" s="69" t="str">
        <f>IFERROR(__xludf.DUMMYFUNCTION("TEXTJOIN("""", TRUE, ARRAYFORMULA(LEFT(SPLIT(C68, "" ""),1)))"),"FQ")</f>
        <v>FQ</v>
      </c>
      <c r="F68" s="65"/>
      <c r="G68" s="65" t="s">
        <v>618</v>
      </c>
      <c r="H68" s="65"/>
    </row>
    <row r="69">
      <c r="A69" s="80" t="str">
        <f t="shared" si="1"/>
        <v>fuzzy-redback-spider</v>
      </c>
      <c r="B69" s="63" t="str">
        <f>'analysis _non-RE-nodes'!A47</f>
        <v>Fuzzy Redback Spider</v>
      </c>
      <c r="C69" s="69" t="str">
        <f t="shared" si="3"/>
        <v>Fuzzy Redback Spider</v>
      </c>
      <c r="D69" s="64" t="s">
        <v>661</v>
      </c>
      <c r="E69" s="69" t="str">
        <f>IFERROR(__xludf.DUMMYFUNCTION("TEXTJOIN("""", TRUE, ARRAYFORMULA(LEFT(SPLIT(C69, "" ""),1)))"),"FRS")</f>
        <v>FRS</v>
      </c>
      <c r="F69" s="65"/>
      <c r="G69" s="65" t="s">
        <v>618</v>
      </c>
      <c r="H69" s="65"/>
    </row>
    <row r="70">
      <c r="A70" s="80" t="str">
        <f t="shared" si="1"/>
        <v>fuzzy-wallaby</v>
      </c>
      <c r="B70" s="63" t="str">
        <f>'analysis _non-RE-nodes'!A48</f>
        <v>Fuzzy Wallaby</v>
      </c>
      <c r="C70" s="69" t="str">
        <f t="shared" si="3"/>
        <v>Fuzzy Wallaby</v>
      </c>
      <c r="D70" s="64" t="s">
        <v>662</v>
      </c>
      <c r="E70" s="69" t="str">
        <f>IFERROR(__xludf.DUMMYFUNCTION("TEXTJOIN("""", TRUE, ARRAYFORMULA(LEFT(SPLIT(C70, "" ""),1)))"),"FW")</f>
        <v>FW</v>
      </c>
      <c r="F70" s="65"/>
      <c r="G70" s="65" t="s">
        <v>618</v>
      </c>
      <c r="H70" s="65"/>
    </row>
    <row r="71">
      <c r="A71" s="80" t="str">
        <f t="shared" si="1"/>
        <v>fuzzy-wombat</v>
      </c>
      <c r="B71" s="63" t="str">
        <f>'analysis _non-RE-nodes'!A49</f>
        <v>Fuzzy Wombat</v>
      </c>
      <c r="C71" s="69" t="str">
        <f t="shared" si="3"/>
        <v>Fuzzy Wombat</v>
      </c>
      <c r="D71" s="64" t="s">
        <v>663</v>
      </c>
      <c r="E71" s="69" t="str">
        <f>IFERROR(__xludf.DUMMYFUNCTION("TEXTJOIN("""", TRUE, ARRAYFORMULA(LEFT(SPLIT(C71, "" ""),1)))"),"FW")</f>
        <v>FW</v>
      </c>
      <c r="F71" s="65"/>
      <c r="G71" s="65" t="s">
        <v>618</v>
      </c>
      <c r="H71" s="65"/>
    </row>
    <row r="72">
      <c r="A72" s="80" t="str">
        <f t="shared" si="1"/>
        <v>giant-blue-tongue-skink</v>
      </c>
      <c r="B72" s="63" t="str">
        <f>'analysis _non-RE-nodes'!A50</f>
        <v>Giant Blue-tongue Skink</v>
      </c>
      <c r="C72" s="69" t="str">
        <f t="shared" si="3"/>
        <v>Giant Blue-tongue Skink</v>
      </c>
      <c r="D72" s="64" t="s">
        <v>664</v>
      </c>
      <c r="E72" s="69" t="str">
        <f>IFERROR(__xludf.DUMMYFUNCTION("TEXTJOIN("""", TRUE, ARRAYFORMULA(LEFT(SPLIT(C72, "" ""),1)))"),"GBS")</f>
        <v>GBS</v>
      </c>
      <c r="F72" s="65"/>
      <c r="G72" s="65" t="s">
        <v>618</v>
      </c>
      <c r="H72" s="65"/>
    </row>
    <row r="73">
      <c r="A73" s="80" t="str">
        <f t="shared" si="1"/>
        <v>giant-bush-stone-curlew</v>
      </c>
      <c r="B73" s="63" t="str">
        <f>'analysis _non-RE-nodes'!A51</f>
        <v>Giant Bush Stone-curlew</v>
      </c>
      <c r="C73" s="69" t="str">
        <f t="shared" si="3"/>
        <v>Giant Bush Stone-curlew</v>
      </c>
      <c r="D73" s="64" t="s">
        <v>665</v>
      </c>
      <c r="E73" s="69" t="str">
        <f>IFERROR(__xludf.DUMMYFUNCTION("TEXTJOIN("""", TRUE, ARRAYFORMULA(LEFT(SPLIT(C73, "" ""),1)))"),"GBS")</f>
        <v>GBS</v>
      </c>
      <c r="F73" s="65"/>
      <c r="G73" s="65" t="s">
        <v>618</v>
      </c>
      <c r="H73" s="65"/>
    </row>
    <row r="74">
      <c r="A74" s="80" t="str">
        <f t="shared" si="1"/>
        <v>giant-cockatoo</v>
      </c>
      <c r="B74" s="63" t="str">
        <f>'analysis _non-RE-nodes'!A52</f>
        <v>Giant Cockatoo</v>
      </c>
      <c r="C74" s="69" t="str">
        <f t="shared" si="3"/>
        <v>Giant Cockatoo</v>
      </c>
      <c r="D74" s="64" t="s">
        <v>666</v>
      </c>
      <c r="E74" s="69" t="str">
        <f>IFERROR(__xludf.DUMMYFUNCTION("TEXTJOIN("""", TRUE, ARRAYFORMULA(LEFT(SPLIT(C74, "" ""),1)))"),"GC")</f>
        <v>GC</v>
      </c>
      <c r="F74" s="65"/>
      <c r="G74" s="65" t="s">
        <v>618</v>
      </c>
      <c r="H74" s="65"/>
    </row>
    <row r="75">
      <c r="A75" s="80" t="str">
        <f t="shared" si="1"/>
        <v>giant-dingo</v>
      </c>
      <c r="B75" s="63" t="str">
        <f>'analysis _non-RE-nodes'!A53</f>
        <v>Giant Dingo</v>
      </c>
      <c r="C75" s="69" t="str">
        <f t="shared" si="3"/>
        <v>Giant Dingo</v>
      </c>
      <c r="D75" s="64" t="s">
        <v>667</v>
      </c>
      <c r="E75" s="69" t="str">
        <f>IFERROR(__xludf.DUMMYFUNCTION("TEXTJOIN("""", TRUE, ARRAYFORMULA(LEFT(SPLIT(C75, "" ""),1)))"),"GD")</f>
        <v>GD</v>
      </c>
      <c r="F75" s="65"/>
      <c r="G75" s="65" t="s">
        <v>618</v>
      </c>
      <c r="H75" s="65"/>
    </row>
    <row r="76">
      <c r="A76" s="80" t="str">
        <f t="shared" si="1"/>
        <v>giant-emu</v>
      </c>
      <c r="B76" s="63" t="str">
        <f>'analysis _non-RE-nodes'!A54</f>
        <v>Giant Emu</v>
      </c>
      <c r="C76" s="69" t="str">
        <f t="shared" si="3"/>
        <v>Giant Emu</v>
      </c>
      <c r="D76" s="64" t="s">
        <v>668</v>
      </c>
      <c r="E76" s="69" t="str">
        <f>IFERROR(__xludf.DUMMYFUNCTION("TEXTJOIN("""", TRUE, ARRAYFORMULA(LEFT(SPLIT(C76, "" ""),1)))"),"GE")</f>
        <v>GE</v>
      </c>
      <c r="F76" s="65"/>
      <c r="G76" s="65" t="s">
        <v>618</v>
      </c>
      <c r="H76" s="65"/>
    </row>
    <row r="77">
      <c r="A77" s="80" t="str">
        <f t="shared" si="1"/>
        <v>giant-platypus</v>
      </c>
      <c r="B77" s="63" t="str">
        <f>'analysis _non-RE-nodes'!A55</f>
        <v>Giant Platypus</v>
      </c>
      <c r="C77" s="69" t="str">
        <f t="shared" si="3"/>
        <v>Giant Platypus</v>
      </c>
      <c r="D77" s="64" t="s">
        <v>669</v>
      </c>
      <c r="E77" s="69" t="str">
        <f>IFERROR(__xludf.DUMMYFUNCTION("TEXTJOIN("""", TRUE, ARRAYFORMULA(LEFT(SPLIT(C77, "" ""),1)))"),"GP")</f>
        <v>GP</v>
      </c>
      <c r="F77" s="65"/>
      <c r="G77" s="65" t="s">
        <v>618</v>
      </c>
      <c r="H77" s="65"/>
    </row>
    <row r="78">
      <c r="A78" s="80" t="str">
        <f t="shared" si="1"/>
        <v>giant-quokka</v>
      </c>
      <c r="B78" s="63" t="str">
        <f>'analysis _non-RE-nodes'!A56</f>
        <v>Giant Quokka</v>
      </c>
      <c r="C78" s="69" t="str">
        <f t="shared" si="3"/>
        <v>Giant Quokka</v>
      </c>
      <c r="D78" s="64" t="s">
        <v>670</v>
      </c>
      <c r="E78" s="69" t="str">
        <f>IFERROR(__xludf.DUMMYFUNCTION("TEXTJOIN("""", TRUE, ARRAYFORMULA(LEFT(SPLIT(C78, "" ""),1)))"),"GQ")</f>
        <v>GQ</v>
      </c>
      <c r="F78" s="65"/>
      <c r="G78" s="65" t="s">
        <v>618</v>
      </c>
      <c r="H78" s="65"/>
    </row>
    <row r="79">
      <c r="A79" s="80" t="str">
        <f t="shared" si="1"/>
        <v>giant-redback-spider</v>
      </c>
      <c r="B79" s="63" t="str">
        <f>'analysis _non-RE-nodes'!A57</f>
        <v>Giant Redback Spider</v>
      </c>
      <c r="C79" s="69" t="str">
        <f t="shared" si="3"/>
        <v>Giant Redback Spider</v>
      </c>
      <c r="D79" s="64" t="s">
        <v>671</v>
      </c>
      <c r="E79" s="69" t="str">
        <f>IFERROR(__xludf.DUMMYFUNCTION("TEXTJOIN("""", TRUE, ARRAYFORMULA(LEFT(SPLIT(C79, "" ""),1)))"),"GRS")</f>
        <v>GRS</v>
      </c>
      <c r="F79" s="65"/>
      <c r="G79" s="65" t="s">
        <v>618</v>
      </c>
      <c r="H79" s="65"/>
    </row>
    <row r="80">
      <c r="A80" s="80" t="str">
        <f t="shared" si="1"/>
        <v>giant-rosella</v>
      </c>
      <c r="B80" s="63" t="str">
        <f>'analysis _non-RE-nodes'!A58</f>
        <v>Giant Rosella</v>
      </c>
      <c r="C80" s="69" t="str">
        <f t="shared" si="3"/>
        <v>Giant Rosella</v>
      </c>
      <c r="D80" s="64" t="s">
        <v>672</v>
      </c>
      <c r="E80" s="69" t="str">
        <f>IFERROR(__xludf.DUMMYFUNCTION("TEXTJOIN("""", TRUE, ARRAYFORMULA(LEFT(SPLIT(C80, "" ""),1)))"),"GR")</f>
        <v>GR</v>
      </c>
      <c r="F80" s="65"/>
      <c r="G80" s="65" t="s">
        <v>618</v>
      </c>
      <c r="H80" s="65"/>
    </row>
    <row r="81">
      <c r="A81" s="80" t="str">
        <f t="shared" si="1"/>
        <v>giant-tasmanian-devil</v>
      </c>
      <c r="B81" s="63" t="str">
        <f>'analysis _non-RE-nodes'!A59</f>
        <v>Giant Tasmanian Devil</v>
      </c>
      <c r="C81" s="69" t="str">
        <f t="shared" si="3"/>
        <v>Giant Tasmanian Devil</v>
      </c>
      <c r="D81" s="64" t="s">
        <v>673</v>
      </c>
      <c r="E81" s="69" t="str">
        <f>IFERROR(__xludf.DUMMYFUNCTION("TEXTJOIN("""", TRUE, ARRAYFORMULA(LEFT(SPLIT(C81, "" ""),1)))"),"GTD")</f>
        <v>GTD</v>
      </c>
      <c r="F81" s="65"/>
      <c r="G81" s="65" t="s">
        <v>618</v>
      </c>
      <c r="H81" s="65"/>
    </row>
    <row r="82">
      <c r="A82" s="80" t="str">
        <f t="shared" si="1"/>
        <v>giant-thorny-devil</v>
      </c>
      <c r="B82" s="63" t="str">
        <f>'analysis _non-RE-nodes'!A60</f>
        <v>Giant Thorny Devil</v>
      </c>
      <c r="C82" s="69" t="str">
        <f t="shared" si="3"/>
        <v>Giant Thorny Devil</v>
      </c>
      <c r="D82" s="64" t="s">
        <v>674</v>
      </c>
      <c r="E82" s="69" t="str">
        <f>IFERROR(__xludf.DUMMYFUNCTION("TEXTJOIN("""", TRUE, ARRAYFORMULA(LEFT(SPLIT(C82, "" ""),1)))"),"GTD")</f>
        <v>GTD</v>
      </c>
      <c r="F82" s="65"/>
      <c r="G82" s="65" t="s">
        <v>618</v>
      </c>
      <c r="H82" s="65"/>
    </row>
    <row r="83">
      <c r="A83" s="80" t="str">
        <f t="shared" si="1"/>
        <v>golden-australian-magpie</v>
      </c>
      <c r="B83" s="63" t="str">
        <f>'analysis _non-RE-nodes'!A61</f>
        <v>Golden Australian Magpie</v>
      </c>
      <c r="C83" s="69" t="str">
        <f t="shared" si="3"/>
        <v>Golden Australian Magpie</v>
      </c>
      <c r="D83" s="64" t="s">
        <v>675</v>
      </c>
      <c r="E83" s="69" t="str">
        <f>IFERROR(__xludf.DUMMYFUNCTION("TEXTJOIN("""", TRUE, ARRAYFORMULA(LEFT(SPLIT(C83, "" ""),1)))"),"GAM")</f>
        <v>GAM</v>
      </c>
      <c r="F83" s="65"/>
      <c r="G83" s="65" t="s">
        <v>618</v>
      </c>
      <c r="H83" s="65"/>
    </row>
    <row r="84">
      <c r="A84" s="80" t="str">
        <f t="shared" si="1"/>
        <v>golden-bush-stone-curlew</v>
      </c>
      <c r="B84" s="63" t="str">
        <f>'analysis _non-RE-nodes'!A62</f>
        <v>Golden Bush Stone-curlew</v>
      </c>
      <c r="C84" s="69" t="str">
        <f t="shared" si="3"/>
        <v>Golden Bush Stone-curlew</v>
      </c>
      <c r="D84" s="64" t="s">
        <v>676</v>
      </c>
      <c r="E84" s="69" t="str">
        <f>IFERROR(__xludf.DUMMYFUNCTION("TEXTJOIN("""", TRUE, ARRAYFORMULA(LEFT(SPLIT(C84, "" ""),1)))"),"GBS")</f>
        <v>GBS</v>
      </c>
      <c r="F84" s="65"/>
      <c r="G84" s="65" t="s">
        <v>618</v>
      </c>
      <c r="H84" s="65"/>
    </row>
    <row r="85">
      <c r="A85" s="80" t="str">
        <f t="shared" si="1"/>
        <v>golden-echidna</v>
      </c>
      <c r="B85" s="63" t="str">
        <f>'analysis _non-RE-nodes'!A63</f>
        <v>Golden Echidna</v>
      </c>
      <c r="C85" s="69" t="str">
        <f t="shared" si="3"/>
        <v>Golden Echidna</v>
      </c>
      <c r="D85" s="64" t="s">
        <v>677</v>
      </c>
      <c r="E85" s="69" t="str">
        <f>IFERROR(__xludf.DUMMYFUNCTION("TEXTJOIN("""", TRUE, ARRAYFORMULA(LEFT(SPLIT(C85, "" ""),1)))"),"GE")</f>
        <v>GE</v>
      </c>
      <c r="F85" s="65"/>
      <c r="G85" s="65" t="s">
        <v>618</v>
      </c>
      <c r="H85" s="65"/>
    </row>
    <row r="86">
      <c r="A86" s="80" t="str">
        <f t="shared" si="1"/>
        <v>golden-emu</v>
      </c>
      <c r="B86" s="63" t="str">
        <f>'analysis _non-RE-nodes'!A64</f>
        <v>Golden Emu</v>
      </c>
      <c r="C86" s="69" t="str">
        <f t="shared" si="3"/>
        <v>Golden Emu</v>
      </c>
      <c r="D86" s="64" t="s">
        <v>678</v>
      </c>
      <c r="E86" s="69" t="str">
        <f>IFERROR(__xludf.DUMMYFUNCTION("TEXTJOIN("""", TRUE, ARRAYFORMULA(LEFT(SPLIT(C86, "" ""),1)))"),"GE")</f>
        <v>GE</v>
      </c>
      <c r="F86" s="65"/>
      <c r="G86" s="65" t="s">
        <v>618</v>
      </c>
      <c r="H86" s="65"/>
    </row>
    <row r="87">
      <c r="A87" s="80" t="str">
        <f t="shared" si="1"/>
        <v>golden-fairy-penguin</v>
      </c>
      <c r="B87" s="63" t="str">
        <f>'analysis _non-RE-nodes'!A65</f>
        <v>Golden Fairy Penguin</v>
      </c>
      <c r="C87" s="69" t="str">
        <f t="shared" si="3"/>
        <v>Golden Fairy Penguin</v>
      </c>
      <c r="D87" s="64" t="s">
        <v>679</v>
      </c>
      <c r="E87" s="69" t="str">
        <f>IFERROR(__xludf.DUMMYFUNCTION("TEXTJOIN("""", TRUE, ARRAYFORMULA(LEFT(SPLIT(C87, "" ""),1)))"),"GFP")</f>
        <v>GFP</v>
      </c>
      <c r="F87" s="65"/>
      <c r="G87" s="65" t="s">
        <v>618</v>
      </c>
      <c r="H87" s="65"/>
    </row>
    <row r="88">
      <c r="A88" s="80" t="str">
        <f t="shared" si="1"/>
        <v>golden-frilled-neck-lizard</v>
      </c>
      <c r="B88" s="63" t="str">
        <f>'analysis _non-RE-nodes'!A66</f>
        <v>Golden Frilled Neck Lizard</v>
      </c>
      <c r="C88" s="69" t="str">
        <f t="shared" si="3"/>
        <v>Golden Frilled Neck Lizard</v>
      </c>
      <c r="D88" s="64" t="s">
        <v>680</v>
      </c>
      <c r="E88" s="69" t="str">
        <f>IFERROR(__xludf.DUMMYFUNCTION("TEXTJOIN("""", TRUE, ARRAYFORMULA(LEFT(SPLIT(C88, "" ""),1)))"),"GFNL")</f>
        <v>GFNL</v>
      </c>
      <c r="F88" s="65"/>
      <c r="G88" s="65" t="s">
        <v>618</v>
      </c>
      <c r="H88" s="65"/>
    </row>
    <row r="89">
      <c r="A89" s="80" t="str">
        <f t="shared" si="1"/>
        <v>golden-goanna</v>
      </c>
      <c r="B89" s="63" t="str">
        <f>'analysis _non-RE-nodes'!A67</f>
        <v>Golden Goanna</v>
      </c>
      <c r="C89" s="69" t="str">
        <f t="shared" si="3"/>
        <v>Golden Goanna</v>
      </c>
      <c r="D89" s="64" t="s">
        <v>681</v>
      </c>
      <c r="E89" s="69" t="str">
        <f>IFERROR(__xludf.DUMMYFUNCTION("TEXTJOIN("""", TRUE, ARRAYFORMULA(LEFT(SPLIT(C89, "" ""),1)))"),"GG")</f>
        <v>GG</v>
      </c>
      <c r="F89" s="65"/>
      <c r="G89" s="65" t="s">
        <v>618</v>
      </c>
      <c r="H89" s="65"/>
    </row>
    <row r="90">
      <c r="A90" s="80" t="str">
        <f t="shared" si="1"/>
        <v>golden-kangaroo</v>
      </c>
      <c r="B90" s="63" t="str">
        <f>'analysis _non-RE-nodes'!A68</f>
        <v>Golden Kangaroo</v>
      </c>
      <c r="C90" s="69" t="str">
        <f t="shared" si="3"/>
        <v>Golden Kangaroo</v>
      </c>
      <c r="D90" s="64" t="s">
        <v>682</v>
      </c>
      <c r="E90" s="69" t="str">
        <f>IFERROR(__xludf.DUMMYFUNCTION("TEXTJOIN("""", TRUE, ARRAYFORMULA(LEFT(SPLIT(C90, "" ""),1)))"),"GK")</f>
        <v>GK</v>
      </c>
      <c r="F90" s="65"/>
      <c r="G90" s="65" t="s">
        <v>618</v>
      </c>
      <c r="H90" s="65"/>
    </row>
    <row r="91">
      <c r="A91" s="80" t="str">
        <f t="shared" si="1"/>
        <v>golden-koala</v>
      </c>
      <c r="B91" s="63" t="str">
        <f>'analysis _non-RE-nodes'!A69</f>
        <v>Golden Koala</v>
      </c>
      <c r="C91" s="69" t="str">
        <f t="shared" si="3"/>
        <v>Golden Koala</v>
      </c>
      <c r="D91" s="64" t="s">
        <v>683</v>
      </c>
      <c r="E91" s="69" t="str">
        <f>IFERROR(__xludf.DUMMYFUNCTION("TEXTJOIN("""", TRUE, ARRAYFORMULA(LEFT(SPLIT(C91, "" ""),1)))"),"GK")</f>
        <v>GK</v>
      </c>
      <c r="F91" s="65"/>
      <c r="G91" s="65" t="s">
        <v>618</v>
      </c>
      <c r="H91" s="65"/>
    </row>
    <row r="92">
      <c r="A92" s="80" t="str">
        <f t="shared" si="1"/>
        <v>golden-kookaburra</v>
      </c>
      <c r="B92" s="63" t="str">
        <f>'analysis _non-RE-nodes'!A70</f>
        <v>Golden Kookaburra</v>
      </c>
      <c r="C92" s="69" t="str">
        <f t="shared" si="3"/>
        <v>Golden Kookaburra</v>
      </c>
      <c r="D92" s="64" t="s">
        <v>684</v>
      </c>
      <c r="E92" s="69" t="str">
        <f>IFERROR(__xludf.DUMMYFUNCTION("TEXTJOIN("""", TRUE, ARRAYFORMULA(LEFT(SPLIT(C92, "" ""),1)))"),"GK")</f>
        <v>GK</v>
      </c>
      <c r="F92" s="65"/>
      <c r="G92" s="65" t="s">
        <v>618</v>
      </c>
      <c r="H92" s="65"/>
    </row>
    <row r="93">
      <c r="A93" s="80" t="str">
        <f t="shared" si="1"/>
        <v>golden-lyrebird</v>
      </c>
      <c r="B93" s="63" t="str">
        <f>'analysis _non-RE-nodes'!A71</f>
        <v>Golden Lyrebird</v>
      </c>
      <c r="C93" s="69" t="str">
        <f t="shared" si="3"/>
        <v>Golden Lyrebird</v>
      </c>
      <c r="D93" s="64" t="s">
        <v>685</v>
      </c>
      <c r="E93" s="69" t="str">
        <f>IFERROR(__xludf.DUMMYFUNCTION("TEXTJOIN("""", TRUE, ARRAYFORMULA(LEFT(SPLIT(C93, "" ""),1)))"),"GL")</f>
        <v>GL</v>
      </c>
      <c r="F93" s="65"/>
      <c r="G93" s="65" t="s">
        <v>618</v>
      </c>
      <c r="H93" s="65"/>
    </row>
    <row r="94">
      <c r="A94" s="80" t="str">
        <f t="shared" si="1"/>
        <v>golden-perentie</v>
      </c>
      <c r="B94" s="63" t="str">
        <f>'analysis _non-RE-nodes'!A72</f>
        <v>Golden Perentie</v>
      </c>
      <c r="C94" s="69" t="str">
        <f t="shared" si="3"/>
        <v>Golden Perentie</v>
      </c>
      <c r="D94" s="64" t="s">
        <v>686</v>
      </c>
      <c r="E94" s="69" t="str">
        <f>IFERROR(__xludf.DUMMYFUNCTION("TEXTJOIN("""", TRUE, ARRAYFORMULA(LEFT(SPLIT(C94, "" ""),1)))"),"GP")</f>
        <v>GP</v>
      </c>
      <c r="F94" s="65"/>
      <c r="G94" s="65" t="s">
        <v>618</v>
      </c>
      <c r="H94" s="65"/>
    </row>
    <row r="95">
      <c r="A95" s="80" t="str">
        <f t="shared" si="1"/>
        <v>golden-tasmanian-devil</v>
      </c>
      <c r="B95" s="63" t="str">
        <f>'analysis _non-RE-nodes'!A73</f>
        <v>Golden Tasmanian Devil</v>
      </c>
      <c r="C95" s="69" t="str">
        <f t="shared" si="3"/>
        <v>Golden Tasmanian Devil</v>
      </c>
      <c r="D95" s="64" t="s">
        <v>687</v>
      </c>
      <c r="E95" s="69" t="str">
        <f>IFERROR(__xludf.DUMMYFUNCTION("TEXTJOIN("""", TRUE, ARRAYFORMULA(LEFT(SPLIT(C95, "" ""),1)))"),"GTD")</f>
        <v>GTD</v>
      </c>
      <c r="F95" s="65"/>
      <c r="G95" s="65" t="s">
        <v>618</v>
      </c>
      <c r="H95" s="65"/>
    </row>
    <row r="96">
      <c r="A96" s="80" t="str">
        <f t="shared" si="1"/>
        <v>golden-wallaby</v>
      </c>
      <c r="B96" s="63" t="str">
        <f>'analysis _non-RE-nodes'!A74</f>
        <v>Golden Wallaby</v>
      </c>
      <c r="C96" s="69" t="str">
        <f t="shared" si="3"/>
        <v>Golden Wallaby</v>
      </c>
      <c r="D96" s="64" t="s">
        <v>688</v>
      </c>
      <c r="E96" s="69" t="str">
        <f>IFERROR(__xludf.DUMMYFUNCTION("TEXTJOIN("""", TRUE, ARRAYFORMULA(LEFT(SPLIT(C96, "" ""),1)))"),"GW")</f>
        <v>GW</v>
      </c>
      <c r="F96" s="65"/>
      <c r="G96" s="65" t="s">
        <v>618</v>
      </c>
      <c r="H96" s="65"/>
    </row>
    <row r="97">
      <c r="A97" s="80" t="str">
        <f t="shared" si="1"/>
        <v>green-bandicoot</v>
      </c>
      <c r="B97" s="63" t="str">
        <f>'analysis _non-RE-nodes'!A75</f>
        <v>Green Bandicoot</v>
      </c>
      <c r="C97" s="69" t="str">
        <f t="shared" si="3"/>
        <v>Green Bandicoot</v>
      </c>
      <c r="D97" s="64" t="s">
        <v>689</v>
      </c>
      <c r="E97" s="69" t="str">
        <f>IFERROR(__xludf.DUMMYFUNCTION("TEXTJOIN("""", TRUE, ARRAYFORMULA(LEFT(SPLIT(C97, "" ""),1)))"),"GB")</f>
        <v>GB</v>
      </c>
      <c r="F97" s="65"/>
      <c r="G97" s="65" t="s">
        <v>618</v>
      </c>
      <c r="H97" s="65"/>
    </row>
    <row r="98">
      <c r="A98" s="80" t="str">
        <f t="shared" si="1"/>
        <v>green-bush-stone-curlew</v>
      </c>
      <c r="B98" s="63" t="str">
        <f>'analysis _non-RE-nodes'!A76</f>
        <v>Green Bush Stone-curlew</v>
      </c>
      <c r="C98" s="69" t="str">
        <f t="shared" si="3"/>
        <v>Green Bush Stone-curlew</v>
      </c>
      <c r="D98" s="64" t="s">
        <v>690</v>
      </c>
      <c r="E98" s="69" t="str">
        <f>IFERROR(__xludf.DUMMYFUNCTION("TEXTJOIN("""", TRUE, ARRAYFORMULA(LEFT(SPLIT(C98, "" ""),1)))"),"GBS")</f>
        <v>GBS</v>
      </c>
      <c r="F98" s="65"/>
      <c r="G98" s="65" t="s">
        <v>618</v>
      </c>
      <c r="H98" s="65"/>
    </row>
    <row r="99">
      <c r="A99" s="80" t="str">
        <f t="shared" si="1"/>
        <v>green-dingo</v>
      </c>
      <c r="B99" s="63" t="str">
        <f>'analysis _non-RE-nodes'!A77</f>
        <v>Green Dingo</v>
      </c>
      <c r="C99" s="69" t="str">
        <f t="shared" si="3"/>
        <v>Green Dingo</v>
      </c>
      <c r="D99" s="64" t="s">
        <v>691</v>
      </c>
      <c r="E99" s="69" t="str">
        <f>IFERROR(__xludf.DUMMYFUNCTION("TEXTJOIN("""", TRUE, ARRAYFORMULA(LEFT(SPLIT(C99, "" ""),1)))"),"GD")</f>
        <v>GD</v>
      </c>
      <c r="F99" s="65"/>
      <c r="G99" s="65" t="s">
        <v>618</v>
      </c>
      <c r="H99" s="65"/>
    </row>
    <row r="100">
      <c r="A100" s="80" t="str">
        <f t="shared" si="1"/>
        <v>green-emu</v>
      </c>
      <c r="B100" s="63" t="str">
        <f>'analysis _non-RE-nodes'!A78</f>
        <v>Green Emu</v>
      </c>
      <c r="C100" s="69" t="str">
        <f t="shared" si="3"/>
        <v>Green Emu</v>
      </c>
      <c r="D100" s="64" t="s">
        <v>692</v>
      </c>
      <c r="E100" s="69" t="str">
        <f>IFERROR(__xludf.DUMMYFUNCTION("TEXTJOIN("""", TRUE, ARRAYFORMULA(LEFT(SPLIT(C100, "" ""),1)))"),"GE")</f>
        <v>GE</v>
      </c>
      <c r="F100" s="65"/>
      <c r="G100" s="65" t="s">
        <v>618</v>
      </c>
      <c r="H100" s="65"/>
    </row>
    <row r="101">
      <c r="A101" s="80" t="str">
        <f t="shared" si="1"/>
        <v>green-kangaroo</v>
      </c>
      <c r="B101" s="63" t="str">
        <f>'analysis _non-RE-nodes'!A79</f>
        <v>Green Kangaroo</v>
      </c>
      <c r="C101" s="69" t="str">
        <f t="shared" si="3"/>
        <v>Green Kangaroo</v>
      </c>
      <c r="D101" s="64" t="s">
        <v>693</v>
      </c>
      <c r="E101" s="69" t="str">
        <f>IFERROR(__xludf.DUMMYFUNCTION("TEXTJOIN("""", TRUE, ARRAYFORMULA(LEFT(SPLIT(C101, "" ""),1)))"),"GK")</f>
        <v>GK</v>
      </c>
      <c r="F101" s="65"/>
      <c r="G101" s="65" t="s">
        <v>618</v>
      </c>
      <c r="H101" s="65"/>
    </row>
    <row r="102">
      <c r="A102" s="80" t="str">
        <f t="shared" si="1"/>
        <v>green-koala</v>
      </c>
      <c r="B102" s="63" t="str">
        <f>'analysis _non-RE-nodes'!A80</f>
        <v>Green Koala</v>
      </c>
      <c r="C102" s="69" t="str">
        <f t="shared" si="3"/>
        <v>Green Koala</v>
      </c>
      <c r="D102" s="64" t="s">
        <v>694</v>
      </c>
      <c r="E102" s="69" t="str">
        <f>IFERROR(__xludf.DUMMYFUNCTION("TEXTJOIN("""", TRUE, ARRAYFORMULA(LEFT(SPLIT(C102, "" ""),1)))"),"GK")</f>
        <v>GK</v>
      </c>
      <c r="F102" s="65"/>
      <c r="G102" s="65" t="s">
        <v>618</v>
      </c>
      <c r="H102" s="65"/>
    </row>
    <row r="103">
      <c r="A103" s="80" t="str">
        <f t="shared" si="1"/>
        <v>green-platypus</v>
      </c>
      <c r="B103" s="63" t="str">
        <f>'analysis _non-RE-nodes'!A81</f>
        <v>Green Platypus</v>
      </c>
      <c r="C103" s="69" t="str">
        <f t="shared" si="3"/>
        <v>Green Platypus</v>
      </c>
      <c r="D103" s="64" t="s">
        <v>695</v>
      </c>
      <c r="E103" s="69" t="str">
        <f>IFERROR(__xludf.DUMMYFUNCTION("TEXTJOIN("""", TRUE, ARRAYFORMULA(LEFT(SPLIT(C103, "" ""),1)))"),"GP")</f>
        <v>GP</v>
      </c>
      <c r="F103" s="65"/>
      <c r="G103" s="65" t="s">
        <v>618</v>
      </c>
      <c r="H103" s="65"/>
    </row>
    <row r="104">
      <c r="A104" s="80" t="str">
        <f t="shared" si="1"/>
        <v>green-redback-spider</v>
      </c>
      <c r="B104" s="63" t="str">
        <f>'analysis _non-RE-nodes'!A82</f>
        <v>Green Redback Spider</v>
      </c>
      <c r="C104" s="69" t="str">
        <f t="shared" si="3"/>
        <v>Green Redback Spider</v>
      </c>
      <c r="D104" s="64" t="s">
        <v>696</v>
      </c>
      <c r="E104" s="69" t="str">
        <f>IFERROR(__xludf.DUMMYFUNCTION("TEXTJOIN("""", TRUE, ARRAYFORMULA(LEFT(SPLIT(C104, "" ""),1)))"),"GRS")</f>
        <v>GRS</v>
      </c>
      <c r="F104" s="65"/>
      <c r="G104" s="65" t="s">
        <v>618</v>
      </c>
      <c r="H104" s="65"/>
    </row>
    <row r="105">
      <c r="A105" s="80" t="str">
        <f t="shared" si="1"/>
        <v>green-rosella</v>
      </c>
      <c r="B105" s="63" t="str">
        <f>'analysis _non-RE-nodes'!A83</f>
        <v>Green Rosella</v>
      </c>
      <c r="C105" s="69" t="str">
        <f t="shared" si="3"/>
        <v>Green Rosella</v>
      </c>
      <c r="D105" s="64" t="s">
        <v>697</v>
      </c>
      <c r="E105" s="69" t="str">
        <f>IFERROR(__xludf.DUMMYFUNCTION("TEXTJOIN("""", TRUE, ARRAYFORMULA(LEFT(SPLIT(C105, "" ""),1)))"),"GR")</f>
        <v>GR</v>
      </c>
      <c r="F105" s="65"/>
      <c r="G105" s="65" t="s">
        <v>618</v>
      </c>
      <c r="H105" s="65"/>
    </row>
    <row r="106">
      <c r="A106" s="80" t="str">
        <f t="shared" si="1"/>
        <v>green-tasmanian-devil</v>
      </c>
      <c r="B106" s="63" t="str">
        <f>'analysis _non-RE-nodes'!A84</f>
        <v>Green Tasmanian Devil</v>
      </c>
      <c r="C106" s="69" t="str">
        <f t="shared" si="3"/>
        <v>Green Tasmanian Devil</v>
      </c>
      <c r="D106" s="64" t="s">
        <v>698</v>
      </c>
      <c r="E106" s="69" t="str">
        <f>IFERROR(__xludf.DUMMYFUNCTION("TEXTJOIN("""", TRUE, ARRAYFORMULA(LEFT(SPLIT(C106, "" ""),1)))"),"GTD")</f>
        <v>GTD</v>
      </c>
      <c r="F106" s="65"/>
      <c r="G106" s="65" t="s">
        <v>618</v>
      </c>
      <c r="H106" s="65"/>
    </row>
    <row r="107">
      <c r="A107" s="80" t="str">
        <f t="shared" si="1"/>
        <v>green-wombat</v>
      </c>
      <c r="B107" s="63" t="str">
        <f>'analysis _non-RE-nodes'!A85</f>
        <v>Green Wombat</v>
      </c>
      <c r="C107" s="69" t="str">
        <f t="shared" si="3"/>
        <v>Green Wombat</v>
      </c>
      <c r="D107" s="64" t="s">
        <v>699</v>
      </c>
      <c r="E107" s="69" t="str">
        <f>IFERROR(__xludf.DUMMYFUNCTION("TEXTJOIN("""", TRUE, ARRAYFORMULA(LEFT(SPLIT(C107, "" ""),1)))"),"GW")</f>
        <v>GW</v>
      </c>
      <c r="F107" s="65"/>
      <c r="G107" s="65" t="s">
        <v>618</v>
      </c>
      <c r="H107" s="65"/>
    </row>
    <row r="108">
      <c r="A108" s="80" t="str">
        <f t="shared" si="1"/>
        <v>happy-blue-tongue-skink</v>
      </c>
      <c r="B108" s="63" t="str">
        <f>'analysis _non-RE-nodes'!A86</f>
        <v>Happy Blue-tongue Skink</v>
      </c>
      <c r="C108" s="69" t="str">
        <f t="shared" si="3"/>
        <v>Happy Blue-tongue Skink</v>
      </c>
      <c r="D108" s="64" t="s">
        <v>700</v>
      </c>
      <c r="E108" s="69" t="str">
        <f>IFERROR(__xludf.DUMMYFUNCTION("TEXTJOIN("""", TRUE, ARRAYFORMULA(LEFT(SPLIT(C108, "" ""),1)))"),"HBS")</f>
        <v>HBS</v>
      </c>
      <c r="F108" s="65"/>
      <c r="G108" s="65" t="s">
        <v>618</v>
      </c>
      <c r="H108" s="65"/>
    </row>
    <row r="109">
      <c r="A109" s="80" t="str">
        <f t="shared" si="1"/>
        <v>happy-echidna</v>
      </c>
      <c r="B109" s="63" t="str">
        <f>'analysis _non-RE-nodes'!A87</f>
        <v>Happy Echidna</v>
      </c>
      <c r="C109" s="69" t="str">
        <f t="shared" si="3"/>
        <v>Happy Echidna</v>
      </c>
      <c r="D109" s="64" t="s">
        <v>701</v>
      </c>
      <c r="E109" s="69" t="str">
        <f>IFERROR(__xludf.DUMMYFUNCTION("TEXTJOIN("""", TRUE, ARRAYFORMULA(LEFT(SPLIT(C109, "" ""),1)))"),"HE")</f>
        <v>HE</v>
      </c>
      <c r="F109" s="65"/>
      <c r="G109" s="65" t="s">
        <v>618</v>
      </c>
      <c r="H109" s="65"/>
    </row>
    <row r="110">
      <c r="A110" s="80" t="str">
        <f t="shared" si="1"/>
        <v>happy-fairy-penguin</v>
      </c>
      <c r="B110" s="63" t="str">
        <f>'analysis _non-RE-nodes'!A88</f>
        <v>Happy Fairy Penguin</v>
      </c>
      <c r="C110" s="69" t="str">
        <f t="shared" si="3"/>
        <v>Happy Fairy Penguin</v>
      </c>
      <c r="D110" s="64" t="s">
        <v>702</v>
      </c>
      <c r="E110" s="69" t="str">
        <f>IFERROR(__xludf.DUMMYFUNCTION("TEXTJOIN("""", TRUE, ARRAYFORMULA(LEFT(SPLIT(C110, "" ""),1)))"),"HFP")</f>
        <v>HFP</v>
      </c>
      <c r="F110" s="65"/>
      <c r="G110" s="65" t="s">
        <v>618</v>
      </c>
      <c r="H110" s="65"/>
    </row>
    <row r="111">
      <c r="A111" s="80" t="str">
        <f t="shared" si="1"/>
        <v>happy-frilled-neck-lizard</v>
      </c>
      <c r="B111" s="63" t="str">
        <f>'analysis _non-RE-nodes'!A89</f>
        <v>Happy Frilled Neck Lizard</v>
      </c>
      <c r="C111" s="69" t="str">
        <f t="shared" si="3"/>
        <v>Happy Frilled Neck Lizard</v>
      </c>
      <c r="D111" s="64" t="s">
        <v>703</v>
      </c>
      <c r="E111" s="69" t="str">
        <f>IFERROR(__xludf.DUMMYFUNCTION("TEXTJOIN("""", TRUE, ARRAYFORMULA(LEFT(SPLIT(C111, "" ""),1)))"),"HFNL")</f>
        <v>HFNL</v>
      </c>
      <c r="F111" s="65"/>
      <c r="G111" s="65" t="s">
        <v>618</v>
      </c>
      <c r="H111" s="65"/>
    </row>
    <row r="112">
      <c r="A112" s="80" t="str">
        <f t="shared" si="1"/>
        <v>happy-goanna</v>
      </c>
      <c r="B112" s="63" t="str">
        <f>'analysis _non-RE-nodes'!A90</f>
        <v>Happy Goanna</v>
      </c>
      <c r="C112" s="69" t="str">
        <f t="shared" si="3"/>
        <v>Happy Goanna</v>
      </c>
      <c r="D112" s="64" t="s">
        <v>704</v>
      </c>
      <c r="E112" s="69" t="str">
        <f>IFERROR(__xludf.DUMMYFUNCTION("TEXTJOIN("""", TRUE, ARRAYFORMULA(LEFT(SPLIT(C112, "" ""),1)))"),"HG")</f>
        <v>HG</v>
      </c>
      <c r="F112" s="65"/>
      <c r="G112" s="65" t="s">
        <v>618</v>
      </c>
      <c r="H112" s="65"/>
    </row>
    <row r="113">
      <c r="A113" s="80" t="str">
        <f t="shared" si="1"/>
        <v>happy-perentie</v>
      </c>
      <c r="B113" s="63" t="str">
        <f>'analysis _non-RE-nodes'!A91</f>
        <v>Happy Perentie</v>
      </c>
      <c r="C113" s="69" t="str">
        <f t="shared" si="3"/>
        <v>Happy Perentie</v>
      </c>
      <c r="D113" s="64" t="s">
        <v>705</v>
      </c>
      <c r="E113" s="69" t="str">
        <f>IFERROR(__xludf.DUMMYFUNCTION("TEXTJOIN("""", TRUE, ARRAYFORMULA(LEFT(SPLIT(C113, "" ""),1)))"),"HP")</f>
        <v>HP</v>
      </c>
      <c r="F113" s="65"/>
      <c r="G113" s="65" t="s">
        <v>618</v>
      </c>
      <c r="H113" s="65"/>
    </row>
    <row r="114">
      <c r="A114" s="80" t="str">
        <f t="shared" si="1"/>
        <v>happy-platypus</v>
      </c>
      <c r="B114" s="63" t="str">
        <f>'analysis _non-RE-nodes'!A92</f>
        <v>Happy Platypus</v>
      </c>
      <c r="C114" s="69" t="str">
        <f t="shared" si="3"/>
        <v>Happy Platypus</v>
      </c>
      <c r="D114" s="64" t="s">
        <v>706</v>
      </c>
      <c r="E114" s="69" t="str">
        <f>IFERROR(__xludf.DUMMYFUNCTION("TEXTJOIN("""", TRUE, ARRAYFORMULA(LEFT(SPLIT(C114, "" ""),1)))"),"HP")</f>
        <v>HP</v>
      </c>
      <c r="F114" s="65"/>
      <c r="G114" s="65" t="s">
        <v>618</v>
      </c>
      <c r="H114" s="65"/>
    </row>
    <row r="115">
      <c r="A115" s="80" t="str">
        <f t="shared" si="1"/>
        <v>happy-quokka</v>
      </c>
      <c r="B115" s="63" t="str">
        <f>'analysis _non-RE-nodes'!A93</f>
        <v>Happy Quokka</v>
      </c>
      <c r="C115" s="69" t="str">
        <f t="shared" si="3"/>
        <v>Happy Quokka</v>
      </c>
      <c r="D115" s="64" t="s">
        <v>707</v>
      </c>
      <c r="E115" s="69" t="str">
        <f>IFERROR(__xludf.DUMMYFUNCTION("TEXTJOIN("""", TRUE, ARRAYFORMULA(LEFT(SPLIT(C115, "" ""),1)))"),"HQ")</f>
        <v>HQ</v>
      </c>
      <c r="F115" s="65"/>
      <c r="G115" s="65" t="s">
        <v>618</v>
      </c>
      <c r="H115" s="65"/>
    </row>
    <row r="116">
      <c r="A116" s="80" t="str">
        <f t="shared" si="1"/>
        <v>happy-rosella</v>
      </c>
      <c r="B116" s="63" t="str">
        <f>'analysis _non-RE-nodes'!A94</f>
        <v>Happy Rosella</v>
      </c>
      <c r="C116" s="69" t="str">
        <f t="shared" si="3"/>
        <v>Happy Rosella</v>
      </c>
      <c r="D116" s="64" t="s">
        <v>708</v>
      </c>
      <c r="E116" s="69" t="str">
        <f>IFERROR(__xludf.DUMMYFUNCTION("TEXTJOIN("""", TRUE, ARRAYFORMULA(LEFT(SPLIT(C116, "" ""),1)))"),"HR")</f>
        <v>HR</v>
      </c>
      <c r="F116" s="65"/>
      <c r="G116" s="65" t="s">
        <v>618</v>
      </c>
      <c r="H116" s="65"/>
    </row>
    <row r="117">
      <c r="A117" s="80" t="str">
        <f t="shared" si="1"/>
        <v>lazy-bilby</v>
      </c>
      <c r="B117" s="63" t="str">
        <f>'analysis _non-RE-nodes'!A95</f>
        <v>Lazy Bilby</v>
      </c>
      <c r="C117" s="69" t="str">
        <f t="shared" si="3"/>
        <v>Lazy Bilby</v>
      </c>
      <c r="D117" s="64" t="s">
        <v>709</v>
      </c>
      <c r="E117" s="69" t="str">
        <f>IFERROR(__xludf.DUMMYFUNCTION("TEXTJOIN("""", TRUE, ARRAYFORMULA(LEFT(SPLIT(C117, "" ""),1)))"),"LB")</f>
        <v>LB</v>
      </c>
      <c r="F117" s="65"/>
      <c r="G117" s="65" t="s">
        <v>618</v>
      </c>
      <c r="H117" s="65"/>
    </row>
    <row r="118">
      <c r="A118" s="80" t="str">
        <f t="shared" si="1"/>
        <v>lazy-blue-tongue-skink</v>
      </c>
      <c r="B118" s="63" t="str">
        <f>'analysis _non-RE-nodes'!A96</f>
        <v>Lazy Blue-tongue Skink</v>
      </c>
      <c r="C118" s="69" t="str">
        <f t="shared" si="3"/>
        <v>Lazy Blue-tongue Skink</v>
      </c>
      <c r="D118" s="64" t="s">
        <v>710</v>
      </c>
      <c r="E118" s="69" t="str">
        <f>IFERROR(__xludf.DUMMYFUNCTION("TEXTJOIN("""", TRUE, ARRAYFORMULA(LEFT(SPLIT(C118, "" ""),1)))"),"LBS")</f>
        <v>LBS</v>
      </c>
      <c r="F118" s="65"/>
      <c r="G118" s="65" t="s">
        <v>618</v>
      </c>
      <c r="H118" s="65"/>
    </row>
    <row r="119">
      <c r="A119" s="80" t="str">
        <f t="shared" si="1"/>
        <v>lazy-cockatoo</v>
      </c>
      <c r="B119" s="63" t="str">
        <f>'analysis _non-RE-nodes'!A97</f>
        <v>Lazy Cockatoo</v>
      </c>
      <c r="C119" s="69" t="str">
        <f t="shared" si="3"/>
        <v>Lazy Cockatoo</v>
      </c>
      <c r="D119" s="64" t="s">
        <v>711</v>
      </c>
      <c r="E119" s="69" t="str">
        <f>IFERROR(__xludf.DUMMYFUNCTION("TEXTJOIN("""", TRUE, ARRAYFORMULA(LEFT(SPLIT(C119, "" ""),1)))"),"LC")</f>
        <v>LC</v>
      </c>
      <c r="F119" s="65"/>
      <c r="G119" s="65" t="s">
        <v>618</v>
      </c>
      <c r="H119" s="65"/>
    </row>
    <row r="120">
      <c r="A120" s="80" t="str">
        <f t="shared" si="1"/>
        <v>lazy-fairy-penguin</v>
      </c>
      <c r="B120" s="63" t="str">
        <f>'analysis _non-RE-nodes'!A98</f>
        <v>Lazy Fairy Penguin</v>
      </c>
      <c r="C120" s="69" t="str">
        <f t="shared" si="3"/>
        <v>Lazy Fairy Penguin</v>
      </c>
      <c r="D120" s="64" t="s">
        <v>712</v>
      </c>
      <c r="E120" s="69" t="str">
        <f>IFERROR(__xludf.DUMMYFUNCTION("TEXTJOIN("""", TRUE, ARRAYFORMULA(LEFT(SPLIT(C120, "" ""),1)))"),"LFP")</f>
        <v>LFP</v>
      </c>
      <c r="F120" s="65"/>
      <c r="G120" s="65" t="s">
        <v>618</v>
      </c>
      <c r="H120" s="65"/>
    </row>
    <row r="121">
      <c r="A121" s="80" t="str">
        <f t="shared" si="1"/>
        <v>lazy-goanna</v>
      </c>
      <c r="B121" s="63" t="str">
        <f>'analysis _non-RE-nodes'!A99</f>
        <v>Lazy Goanna</v>
      </c>
      <c r="C121" s="69" t="str">
        <f t="shared" si="3"/>
        <v>Lazy Goanna</v>
      </c>
      <c r="D121" s="64" t="s">
        <v>713</v>
      </c>
      <c r="E121" s="69" t="str">
        <f>IFERROR(__xludf.DUMMYFUNCTION("TEXTJOIN("""", TRUE, ARRAYFORMULA(LEFT(SPLIT(C121, "" ""),1)))"),"LG")</f>
        <v>LG</v>
      </c>
      <c r="F121" s="65"/>
      <c r="G121" s="65" t="s">
        <v>618</v>
      </c>
      <c r="H121" s="65"/>
    </row>
    <row r="122">
      <c r="A122" s="80" t="str">
        <f t="shared" si="1"/>
        <v>lazy-kangaroo</v>
      </c>
      <c r="B122" s="63" t="str">
        <f>'analysis _non-RE-nodes'!A100</f>
        <v>Lazy Kangaroo</v>
      </c>
      <c r="C122" s="69" t="str">
        <f t="shared" si="3"/>
        <v>Lazy Kangaroo</v>
      </c>
      <c r="D122" s="64" t="s">
        <v>714</v>
      </c>
      <c r="E122" s="69" t="str">
        <f>IFERROR(__xludf.DUMMYFUNCTION("TEXTJOIN("""", TRUE, ARRAYFORMULA(LEFT(SPLIT(C122, "" ""),1)))"),"LK")</f>
        <v>LK</v>
      </c>
      <c r="F122" s="65"/>
      <c r="G122" s="65" t="s">
        <v>618</v>
      </c>
      <c r="H122" s="65"/>
    </row>
    <row r="123">
      <c r="A123" s="80" t="str">
        <f t="shared" si="1"/>
        <v>lazy-perentie</v>
      </c>
      <c r="B123" s="63" t="str">
        <f>'analysis _non-RE-nodes'!A101</f>
        <v>Lazy Perentie</v>
      </c>
      <c r="C123" s="69" t="str">
        <f t="shared" si="3"/>
        <v>Lazy Perentie</v>
      </c>
      <c r="D123" s="64" t="s">
        <v>715</v>
      </c>
      <c r="E123" s="69" t="str">
        <f>IFERROR(__xludf.DUMMYFUNCTION("TEXTJOIN("""", TRUE, ARRAYFORMULA(LEFT(SPLIT(C123, "" ""),1)))"),"LP")</f>
        <v>LP</v>
      </c>
      <c r="F123" s="65"/>
      <c r="G123" s="65" t="s">
        <v>618</v>
      </c>
      <c r="H123" s="65"/>
    </row>
    <row r="124">
      <c r="A124" s="80" t="str">
        <f t="shared" si="1"/>
        <v>lazy-quokka</v>
      </c>
      <c r="B124" s="63" t="str">
        <f>'analysis _non-RE-nodes'!A102</f>
        <v>Lazy Quokka</v>
      </c>
      <c r="C124" s="69" t="str">
        <f t="shared" si="3"/>
        <v>Lazy Quokka</v>
      </c>
      <c r="D124" s="64" t="s">
        <v>716</v>
      </c>
      <c r="E124" s="69" t="str">
        <f>IFERROR(__xludf.DUMMYFUNCTION("TEXTJOIN("""", TRUE, ARRAYFORMULA(LEFT(SPLIT(C124, "" ""),1)))"),"LQ")</f>
        <v>LQ</v>
      </c>
      <c r="F124" s="65"/>
      <c r="G124" s="65" t="s">
        <v>618</v>
      </c>
      <c r="H124" s="65"/>
    </row>
    <row r="125">
      <c r="A125" s="80" t="str">
        <f t="shared" si="1"/>
        <v>lazy-tree-kangaroo</v>
      </c>
      <c r="B125" s="63" t="str">
        <f>'analysis _non-RE-nodes'!A103</f>
        <v>Lazy Tree Kangaroo</v>
      </c>
      <c r="C125" s="69" t="str">
        <f t="shared" si="3"/>
        <v>Lazy Tree Kangaroo</v>
      </c>
      <c r="D125" s="64" t="s">
        <v>717</v>
      </c>
      <c r="E125" s="69" t="str">
        <f>IFERROR(__xludf.DUMMYFUNCTION("TEXTJOIN("""", TRUE, ARRAYFORMULA(LEFT(SPLIT(C125, "" ""),1)))"),"LTK")</f>
        <v>LTK</v>
      </c>
      <c r="F125" s="65"/>
      <c r="G125" s="65" t="s">
        <v>618</v>
      </c>
      <c r="H125" s="65"/>
    </row>
    <row r="126">
      <c r="A126" s="80" t="str">
        <f t="shared" si="1"/>
        <v>lazy-wombat</v>
      </c>
      <c r="B126" s="63" t="str">
        <f>'analysis _non-RE-nodes'!A104</f>
        <v>Lazy Wombat</v>
      </c>
      <c r="C126" s="69" t="str">
        <f t="shared" si="3"/>
        <v>Lazy Wombat</v>
      </c>
      <c r="D126" s="64" t="s">
        <v>718</v>
      </c>
      <c r="E126" s="69" t="str">
        <f>IFERROR(__xludf.DUMMYFUNCTION("TEXTJOIN("""", TRUE, ARRAYFORMULA(LEFT(SPLIT(C126, "" ""),1)))"),"LW")</f>
        <v>LW</v>
      </c>
      <c r="F126" s="65"/>
      <c r="G126" s="65" t="s">
        <v>618</v>
      </c>
      <c r="H126" s="65"/>
    </row>
    <row r="127">
      <c r="A127" s="80" t="str">
        <f t="shared" si="1"/>
        <v>noisy-australian-magpie</v>
      </c>
      <c r="B127" s="63" t="str">
        <f>'analysis _non-RE-nodes'!A105</f>
        <v>Noisy Australian Magpie</v>
      </c>
      <c r="C127" s="69" t="str">
        <f t="shared" si="3"/>
        <v>Noisy Australian Magpie</v>
      </c>
      <c r="D127" s="64" t="s">
        <v>719</v>
      </c>
      <c r="E127" s="69" t="str">
        <f>IFERROR(__xludf.DUMMYFUNCTION("TEXTJOIN("""", TRUE, ARRAYFORMULA(LEFT(SPLIT(C127, "" ""),1)))"),"NAM")</f>
        <v>NAM</v>
      </c>
      <c r="F127" s="65"/>
      <c r="G127" s="65" t="s">
        <v>618</v>
      </c>
      <c r="H127" s="65"/>
    </row>
    <row r="128">
      <c r="A128" s="80" t="str">
        <f t="shared" si="1"/>
        <v>noisy-bilby</v>
      </c>
      <c r="B128" s="63" t="str">
        <f>'analysis _non-RE-nodes'!A106</f>
        <v>Noisy Bilby</v>
      </c>
      <c r="C128" s="69" t="str">
        <f t="shared" si="3"/>
        <v>Noisy Bilby</v>
      </c>
      <c r="D128" s="64" t="s">
        <v>720</v>
      </c>
      <c r="E128" s="69" t="str">
        <f>IFERROR(__xludf.DUMMYFUNCTION("TEXTJOIN("""", TRUE, ARRAYFORMULA(LEFT(SPLIT(C128, "" ""),1)))"),"NB")</f>
        <v>NB</v>
      </c>
      <c r="F128" s="65"/>
      <c r="G128" s="65" t="s">
        <v>618</v>
      </c>
      <c r="H128" s="65"/>
    </row>
    <row r="129">
      <c r="A129" s="80" t="str">
        <f t="shared" si="1"/>
        <v>noisy-cockatoo</v>
      </c>
      <c r="B129" s="63" t="str">
        <f>'analysis _non-RE-nodes'!A107</f>
        <v>Noisy Cockatoo</v>
      </c>
      <c r="C129" s="69" t="str">
        <f t="shared" si="3"/>
        <v>Noisy Cockatoo</v>
      </c>
      <c r="D129" s="64" t="s">
        <v>721</v>
      </c>
      <c r="E129" s="69" t="str">
        <f>IFERROR(__xludf.DUMMYFUNCTION("TEXTJOIN("""", TRUE, ARRAYFORMULA(LEFT(SPLIT(C129, "" ""),1)))"),"NC")</f>
        <v>NC</v>
      </c>
      <c r="F129" s="65"/>
      <c r="G129" s="65" t="s">
        <v>618</v>
      </c>
      <c r="H129" s="65"/>
    </row>
    <row r="130">
      <c r="A130" s="80" t="str">
        <f t="shared" si="1"/>
        <v>noisy-echidna</v>
      </c>
      <c r="B130" s="63" t="str">
        <f>'analysis _non-RE-nodes'!A108</f>
        <v>Noisy Echidna</v>
      </c>
      <c r="C130" s="69" t="str">
        <f t="shared" si="3"/>
        <v>Noisy Echidna</v>
      </c>
      <c r="D130" s="64" t="s">
        <v>722</v>
      </c>
      <c r="E130" s="69" t="str">
        <f>IFERROR(__xludf.DUMMYFUNCTION("TEXTJOIN("""", TRUE, ARRAYFORMULA(LEFT(SPLIT(C130, "" ""),1)))"),"NE")</f>
        <v>NE</v>
      </c>
      <c r="F130" s="65"/>
      <c r="G130" s="65" t="s">
        <v>618</v>
      </c>
      <c r="H130" s="65"/>
    </row>
    <row r="131">
      <c r="A131" s="80" t="str">
        <f t="shared" si="1"/>
        <v>noisy-kangaroo</v>
      </c>
      <c r="B131" s="63" t="str">
        <f>'analysis _non-RE-nodes'!A109</f>
        <v>Noisy Kangaroo</v>
      </c>
      <c r="C131" s="69" t="str">
        <f t="shared" si="3"/>
        <v>Noisy Kangaroo</v>
      </c>
      <c r="D131" s="64" t="s">
        <v>723</v>
      </c>
      <c r="E131" s="69" t="str">
        <f>IFERROR(__xludf.DUMMYFUNCTION("TEXTJOIN("""", TRUE, ARRAYFORMULA(LEFT(SPLIT(C131, "" ""),1)))"),"NK")</f>
        <v>NK</v>
      </c>
      <c r="F131" s="65"/>
      <c r="G131" s="65" t="s">
        <v>618</v>
      </c>
      <c r="H131" s="65"/>
    </row>
    <row r="132">
      <c r="A132" s="80" t="str">
        <f t="shared" si="1"/>
        <v>noisy-kookaburra</v>
      </c>
      <c r="B132" s="63" t="str">
        <f>'analysis _non-RE-nodes'!A110</f>
        <v>Noisy Kookaburra</v>
      </c>
      <c r="C132" s="69" t="str">
        <f t="shared" si="3"/>
        <v>Noisy Kookaburra</v>
      </c>
      <c r="D132" s="64" t="s">
        <v>724</v>
      </c>
      <c r="E132" s="69" t="str">
        <f>IFERROR(__xludf.DUMMYFUNCTION("TEXTJOIN("""", TRUE, ARRAYFORMULA(LEFT(SPLIT(C132, "" ""),1)))"),"NK")</f>
        <v>NK</v>
      </c>
      <c r="F132" s="65"/>
      <c r="G132" s="65" t="s">
        <v>618</v>
      </c>
      <c r="H132" s="65"/>
    </row>
    <row r="133">
      <c r="A133" s="80" t="str">
        <f t="shared" si="1"/>
        <v>noisy-numbat</v>
      </c>
      <c r="B133" s="63" t="str">
        <f>'analysis _non-RE-nodes'!A111</f>
        <v>Noisy Numbat</v>
      </c>
      <c r="C133" s="69" t="str">
        <f t="shared" si="3"/>
        <v>Noisy Numbat</v>
      </c>
      <c r="D133" s="64" t="s">
        <v>725</v>
      </c>
      <c r="E133" s="69" t="str">
        <f>IFERROR(__xludf.DUMMYFUNCTION("TEXTJOIN("""", TRUE, ARRAYFORMULA(LEFT(SPLIT(C133, "" ""),1)))"),"NN")</f>
        <v>NN</v>
      </c>
      <c r="F133" s="65"/>
      <c r="G133" s="65" t="s">
        <v>618</v>
      </c>
      <c r="H133" s="65"/>
    </row>
    <row r="134">
      <c r="A134" s="80" t="str">
        <f t="shared" si="1"/>
        <v>noisy-perentie</v>
      </c>
      <c r="B134" s="63" t="str">
        <f>'analysis _non-RE-nodes'!A112</f>
        <v>Noisy Perentie</v>
      </c>
      <c r="C134" s="69" t="str">
        <f t="shared" si="3"/>
        <v>Noisy Perentie</v>
      </c>
      <c r="D134" s="64" t="s">
        <v>726</v>
      </c>
      <c r="E134" s="69" t="str">
        <f>IFERROR(__xludf.DUMMYFUNCTION("TEXTJOIN("""", TRUE, ARRAYFORMULA(LEFT(SPLIT(C134, "" ""),1)))"),"NP")</f>
        <v>NP</v>
      </c>
      <c r="F134" s="65"/>
      <c r="G134" s="65" t="s">
        <v>618</v>
      </c>
      <c r="H134" s="65"/>
    </row>
    <row r="135">
      <c r="A135" s="80" t="str">
        <f t="shared" si="1"/>
        <v>noisy-possum</v>
      </c>
      <c r="B135" s="63" t="str">
        <f>'analysis _non-RE-nodes'!A113</f>
        <v>Noisy Possum</v>
      </c>
      <c r="C135" s="69" t="str">
        <f t="shared" si="3"/>
        <v>Noisy Possum</v>
      </c>
      <c r="D135" s="64" t="s">
        <v>727</v>
      </c>
      <c r="E135" s="69" t="str">
        <f>IFERROR(__xludf.DUMMYFUNCTION("TEXTJOIN("""", TRUE, ARRAYFORMULA(LEFT(SPLIT(C135, "" ""),1)))"),"NP")</f>
        <v>NP</v>
      </c>
      <c r="F135" s="65"/>
      <c r="G135" s="65" t="s">
        <v>618</v>
      </c>
      <c r="H135" s="65"/>
    </row>
    <row r="136">
      <c r="A136" s="80" t="str">
        <f t="shared" si="1"/>
        <v>noisy-redback-spider</v>
      </c>
      <c r="B136" s="63" t="str">
        <f>'analysis _non-RE-nodes'!A114</f>
        <v>Noisy Redback Spider</v>
      </c>
      <c r="C136" s="69" t="str">
        <f t="shared" si="3"/>
        <v>Noisy Redback Spider</v>
      </c>
      <c r="D136" s="64" t="s">
        <v>728</v>
      </c>
      <c r="E136" s="69" t="str">
        <f>IFERROR(__xludf.DUMMYFUNCTION("TEXTJOIN("""", TRUE, ARRAYFORMULA(LEFT(SPLIT(C136, "" ""),1)))"),"NRS")</f>
        <v>NRS</v>
      </c>
      <c r="F136" s="65"/>
      <c r="G136" s="65" t="s">
        <v>618</v>
      </c>
      <c r="H136" s="65"/>
    </row>
    <row r="137">
      <c r="A137" s="80" t="str">
        <f t="shared" si="1"/>
        <v>noisy-rosella</v>
      </c>
      <c r="B137" s="63" t="str">
        <f>'analysis _non-RE-nodes'!A115</f>
        <v>Noisy Rosella</v>
      </c>
      <c r="C137" s="69" t="str">
        <f t="shared" si="3"/>
        <v>Noisy Rosella</v>
      </c>
      <c r="D137" s="64" t="s">
        <v>729</v>
      </c>
      <c r="E137" s="69" t="str">
        <f>IFERROR(__xludf.DUMMYFUNCTION("TEXTJOIN("""", TRUE, ARRAYFORMULA(LEFT(SPLIT(C137, "" ""),1)))"),"NR")</f>
        <v>NR</v>
      </c>
      <c r="F137" s="65"/>
      <c r="G137" s="65" t="s">
        <v>618</v>
      </c>
      <c r="H137" s="65"/>
    </row>
    <row r="138">
      <c r="A138" s="80" t="str">
        <f t="shared" si="1"/>
        <v>noisy-sugar-glider</v>
      </c>
      <c r="B138" s="63" t="str">
        <f>'analysis _non-RE-nodes'!A116</f>
        <v>Noisy Sugar Glider</v>
      </c>
      <c r="C138" s="69" t="str">
        <f t="shared" si="3"/>
        <v>Noisy Sugar Glider</v>
      </c>
      <c r="D138" s="64" t="s">
        <v>730</v>
      </c>
      <c r="E138" s="69" t="str">
        <f>IFERROR(__xludf.DUMMYFUNCTION("TEXTJOIN("""", TRUE, ARRAYFORMULA(LEFT(SPLIT(C138, "" ""),1)))"),"NSG")</f>
        <v>NSG</v>
      </c>
      <c r="F138" s="65"/>
      <c r="G138" s="65" t="s">
        <v>618</v>
      </c>
      <c r="H138" s="65"/>
    </row>
    <row r="139">
      <c r="A139" s="80" t="str">
        <f t="shared" si="1"/>
        <v>noisy-tree-kangaroo</v>
      </c>
      <c r="B139" s="63" t="str">
        <f>'analysis _non-RE-nodes'!A117</f>
        <v>Noisy Tree Kangaroo</v>
      </c>
      <c r="C139" s="69" t="str">
        <f t="shared" si="3"/>
        <v>Noisy Tree Kangaroo</v>
      </c>
      <c r="D139" s="64" t="s">
        <v>731</v>
      </c>
      <c r="E139" s="69" t="str">
        <f>IFERROR(__xludf.DUMMYFUNCTION("TEXTJOIN("""", TRUE, ARRAYFORMULA(LEFT(SPLIT(C139, "" ""),1)))"),"NTK")</f>
        <v>NTK</v>
      </c>
      <c r="F139" s="65"/>
      <c r="G139" s="65" t="s">
        <v>618</v>
      </c>
      <c r="H139" s="65"/>
    </row>
    <row r="140">
      <c r="A140" s="80" t="str">
        <f t="shared" si="1"/>
        <v>noisy-wombat</v>
      </c>
      <c r="B140" s="63" t="str">
        <f>'analysis _non-RE-nodes'!A118</f>
        <v>Noisy Wombat</v>
      </c>
      <c r="C140" s="69" t="str">
        <f t="shared" si="3"/>
        <v>Noisy Wombat</v>
      </c>
      <c r="D140" s="64" t="s">
        <v>732</v>
      </c>
      <c r="E140" s="69" t="str">
        <f>IFERROR(__xludf.DUMMYFUNCTION("TEXTJOIN("""", TRUE, ARRAYFORMULA(LEFT(SPLIT(C140, "" ""),1)))"),"NW")</f>
        <v>NW</v>
      </c>
      <c r="F140" s="65"/>
      <c r="G140" s="65" t="s">
        <v>618</v>
      </c>
      <c r="H140" s="65"/>
    </row>
    <row r="141">
      <c r="A141" s="80" t="str">
        <f t="shared" si="1"/>
        <v>red-australian-magpie</v>
      </c>
      <c r="B141" s="63" t="str">
        <f>'analysis _non-RE-nodes'!A119</f>
        <v>Red Australian Magpie</v>
      </c>
      <c r="C141" s="69" t="str">
        <f t="shared" si="3"/>
        <v>Red Australian Magpie</v>
      </c>
      <c r="D141" s="64" t="s">
        <v>733</v>
      </c>
      <c r="E141" s="69" t="str">
        <f>IFERROR(__xludf.DUMMYFUNCTION("TEXTJOIN("""", TRUE, ARRAYFORMULA(LEFT(SPLIT(C141, "" ""),1)))"),"RAM")</f>
        <v>RAM</v>
      </c>
      <c r="F141" s="65"/>
      <c r="G141" s="65" t="s">
        <v>618</v>
      </c>
      <c r="H141" s="65"/>
    </row>
    <row r="142">
      <c r="A142" s="80" t="str">
        <f t="shared" si="1"/>
        <v>red-bush-stone-curlew</v>
      </c>
      <c r="B142" s="63" t="str">
        <f>'analysis _non-RE-nodes'!A120</f>
        <v>Red Bush Stone-curlew</v>
      </c>
      <c r="C142" s="69" t="str">
        <f t="shared" si="3"/>
        <v>Red Bush Stone-curlew</v>
      </c>
      <c r="D142" s="64" t="s">
        <v>734</v>
      </c>
      <c r="E142" s="69" t="str">
        <f>IFERROR(__xludf.DUMMYFUNCTION("TEXTJOIN("""", TRUE, ARRAYFORMULA(LEFT(SPLIT(C142, "" ""),1)))"),"RBS")</f>
        <v>RBS</v>
      </c>
      <c r="F142" s="65"/>
      <c r="G142" s="65" t="s">
        <v>618</v>
      </c>
      <c r="H142" s="65"/>
    </row>
    <row r="143">
      <c r="A143" s="80" t="str">
        <f t="shared" si="1"/>
        <v>red-dingo</v>
      </c>
      <c r="B143" s="63" t="str">
        <f>'analysis _non-RE-nodes'!A121</f>
        <v>Red Dingo</v>
      </c>
      <c r="C143" s="69" t="str">
        <f t="shared" si="3"/>
        <v>Red Dingo</v>
      </c>
      <c r="D143" s="64" t="s">
        <v>735</v>
      </c>
      <c r="E143" s="69" t="str">
        <f>IFERROR(__xludf.DUMMYFUNCTION("TEXTJOIN("""", TRUE, ARRAYFORMULA(LEFT(SPLIT(C143, "" ""),1)))"),"RD")</f>
        <v>RD</v>
      </c>
      <c r="F143" s="65"/>
      <c r="G143" s="65" t="s">
        <v>618</v>
      </c>
      <c r="H143" s="65"/>
    </row>
    <row r="144">
      <c r="A144" s="80" t="str">
        <f t="shared" si="1"/>
        <v>red-fairy-penguin</v>
      </c>
      <c r="B144" s="63" t="str">
        <f>'analysis _non-RE-nodes'!A122</f>
        <v>Red Fairy Penguin</v>
      </c>
      <c r="C144" s="69" t="str">
        <f t="shared" si="3"/>
        <v>Red Fairy Penguin</v>
      </c>
      <c r="D144" s="64" t="s">
        <v>736</v>
      </c>
      <c r="E144" s="69" t="str">
        <f>IFERROR(__xludf.DUMMYFUNCTION("TEXTJOIN("""", TRUE, ARRAYFORMULA(LEFT(SPLIT(C144, "" ""),1)))"),"RFP")</f>
        <v>RFP</v>
      </c>
      <c r="F144" s="65"/>
      <c r="G144" s="65" t="s">
        <v>618</v>
      </c>
      <c r="H144" s="65"/>
    </row>
    <row r="145">
      <c r="A145" s="80" t="str">
        <f t="shared" si="1"/>
        <v>red-frilled-neck-lizard</v>
      </c>
      <c r="B145" s="63" t="str">
        <f>'analysis _non-RE-nodes'!A123</f>
        <v>Red Frilled Neck Lizard</v>
      </c>
      <c r="C145" s="69" t="str">
        <f t="shared" si="3"/>
        <v>Red Frilled Neck Lizard</v>
      </c>
      <c r="D145" s="64" t="s">
        <v>737</v>
      </c>
      <c r="E145" s="69" t="str">
        <f>IFERROR(__xludf.DUMMYFUNCTION("TEXTJOIN("""", TRUE, ARRAYFORMULA(LEFT(SPLIT(C145, "" ""),1)))"),"RFNL")</f>
        <v>RFNL</v>
      </c>
      <c r="F145" s="65"/>
      <c r="G145" s="65" t="s">
        <v>618</v>
      </c>
      <c r="H145" s="65"/>
    </row>
    <row r="146">
      <c r="A146" s="80" t="str">
        <f t="shared" si="1"/>
        <v>red-koala</v>
      </c>
      <c r="B146" s="63" t="str">
        <f>'analysis _non-RE-nodes'!A124</f>
        <v>Red Koala</v>
      </c>
      <c r="C146" s="69" t="str">
        <f t="shared" si="3"/>
        <v>Red Koala</v>
      </c>
      <c r="D146" s="64" t="s">
        <v>738</v>
      </c>
      <c r="E146" s="69" t="str">
        <f>IFERROR(__xludf.DUMMYFUNCTION("TEXTJOIN("""", TRUE, ARRAYFORMULA(LEFT(SPLIT(C146, "" ""),1)))"),"RK")</f>
        <v>RK</v>
      </c>
      <c r="F146" s="65"/>
      <c r="G146" s="65" t="s">
        <v>618</v>
      </c>
      <c r="H146" s="65"/>
    </row>
    <row r="147">
      <c r="A147" s="80" t="str">
        <f t="shared" si="1"/>
        <v>red-numbat</v>
      </c>
      <c r="B147" s="63" t="str">
        <f>'analysis _non-RE-nodes'!A125</f>
        <v>Red Numbat</v>
      </c>
      <c r="C147" s="69" t="str">
        <f t="shared" si="3"/>
        <v>Red Numbat</v>
      </c>
      <c r="D147" s="64" t="s">
        <v>739</v>
      </c>
      <c r="E147" s="69" t="str">
        <f>IFERROR(__xludf.DUMMYFUNCTION("TEXTJOIN("""", TRUE, ARRAYFORMULA(LEFT(SPLIT(C147, "" ""),1)))"),"RN")</f>
        <v>RN</v>
      </c>
      <c r="F147" s="65"/>
      <c r="G147" s="65" t="s">
        <v>618</v>
      </c>
      <c r="H147" s="65"/>
    </row>
    <row r="148">
      <c r="A148" s="80" t="str">
        <f t="shared" si="1"/>
        <v>red-tasmanian-devil</v>
      </c>
      <c r="B148" s="63" t="str">
        <f>'analysis _non-RE-nodes'!A126</f>
        <v>Red Tasmanian Devil</v>
      </c>
      <c r="C148" s="69" t="str">
        <f t="shared" si="3"/>
        <v>Red Tasmanian Devil</v>
      </c>
      <c r="D148" s="64" t="s">
        <v>740</v>
      </c>
      <c r="E148" s="69" t="str">
        <f>IFERROR(__xludf.DUMMYFUNCTION("TEXTJOIN("""", TRUE, ARRAYFORMULA(LEFT(SPLIT(C148, "" ""),1)))"),"RTD")</f>
        <v>RTD</v>
      </c>
      <c r="F148" s="65"/>
      <c r="G148" s="65" t="s">
        <v>618</v>
      </c>
      <c r="H148" s="65"/>
    </row>
    <row r="149">
      <c r="A149" s="80" t="str">
        <f t="shared" si="1"/>
        <v>red-thorny-devil</v>
      </c>
      <c r="B149" s="63" t="str">
        <f>'analysis _non-RE-nodes'!A127</f>
        <v>Red Thorny Devil</v>
      </c>
      <c r="C149" s="69" t="str">
        <f t="shared" si="3"/>
        <v>Red Thorny Devil</v>
      </c>
      <c r="D149" s="64" t="s">
        <v>741</v>
      </c>
      <c r="E149" s="69" t="str">
        <f>IFERROR(__xludf.DUMMYFUNCTION("TEXTJOIN("""", TRUE, ARRAYFORMULA(LEFT(SPLIT(C149, "" ""),1)))"),"RTD")</f>
        <v>RTD</v>
      </c>
      <c r="F149" s="65"/>
      <c r="G149" s="65" t="s">
        <v>618</v>
      </c>
      <c r="H149" s="65"/>
    </row>
    <row r="150">
      <c r="A150" s="80" t="str">
        <f t="shared" si="1"/>
        <v>red-tree-kangaroo</v>
      </c>
      <c r="B150" s="63" t="str">
        <f>'analysis _non-RE-nodes'!A128</f>
        <v>Red Tree Kangaroo</v>
      </c>
      <c r="C150" s="69" t="str">
        <f t="shared" si="3"/>
        <v>Red Tree Kangaroo</v>
      </c>
      <c r="D150" s="64" t="s">
        <v>742</v>
      </c>
      <c r="E150" s="69" t="str">
        <f>IFERROR(__xludf.DUMMYFUNCTION("TEXTJOIN("""", TRUE, ARRAYFORMULA(LEFT(SPLIT(C150, "" ""),1)))"),"RTK")</f>
        <v>RTK</v>
      </c>
      <c r="F150" s="65"/>
      <c r="G150" s="65" t="s">
        <v>618</v>
      </c>
      <c r="H150" s="65"/>
    </row>
    <row r="151">
      <c r="A151" s="80" t="str">
        <f t="shared" si="1"/>
        <v>red-wombat</v>
      </c>
      <c r="B151" s="63" t="str">
        <f>'analysis _non-RE-nodes'!A129</f>
        <v>Red Wombat</v>
      </c>
      <c r="C151" s="69" t="str">
        <f t="shared" si="3"/>
        <v>Red Wombat</v>
      </c>
      <c r="D151" s="64" t="s">
        <v>743</v>
      </c>
      <c r="E151" s="69" t="str">
        <f>IFERROR(__xludf.DUMMYFUNCTION("TEXTJOIN("""", TRUE, ARRAYFORMULA(LEFT(SPLIT(C151, "" ""),1)))"),"RW")</f>
        <v>RW</v>
      </c>
      <c r="F151" s="65"/>
      <c r="G151" s="65" t="s">
        <v>618</v>
      </c>
      <c r="H151" s="65"/>
    </row>
    <row r="152">
      <c r="A152" s="80" t="str">
        <f t="shared" si="1"/>
        <v>shy-australian-magpie</v>
      </c>
      <c r="B152" s="63" t="str">
        <f>'analysis _non-RE-nodes'!A130</f>
        <v>Shy Australian Magpie</v>
      </c>
      <c r="C152" s="69" t="str">
        <f t="shared" si="3"/>
        <v>Shy Australian Magpie</v>
      </c>
      <c r="D152" s="64" t="s">
        <v>744</v>
      </c>
      <c r="E152" s="69" t="str">
        <f>IFERROR(__xludf.DUMMYFUNCTION("TEXTJOIN("""", TRUE, ARRAYFORMULA(LEFT(SPLIT(C152, "" ""),1)))"),"SAM")</f>
        <v>SAM</v>
      </c>
      <c r="F152" s="65"/>
      <c r="G152" s="65" t="s">
        <v>618</v>
      </c>
      <c r="H152" s="65"/>
    </row>
    <row r="153">
      <c r="A153" s="80" t="str">
        <f t="shared" si="1"/>
        <v>shy-bilby</v>
      </c>
      <c r="B153" s="63" t="str">
        <f>'analysis _non-RE-nodes'!A131</f>
        <v>Shy Bilby</v>
      </c>
      <c r="C153" s="69" t="str">
        <f t="shared" si="3"/>
        <v>Shy Bilby</v>
      </c>
      <c r="D153" s="64" t="s">
        <v>745</v>
      </c>
      <c r="E153" s="69" t="str">
        <f>IFERROR(__xludf.DUMMYFUNCTION("TEXTJOIN("""", TRUE, ARRAYFORMULA(LEFT(SPLIT(C153, "" ""),1)))"),"SB")</f>
        <v>SB</v>
      </c>
      <c r="F153" s="65"/>
      <c r="G153" s="65" t="s">
        <v>618</v>
      </c>
      <c r="H153" s="65"/>
    </row>
    <row r="154">
      <c r="A154" s="80" t="str">
        <f t="shared" si="1"/>
        <v>shy-blue-tongue-skink</v>
      </c>
      <c r="B154" s="63" t="str">
        <f>'analysis _non-RE-nodes'!A132</f>
        <v>Shy Blue-tongue Skink</v>
      </c>
      <c r="C154" s="69" t="str">
        <f t="shared" si="3"/>
        <v>Shy Blue-tongue Skink</v>
      </c>
      <c r="D154" s="64" t="s">
        <v>746</v>
      </c>
      <c r="E154" s="69" t="str">
        <f>IFERROR(__xludf.DUMMYFUNCTION("TEXTJOIN("""", TRUE, ARRAYFORMULA(LEFT(SPLIT(C154, "" ""),1)))"),"SBS")</f>
        <v>SBS</v>
      </c>
      <c r="F154" s="65"/>
      <c r="G154" s="65" t="s">
        <v>618</v>
      </c>
      <c r="H154" s="65"/>
    </row>
    <row r="155">
      <c r="A155" s="80" t="str">
        <f t="shared" si="1"/>
        <v>shy-cockatoo</v>
      </c>
      <c r="B155" s="63" t="str">
        <f>'analysis _non-RE-nodes'!A133</f>
        <v>Shy Cockatoo</v>
      </c>
      <c r="C155" s="69" t="str">
        <f t="shared" si="3"/>
        <v>Shy Cockatoo</v>
      </c>
      <c r="D155" s="64" t="s">
        <v>747</v>
      </c>
      <c r="E155" s="69" t="str">
        <f>IFERROR(__xludf.DUMMYFUNCTION("TEXTJOIN("""", TRUE, ARRAYFORMULA(LEFT(SPLIT(C155, "" ""),1)))"),"SC")</f>
        <v>SC</v>
      </c>
      <c r="F155" s="65"/>
      <c r="G155" s="65" t="s">
        <v>618</v>
      </c>
      <c r="H155" s="65"/>
    </row>
    <row r="156">
      <c r="A156" s="80" t="str">
        <f t="shared" si="1"/>
        <v>shy-dingo</v>
      </c>
      <c r="B156" s="63" t="str">
        <f>'analysis _non-RE-nodes'!A134</f>
        <v>Shy Dingo</v>
      </c>
      <c r="C156" s="69" t="str">
        <f t="shared" si="3"/>
        <v>Shy Dingo</v>
      </c>
      <c r="D156" s="64" t="s">
        <v>748</v>
      </c>
      <c r="E156" s="69" t="str">
        <f>IFERROR(__xludf.DUMMYFUNCTION("TEXTJOIN("""", TRUE, ARRAYFORMULA(LEFT(SPLIT(C156, "" ""),1)))"),"SD")</f>
        <v>SD</v>
      </c>
      <c r="F156" s="65"/>
      <c r="G156" s="65" t="s">
        <v>618</v>
      </c>
      <c r="H156" s="65"/>
    </row>
    <row r="157">
      <c r="A157" s="80" t="str">
        <f t="shared" si="1"/>
        <v>shy-echidna</v>
      </c>
      <c r="B157" s="63" t="str">
        <f>'analysis _non-RE-nodes'!A135</f>
        <v>Shy Echidna</v>
      </c>
      <c r="C157" s="69" t="str">
        <f t="shared" si="3"/>
        <v>Shy Echidna</v>
      </c>
      <c r="D157" s="64" t="s">
        <v>749</v>
      </c>
      <c r="E157" s="69" t="str">
        <f>IFERROR(__xludf.DUMMYFUNCTION("TEXTJOIN("""", TRUE, ARRAYFORMULA(LEFT(SPLIT(C157, "" ""),1)))"),"SE")</f>
        <v>SE</v>
      </c>
      <c r="F157" s="65"/>
      <c r="G157" s="65" t="s">
        <v>618</v>
      </c>
      <c r="H157" s="65"/>
    </row>
    <row r="158">
      <c r="A158" s="80" t="str">
        <f t="shared" si="1"/>
        <v>shy-frilled-neck-lizard</v>
      </c>
      <c r="B158" s="63" t="str">
        <f>'analysis _non-RE-nodes'!A136</f>
        <v>Shy Frilled Neck Lizard</v>
      </c>
      <c r="C158" s="69" t="str">
        <f t="shared" si="3"/>
        <v>Shy Frilled Neck Lizard</v>
      </c>
      <c r="D158" s="64" t="s">
        <v>750</v>
      </c>
      <c r="E158" s="69" t="str">
        <f>IFERROR(__xludf.DUMMYFUNCTION("TEXTJOIN("""", TRUE, ARRAYFORMULA(LEFT(SPLIT(C158, "" ""),1)))"),"SFNL")</f>
        <v>SFNL</v>
      </c>
      <c r="F158" s="65"/>
      <c r="G158" s="65" t="s">
        <v>618</v>
      </c>
      <c r="H158" s="65"/>
    </row>
    <row r="159">
      <c r="A159" s="80" t="str">
        <f t="shared" si="1"/>
        <v>shy-koala</v>
      </c>
      <c r="B159" s="63" t="str">
        <f>'analysis _non-RE-nodes'!A137</f>
        <v>Shy Koala</v>
      </c>
      <c r="C159" s="69" t="str">
        <f t="shared" si="3"/>
        <v>Shy Koala</v>
      </c>
      <c r="D159" s="64" t="s">
        <v>751</v>
      </c>
      <c r="E159" s="69" t="str">
        <f>IFERROR(__xludf.DUMMYFUNCTION("TEXTJOIN("""", TRUE, ARRAYFORMULA(LEFT(SPLIT(C159, "" ""),1)))"),"SK")</f>
        <v>SK</v>
      </c>
      <c r="F159" s="65"/>
      <c r="G159" s="65" t="s">
        <v>618</v>
      </c>
      <c r="H159" s="65"/>
    </row>
    <row r="160">
      <c r="A160" s="80" t="str">
        <f t="shared" si="1"/>
        <v>shy-kookaburra</v>
      </c>
      <c r="B160" s="63" t="str">
        <f>'analysis _non-RE-nodes'!A138</f>
        <v>Shy Kookaburra</v>
      </c>
      <c r="C160" s="69" t="str">
        <f t="shared" si="3"/>
        <v>Shy Kookaburra</v>
      </c>
      <c r="D160" s="64" t="s">
        <v>752</v>
      </c>
      <c r="E160" s="69" t="str">
        <f>IFERROR(__xludf.DUMMYFUNCTION("TEXTJOIN("""", TRUE, ARRAYFORMULA(LEFT(SPLIT(C160, "" ""),1)))"),"SK")</f>
        <v>SK</v>
      </c>
      <c r="F160" s="65"/>
      <c r="G160" s="65" t="s">
        <v>618</v>
      </c>
      <c r="H160" s="65"/>
    </row>
    <row r="161">
      <c r="A161" s="80" t="str">
        <f t="shared" si="1"/>
        <v>shy-lyrebird</v>
      </c>
      <c r="B161" s="63" t="str">
        <f>'analysis _non-RE-nodes'!A139</f>
        <v>Shy Lyrebird</v>
      </c>
      <c r="C161" s="69" t="str">
        <f t="shared" si="3"/>
        <v>Shy Lyrebird</v>
      </c>
      <c r="D161" s="64" t="s">
        <v>753</v>
      </c>
      <c r="E161" s="69" t="str">
        <f>IFERROR(__xludf.DUMMYFUNCTION("TEXTJOIN("""", TRUE, ARRAYFORMULA(LEFT(SPLIT(C161, "" ""),1)))"),"SL")</f>
        <v>SL</v>
      </c>
      <c r="F161" s="65"/>
      <c r="G161" s="65" t="s">
        <v>618</v>
      </c>
      <c r="H161" s="65"/>
    </row>
    <row r="162">
      <c r="A162" s="80" t="str">
        <f t="shared" si="1"/>
        <v>shy-numbat</v>
      </c>
      <c r="B162" s="63" t="str">
        <f>'analysis _non-RE-nodes'!A140</f>
        <v>Shy Numbat</v>
      </c>
      <c r="C162" s="69" t="str">
        <f t="shared" si="3"/>
        <v>Shy Numbat</v>
      </c>
      <c r="D162" s="64" t="s">
        <v>754</v>
      </c>
      <c r="E162" s="69" t="str">
        <f>IFERROR(__xludf.DUMMYFUNCTION("TEXTJOIN("""", TRUE, ARRAYFORMULA(LEFT(SPLIT(C162, "" ""),1)))"),"SN")</f>
        <v>SN</v>
      </c>
      <c r="F162" s="65"/>
      <c r="G162" s="65" t="s">
        <v>618</v>
      </c>
      <c r="H162" s="65"/>
    </row>
    <row r="163">
      <c r="A163" s="80" t="str">
        <f t="shared" si="1"/>
        <v>shy-platypus</v>
      </c>
      <c r="B163" s="63" t="str">
        <f>'analysis _non-RE-nodes'!A141</f>
        <v>Shy Platypus</v>
      </c>
      <c r="C163" s="69" t="str">
        <f t="shared" si="3"/>
        <v>Shy Platypus</v>
      </c>
      <c r="D163" s="64" t="s">
        <v>755</v>
      </c>
      <c r="E163" s="69" t="str">
        <f>IFERROR(__xludf.DUMMYFUNCTION("TEXTJOIN("""", TRUE, ARRAYFORMULA(LEFT(SPLIT(C163, "" ""),1)))"),"SP")</f>
        <v>SP</v>
      </c>
      <c r="F163" s="65"/>
      <c r="G163" s="65" t="s">
        <v>618</v>
      </c>
      <c r="H163" s="65"/>
    </row>
    <row r="164">
      <c r="A164" s="80" t="str">
        <f t="shared" si="1"/>
        <v>shy-possum</v>
      </c>
      <c r="B164" s="63" t="str">
        <f>'analysis _non-RE-nodes'!A142</f>
        <v>Shy Possum</v>
      </c>
      <c r="C164" s="69" t="str">
        <f t="shared" si="3"/>
        <v>Shy Possum</v>
      </c>
      <c r="D164" s="64" t="s">
        <v>756</v>
      </c>
      <c r="E164" s="69" t="str">
        <f>IFERROR(__xludf.DUMMYFUNCTION("TEXTJOIN("""", TRUE, ARRAYFORMULA(LEFT(SPLIT(C164, "" ""),1)))"),"SP")</f>
        <v>SP</v>
      </c>
      <c r="F164" s="65"/>
      <c r="G164" s="65" t="s">
        <v>618</v>
      </c>
      <c r="H164" s="65"/>
    </row>
    <row r="165">
      <c r="A165" s="80" t="str">
        <f t="shared" si="1"/>
        <v>shy-quokka</v>
      </c>
      <c r="B165" s="63" t="str">
        <f>'analysis _non-RE-nodes'!A143</f>
        <v>Shy Quokka</v>
      </c>
      <c r="C165" s="69" t="str">
        <f t="shared" si="3"/>
        <v>Shy Quokka</v>
      </c>
      <c r="D165" s="64" t="s">
        <v>757</v>
      </c>
      <c r="E165" s="69" t="str">
        <f>IFERROR(__xludf.DUMMYFUNCTION("TEXTJOIN("""", TRUE, ARRAYFORMULA(LEFT(SPLIT(C165, "" ""),1)))"),"SQ")</f>
        <v>SQ</v>
      </c>
      <c r="F165" s="65"/>
      <c r="G165" s="65" t="s">
        <v>618</v>
      </c>
      <c r="H165" s="65"/>
    </row>
    <row r="166">
      <c r="A166" s="80" t="str">
        <f t="shared" si="1"/>
        <v>shy-tasmanian-devil</v>
      </c>
      <c r="B166" s="63" t="str">
        <f>'analysis _non-RE-nodes'!A144</f>
        <v>Shy Tasmanian Devil</v>
      </c>
      <c r="C166" s="69" t="str">
        <f t="shared" si="3"/>
        <v>Shy Tasmanian Devil</v>
      </c>
      <c r="D166" s="64" t="s">
        <v>758</v>
      </c>
      <c r="E166" s="69" t="str">
        <f>IFERROR(__xludf.DUMMYFUNCTION("TEXTJOIN("""", TRUE, ARRAYFORMULA(LEFT(SPLIT(C166, "" ""),1)))"),"STD")</f>
        <v>STD</v>
      </c>
      <c r="F166" s="65"/>
      <c r="G166" s="65" t="s">
        <v>618</v>
      </c>
      <c r="H166" s="65"/>
    </row>
    <row r="167">
      <c r="A167" s="80" t="str">
        <f t="shared" si="1"/>
        <v>shy-wallaby</v>
      </c>
      <c r="B167" s="63" t="str">
        <f>'analysis _non-RE-nodes'!A145</f>
        <v>Shy Wallaby</v>
      </c>
      <c r="C167" s="69" t="str">
        <f t="shared" si="3"/>
        <v>Shy Wallaby</v>
      </c>
      <c r="D167" s="64" t="s">
        <v>759</v>
      </c>
      <c r="E167" s="69" t="str">
        <f>IFERROR(__xludf.DUMMYFUNCTION("TEXTJOIN("""", TRUE, ARRAYFORMULA(LEFT(SPLIT(C167, "" ""),1)))"),"SW")</f>
        <v>SW</v>
      </c>
      <c r="F167" s="65"/>
      <c r="G167" s="65" t="s">
        <v>618</v>
      </c>
      <c r="H167" s="65"/>
    </row>
    <row r="168">
      <c r="A168" s="80" t="str">
        <f t="shared" si="1"/>
        <v>silent-bandicoot</v>
      </c>
      <c r="B168" s="63" t="str">
        <f>'analysis _non-RE-nodes'!A146</f>
        <v>Silent Bandicoot</v>
      </c>
      <c r="C168" s="69" t="str">
        <f t="shared" si="3"/>
        <v>Silent Bandicoot</v>
      </c>
      <c r="D168" s="64" t="s">
        <v>760</v>
      </c>
      <c r="E168" s="69" t="str">
        <f>IFERROR(__xludf.DUMMYFUNCTION("TEXTJOIN("""", TRUE, ARRAYFORMULA(LEFT(SPLIT(C168, "" ""),1)))"),"SB")</f>
        <v>SB</v>
      </c>
      <c r="F168" s="65"/>
      <c r="G168" s="65" t="s">
        <v>618</v>
      </c>
      <c r="H168" s="65"/>
    </row>
    <row r="169">
      <c r="A169" s="80" t="str">
        <f t="shared" si="1"/>
        <v>silent-cassowary</v>
      </c>
      <c r="B169" s="63" t="str">
        <f>'analysis _non-RE-nodes'!A147</f>
        <v>Silent Cassowary</v>
      </c>
      <c r="C169" s="69" t="str">
        <f t="shared" si="3"/>
        <v>Silent Cassowary</v>
      </c>
      <c r="D169" s="64" t="s">
        <v>761</v>
      </c>
      <c r="E169" s="69" t="str">
        <f>IFERROR(__xludf.DUMMYFUNCTION("TEXTJOIN("""", TRUE, ARRAYFORMULA(LEFT(SPLIT(C169, "" ""),1)))"),"SC")</f>
        <v>SC</v>
      </c>
      <c r="F169" s="65"/>
      <c r="G169" s="65" t="s">
        <v>618</v>
      </c>
      <c r="H169" s="65"/>
    </row>
    <row r="170">
      <c r="A170" s="80" t="str">
        <f t="shared" si="1"/>
        <v>silent-fairy-penguin</v>
      </c>
      <c r="B170" s="63" t="str">
        <f>'analysis _non-RE-nodes'!A148</f>
        <v>Silent Fairy Penguin</v>
      </c>
      <c r="C170" s="69" t="str">
        <f t="shared" si="3"/>
        <v>Silent Fairy Penguin</v>
      </c>
      <c r="D170" s="64" t="s">
        <v>762</v>
      </c>
      <c r="E170" s="69" t="str">
        <f>IFERROR(__xludf.DUMMYFUNCTION("TEXTJOIN("""", TRUE, ARRAYFORMULA(LEFT(SPLIT(C170, "" ""),1)))"),"SFP")</f>
        <v>SFP</v>
      </c>
      <c r="F170" s="65"/>
      <c r="G170" s="65" t="s">
        <v>618</v>
      </c>
      <c r="H170" s="65"/>
    </row>
    <row r="171">
      <c r="A171" s="80" t="str">
        <f t="shared" si="1"/>
        <v>silent-goanna</v>
      </c>
      <c r="B171" s="63" t="str">
        <f>'analysis _non-RE-nodes'!A149</f>
        <v>Silent Goanna</v>
      </c>
      <c r="C171" s="69" t="str">
        <f t="shared" si="3"/>
        <v>Silent Goanna</v>
      </c>
      <c r="D171" s="64" t="s">
        <v>763</v>
      </c>
      <c r="E171" s="69" t="str">
        <f>IFERROR(__xludf.DUMMYFUNCTION("TEXTJOIN("""", TRUE, ARRAYFORMULA(LEFT(SPLIT(C171, "" ""),1)))"),"SG")</f>
        <v>SG</v>
      </c>
      <c r="F171" s="65"/>
      <c r="G171" s="65" t="s">
        <v>618</v>
      </c>
      <c r="H171" s="65"/>
    </row>
    <row r="172">
      <c r="A172" s="80" t="str">
        <f t="shared" si="1"/>
        <v>silent-kangaroo</v>
      </c>
      <c r="B172" s="63" t="str">
        <f>'analysis _non-RE-nodes'!A150</f>
        <v>Silent Kangaroo</v>
      </c>
      <c r="C172" s="69" t="str">
        <f t="shared" si="3"/>
        <v>Silent Kangaroo</v>
      </c>
      <c r="D172" s="64" t="s">
        <v>764</v>
      </c>
      <c r="E172" s="69" t="str">
        <f>IFERROR(__xludf.DUMMYFUNCTION("TEXTJOIN("""", TRUE, ARRAYFORMULA(LEFT(SPLIT(C172, "" ""),1)))"),"SK")</f>
        <v>SK</v>
      </c>
      <c r="F172" s="65"/>
      <c r="G172" s="65" t="s">
        <v>618</v>
      </c>
      <c r="H172" s="65"/>
    </row>
    <row r="173">
      <c r="A173" s="80" t="str">
        <f t="shared" si="1"/>
        <v>silent-numbat</v>
      </c>
      <c r="B173" s="63" t="str">
        <f>'analysis _non-RE-nodes'!A151</f>
        <v>Silent Numbat</v>
      </c>
      <c r="C173" s="69" t="str">
        <f t="shared" si="3"/>
        <v>Silent Numbat</v>
      </c>
      <c r="D173" s="64" t="s">
        <v>765</v>
      </c>
      <c r="E173" s="69" t="str">
        <f>IFERROR(__xludf.DUMMYFUNCTION("TEXTJOIN("""", TRUE, ARRAYFORMULA(LEFT(SPLIT(C173, "" ""),1)))"),"SN")</f>
        <v>SN</v>
      </c>
      <c r="F173" s="65"/>
      <c r="G173" s="65" t="s">
        <v>618</v>
      </c>
      <c r="H173" s="65"/>
    </row>
    <row r="174">
      <c r="A174" s="80" t="str">
        <f t="shared" si="1"/>
        <v>silent-possum</v>
      </c>
      <c r="B174" s="63" t="str">
        <f>'analysis _non-RE-nodes'!A152</f>
        <v>Silent Possum</v>
      </c>
      <c r="C174" s="69" t="str">
        <f t="shared" si="3"/>
        <v>Silent Possum</v>
      </c>
      <c r="D174" s="64" t="s">
        <v>766</v>
      </c>
      <c r="E174" s="69" t="str">
        <f>IFERROR(__xludf.DUMMYFUNCTION("TEXTJOIN("""", TRUE, ARRAYFORMULA(LEFT(SPLIT(C174, "" ""),1)))"),"SP")</f>
        <v>SP</v>
      </c>
      <c r="F174" s="65"/>
      <c r="G174" s="65" t="s">
        <v>618</v>
      </c>
      <c r="H174" s="65"/>
    </row>
    <row r="175">
      <c r="A175" s="80" t="str">
        <f t="shared" si="1"/>
        <v>silent-quokka</v>
      </c>
      <c r="B175" s="63" t="str">
        <f>'analysis _non-RE-nodes'!A153</f>
        <v>Silent Quokka</v>
      </c>
      <c r="C175" s="69" t="str">
        <f t="shared" si="3"/>
        <v>Silent Quokka</v>
      </c>
      <c r="D175" s="64" t="s">
        <v>767</v>
      </c>
      <c r="E175" s="69" t="str">
        <f>IFERROR(__xludf.DUMMYFUNCTION("TEXTJOIN("""", TRUE, ARRAYFORMULA(LEFT(SPLIT(C175, "" ""),1)))"),"SQ")</f>
        <v>SQ</v>
      </c>
      <c r="F175" s="65"/>
      <c r="G175" s="65" t="s">
        <v>618</v>
      </c>
      <c r="H175" s="65"/>
    </row>
    <row r="176">
      <c r="A176" s="80" t="str">
        <f t="shared" si="1"/>
        <v>silent-sugar-glider</v>
      </c>
      <c r="B176" s="63" t="str">
        <f>'analysis _non-RE-nodes'!A154</f>
        <v>Silent Sugar Glider</v>
      </c>
      <c r="C176" s="69" t="str">
        <f t="shared" si="3"/>
        <v>Silent Sugar Glider</v>
      </c>
      <c r="D176" s="64" t="s">
        <v>768</v>
      </c>
      <c r="E176" s="69" t="str">
        <f>IFERROR(__xludf.DUMMYFUNCTION("TEXTJOIN("""", TRUE, ARRAYFORMULA(LEFT(SPLIT(C176, "" ""),1)))"),"SSG")</f>
        <v>SSG</v>
      </c>
      <c r="F176" s="65"/>
      <c r="G176" s="65" t="s">
        <v>618</v>
      </c>
      <c r="H176" s="65"/>
    </row>
    <row r="177">
      <c r="A177" s="80" t="str">
        <f t="shared" si="1"/>
        <v>silent-wallaby</v>
      </c>
      <c r="B177" s="63" t="str">
        <f>'analysis _non-RE-nodes'!A155</f>
        <v>Silent Wallaby</v>
      </c>
      <c r="C177" s="69" t="str">
        <f t="shared" si="3"/>
        <v>Silent Wallaby</v>
      </c>
      <c r="D177" s="64" t="s">
        <v>769</v>
      </c>
      <c r="E177" s="69" t="str">
        <f>IFERROR(__xludf.DUMMYFUNCTION("TEXTJOIN("""", TRUE, ARRAYFORMULA(LEFT(SPLIT(C177, "" ""),1)))"),"SW")</f>
        <v>SW</v>
      </c>
      <c r="F177" s="65"/>
      <c r="G177" s="65" t="s">
        <v>618</v>
      </c>
      <c r="H177" s="65"/>
    </row>
    <row r="178">
      <c r="A178" s="80" t="str">
        <f t="shared" si="1"/>
        <v>sleepy-bandicoot</v>
      </c>
      <c r="B178" s="63" t="str">
        <f>'analysis _non-RE-nodes'!A156</f>
        <v>Sleepy Bandicoot</v>
      </c>
      <c r="C178" s="69" t="str">
        <f t="shared" si="3"/>
        <v>Sleepy Bandicoot</v>
      </c>
      <c r="D178" s="64" t="s">
        <v>770</v>
      </c>
      <c r="E178" s="69" t="str">
        <f>IFERROR(__xludf.DUMMYFUNCTION("TEXTJOIN("""", TRUE, ARRAYFORMULA(LEFT(SPLIT(C178, "" ""),1)))"),"SB")</f>
        <v>SB</v>
      </c>
      <c r="F178" s="65"/>
      <c r="G178" s="65" t="s">
        <v>618</v>
      </c>
      <c r="H178" s="65"/>
    </row>
    <row r="179">
      <c r="A179" s="80" t="str">
        <f t="shared" si="1"/>
        <v>sleepy-cassowary</v>
      </c>
      <c r="B179" s="63" t="str">
        <f>'analysis _non-RE-nodes'!A157</f>
        <v>Sleepy Cassowary</v>
      </c>
      <c r="C179" s="69" t="str">
        <f t="shared" si="3"/>
        <v>Sleepy Cassowary</v>
      </c>
      <c r="D179" s="64" t="s">
        <v>771</v>
      </c>
      <c r="E179" s="69" t="str">
        <f>IFERROR(__xludf.DUMMYFUNCTION("TEXTJOIN("""", TRUE, ARRAYFORMULA(LEFT(SPLIT(C179, "" ""),1)))"),"SC")</f>
        <v>SC</v>
      </c>
      <c r="F179" s="65"/>
      <c r="G179" s="65" t="s">
        <v>618</v>
      </c>
      <c r="H179" s="65"/>
    </row>
    <row r="180">
      <c r="A180" s="80" t="str">
        <f t="shared" si="1"/>
        <v>sleepy-fairy-penguin</v>
      </c>
      <c r="B180" s="63" t="str">
        <f>'analysis _non-RE-nodes'!A158</f>
        <v>Sleepy Fairy Penguin</v>
      </c>
      <c r="C180" s="69" t="str">
        <f t="shared" si="3"/>
        <v>Sleepy Fairy Penguin</v>
      </c>
      <c r="D180" s="64" t="s">
        <v>772</v>
      </c>
      <c r="E180" s="69" t="str">
        <f>IFERROR(__xludf.DUMMYFUNCTION("TEXTJOIN("""", TRUE, ARRAYFORMULA(LEFT(SPLIT(C180, "" ""),1)))"),"SFP")</f>
        <v>SFP</v>
      </c>
      <c r="F180" s="65"/>
      <c r="G180" s="65" t="s">
        <v>618</v>
      </c>
      <c r="H180" s="65"/>
    </row>
    <row r="181">
      <c r="A181" s="80" t="str">
        <f t="shared" si="1"/>
        <v>sleepy-koala</v>
      </c>
      <c r="B181" s="63" t="str">
        <f>'analysis _non-RE-nodes'!A159</f>
        <v>Sleepy Koala</v>
      </c>
      <c r="C181" s="69" t="str">
        <f t="shared" si="3"/>
        <v>Sleepy Koala</v>
      </c>
      <c r="D181" s="64" t="s">
        <v>773</v>
      </c>
      <c r="E181" s="69" t="str">
        <f>IFERROR(__xludf.DUMMYFUNCTION("TEXTJOIN("""", TRUE, ARRAYFORMULA(LEFT(SPLIT(C181, "" ""),1)))"),"SK")</f>
        <v>SK</v>
      </c>
      <c r="F181" s="65"/>
      <c r="G181" s="65" t="s">
        <v>618</v>
      </c>
      <c r="H181" s="65"/>
    </row>
    <row r="182">
      <c r="A182" s="80" t="str">
        <f t="shared" si="1"/>
        <v>sleepy-kookaburra</v>
      </c>
      <c r="B182" s="63" t="str">
        <f>'analysis _non-RE-nodes'!A160</f>
        <v>Sleepy Kookaburra</v>
      </c>
      <c r="C182" s="69" t="str">
        <f t="shared" si="3"/>
        <v>Sleepy Kookaburra</v>
      </c>
      <c r="D182" s="64" t="s">
        <v>774</v>
      </c>
      <c r="E182" s="69" t="str">
        <f>IFERROR(__xludf.DUMMYFUNCTION("TEXTJOIN("""", TRUE, ARRAYFORMULA(LEFT(SPLIT(C182, "" ""),1)))"),"SK")</f>
        <v>SK</v>
      </c>
      <c r="F182" s="65"/>
      <c r="G182" s="65" t="s">
        <v>618</v>
      </c>
      <c r="H182" s="65"/>
    </row>
    <row r="183">
      <c r="A183" s="80" t="str">
        <f t="shared" si="1"/>
        <v>sleepy-lyrebird</v>
      </c>
      <c r="B183" s="63" t="str">
        <f>'analysis _non-RE-nodes'!A161</f>
        <v>Sleepy Lyrebird</v>
      </c>
      <c r="C183" s="69" t="str">
        <f t="shared" si="3"/>
        <v>Sleepy Lyrebird</v>
      </c>
      <c r="D183" s="64" t="s">
        <v>775</v>
      </c>
      <c r="E183" s="69" t="str">
        <f>IFERROR(__xludf.DUMMYFUNCTION("TEXTJOIN("""", TRUE, ARRAYFORMULA(LEFT(SPLIT(C183, "" ""),1)))"),"SL")</f>
        <v>SL</v>
      </c>
      <c r="F183" s="65"/>
      <c r="G183" s="65" t="s">
        <v>618</v>
      </c>
      <c r="H183" s="65"/>
    </row>
    <row r="184">
      <c r="A184" s="80" t="str">
        <f t="shared" si="1"/>
        <v>sleepy-numbat</v>
      </c>
      <c r="B184" s="63" t="str">
        <f>'analysis _non-RE-nodes'!A162</f>
        <v>Sleepy Numbat</v>
      </c>
      <c r="C184" s="69" t="str">
        <f t="shared" si="3"/>
        <v>Sleepy Numbat</v>
      </c>
      <c r="D184" s="64" t="s">
        <v>776</v>
      </c>
      <c r="E184" s="69" t="str">
        <f>IFERROR(__xludf.DUMMYFUNCTION("TEXTJOIN("""", TRUE, ARRAYFORMULA(LEFT(SPLIT(C184, "" ""),1)))"),"SN")</f>
        <v>SN</v>
      </c>
      <c r="F184" s="65"/>
      <c r="G184" s="65" t="s">
        <v>618</v>
      </c>
      <c r="H184" s="65"/>
    </row>
    <row r="185">
      <c r="A185" s="80" t="str">
        <f t="shared" si="1"/>
        <v>sleepy-perentie</v>
      </c>
      <c r="B185" s="63" t="str">
        <f>'analysis _non-RE-nodes'!A163</f>
        <v>Sleepy Perentie</v>
      </c>
      <c r="C185" s="69" t="str">
        <f t="shared" si="3"/>
        <v>Sleepy Perentie</v>
      </c>
      <c r="D185" s="64" t="s">
        <v>777</v>
      </c>
      <c r="E185" s="69" t="str">
        <f>IFERROR(__xludf.DUMMYFUNCTION("TEXTJOIN("""", TRUE, ARRAYFORMULA(LEFT(SPLIT(C185, "" ""),1)))"),"SP")</f>
        <v>SP</v>
      </c>
      <c r="F185" s="65"/>
      <c r="G185" s="65" t="s">
        <v>618</v>
      </c>
      <c r="H185" s="65"/>
    </row>
    <row r="186">
      <c r="A186" s="80" t="str">
        <f t="shared" si="1"/>
        <v>sleepy-platypus</v>
      </c>
      <c r="B186" s="63" t="str">
        <f>'analysis _non-RE-nodes'!A164</f>
        <v>Sleepy Platypus</v>
      </c>
      <c r="C186" s="69" t="str">
        <f t="shared" si="3"/>
        <v>Sleepy Platypus</v>
      </c>
      <c r="D186" s="64" t="s">
        <v>778</v>
      </c>
      <c r="E186" s="69" t="str">
        <f>IFERROR(__xludf.DUMMYFUNCTION("TEXTJOIN("""", TRUE, ARRAYFORMULA(LEFT(SPLIT(C186, "" ""),1)))"),"SP")</f>
        <v>SP</v>
      </c>
      <c r="F186" s="65"/>
      <c r="G186" s="65" t="s">
        <v>618</v>
      </c>
      <c r="H186" s="65"/>
    </row>
    <row r="187">
      <c r="A187" s="80" t="str">
        <f t="shared" si="1"/>
        <v>sleepy-possum</v>
      </c>
      <c r="B187" s="63" t="str">
        <f>'analysis _non-RE-nodes'!A165</f>
        <v>Sleepy Possum</v>
      </c>
      <c r="C187" s="69" t="str">
        <f t="shared" si="3"/>
        <v>Sleepy Possum</v>
      </c>
      <c r="D187" s="64" t="s">
        <v>779</v>
      </c>
      <c r="E187" s="69" t="str">
        <f>IFERROR(__xludf.DUMMYFUNCTION("TEXTJOIN("""", TRUE, ARRAYFORMULA(LEFT(SPLIT(C187, "" ""),1)))"),"SP")</f>
        <v>SP</v>
      </c>
      <c r="F187" s="65"/>
      <c r="G187" s="65" t="s">
        <v>618</v>
      </c>
      <c r="H187" s="65"/>
    </row>
    <row r="188">
      <c r="A188" s="80" t="str">
        <f t="shared" si="1"/>
        <v>sleepy-sugar-glider</v>
      </c>
      <c r="B188" s="63" t="str">
        <f>'analysis _non-RE-nodes'!A166</f>
        <v>Sleepy Sugar Glider</v>
      </c>
      <c r="C188" s="69" t="str">
        <f t="shared" si="3"/>
        <v>Sleepy Sugar Glider</v>
      </c>
      <c r="D188" s="64" t="s">
        <v>780</v>
      </c>
      <c r="E188" s="69" t="str">
        <f>IFERROR(__xludf.DUMMYFUNCTION("TEXTJOIN("""", TRUE, ARRAYFORMULA(LEFT(SPLIT(C188, "" ""),1)))"),"SSG")</f>
        <v>SSG</v>
      </c>
      <c r="F188" s="65"/>
      <c r="G188" s="65" t="s">
        <v>618</v>
      </c>
      <c r="H188" s="65"/>
    </row>
    <row r="189">
      <c r="A189" s="80" t="str">
        <f t="shared" si="1"/>
        <v>sleepy-thorny-devil</v>
      </c>
      <c r="B189" s="63" t="str">
        <f>'analysis _non-RE-nodes'!A167</f>
        <v>Sleepy Thorny Devil</v>
      </c>
      <c r="C189" s="69" t="str">
        <f t="shared" si="3"/>
        <v>Sleepy Thorny Devil</v>
      </c>
      <c r="D189" s="64" t="s">
        <v>781</v>
      </c>
      <c r="E189" s="69" t="str">
        <f>IFERROR(__xludf.DUMMYFUNCTION("TEXTJOIN("""", TRUE, ARRAYFORMULA(LEFT(SPLIT(C189, "" ""),1)))"),"STD")</f>
        <v>STD</v>
      </c>
      <c r="F189" s="65"/>
      <c r="G189" s="65" t="s">
        <v>618</v>
      </c>
      <c r="H189" s="65"/>
    </row>
    <row r="190">
      <c r="A190" s="80" t="str">
        <f t="shared" si="1"/>
        <v>sleepy-tree-kangaroo</v>
      </c>
      <c r="B190" s="63" t="str">
        <f>'analysis _non-RE-nodes'!A168</f>
        <v>Sleepy Tree Kangaroo</v>
      </c>
      <c r="C190" s="69" t="str">
        <f t="shared" si="3"/>
        <v>Sleepy Tree Kangaroo</v>
      </c>
      <c r="D190" s="64" t="s">
        <v>782</v>
      </c>
      <c r="E190" s="69" t="str">
        <f>IFERROR(__xludf.DUMMYFUNCTION("TEXTJOIN("""", TRUE, ARRAYFORMULA(LEFT(SPLIT(C190, "" ""),1)))"),"STK")</f>
        <v>STK</v>
      </c>
      <c r="F190" s="65"/>
      <c r="G190" s="65" t="s">
        <v>618</v>
      </c>
      <c r="H190" s="65"/>
    </row>
    <row r="191">
      <c r="A191" s="80" t="str">
        <f t="shared" si="1"/>
        <v>sleepy-wombat</v>
      </c>
      <c r="B191" s="63" t="str">
        <f>'analysis _non-RE-nodes'!A169</f>
        <v>Sleepy Wombat</v>
      </c>
      <c r="C191" s="69" t="str">
        <f t="shared" si="3"/>
        <v>Sleepy Wombat</v>
      </c>
      <c r="D191" s="64" t="s">
        <v>783</v>
      </c>
      <c r="E191" s="69" t="str">
        <f>IFERROR(__xludf.DUMMYFUNCTION("TEXTJOIN("""", TRUE, ARRAYFORMULA(LEFT(SPLIT(C191, "" ""),1)))"),"SW")</f>
        <v>SW</v>
      </c>
      <c r="F191" s="65"/>
      <c r="G191" s="65" t="s">
        <v>618</v>
      </c>
      <c r="H191" s="65"/>
    </row>
    <row r="192">
      <c r="A192" s="80" t="str">
        <f t="shared" si="1"/>
        <v>spotted-australian-magpie</v>
      </c>
      <c r="B192" s="63" t="str">
        <f>'analysis _non-RE-nodes'!A170</f>
        <v>Spotted Australian Magpie</v>
      </c>
      <c r="C192" s="69" t="str">
        <f t="shared" si="3"/>
        <v>Spotted Australian Magpie</v>
      </c>
      <c r="D192" s="64" t="s">
        <v>784</v>
      </c>
      <c r="E192" s="69" t="str">
        <f>IFERROR(__xludf.DUMMYFUNCTION("TEXTJOIN("""", TRUE, ARRAYFORMULA(LEFT(SPLIT(C192, "" ""),1)))"),"SAM")</f>
        <v>SAM</v>
      </c>
      <c r="F192" s="65"/>
      <c r="G192" s="65" t="s">
        <v>618</v>
      </c>
      <c r="H192" s="65"/>
    </row>
    <row r="193">
      <c r="A193" s="80" t="str">
        <f t="shared" si="1"/>
        <v>spotted-bandicoot</v>
      </c>
      <c r="B193" s="63" t="str">
        <f>'analysis _non-RE-nodes'!A171</f>
        <v>Spotted Bandicoot</v>
      </c>
      <c r="C193" s="69" t="str">
        <f t="shared" si="3"/>
        <v>Spotted Bandicoot</v>
      </c>
      <c r="D193" s="64" t="s">
        <v>785</v>
      </c>
      <c r="E193" s="69" t="str">
        <f>IFERROR(__xludf.DUMMYFUNCTION("TEXTJOIN("""", TRUE, ARRAYFORMULA(LEFT(SPLIT(C193, "" ""),1)))"),"SB")</f>
        <v>SB</v>
      </c>
      <c r="F193" s="65"/>
      <c r="G193" s="65" t="s">
        <v>618</v>
      </c>
      <c r="H193" s="65"/>
    </row>
    <row r="194">
      <c r="A194" s="80" t="str">
        <f t="shared" si="1"/>
        <v>spotted-bush-stone-curlew</v>
      </c>
      <c r="B194" s="63" t="str">
        <f>'analysis _non-RE-nodes'!A172</f>
        <v>Spotted Bush Stone-curlew</v>
      </c>
      <c r="C194" s="69" t="str">
        <f t="shared" si="3"/>
        <v>Spotted Bush Stone-curlew</v>
      </c>
      <c r="D194" s="64" t="s">
        <v>786</v>
      </c>
      <c r="E194" s="69" t="str">
        <f>IFERROR(__xludf.DUMMYFUNCTION("TEXTJOIN("""", TRUE, ARRAYFORMULA(LEFT(SPLIT(C194, "" ""),1)))"),"SBS")</f>
        <v>SBS</v>
      </c>
      <c r="F194" s="65"/>
      <c r="G194" s="65" t="s">
        <v>618</v>
      </c>
      <c r="H194" s="65"/>
    </row>
    <row r="195">
      <c r="A195" s="80" t="str">
        <f t="shared" si="1"/>
        <v>spotted-echidna</v>
      </c>
      <c r="B195" s="63" t="str">
        <f>'analysis _non-RE-nodes'!A173</f>
        <v>Spotted Echidna</v>
      </c>
      <c r="C195" s="69" t="str">
        <f t="shared" si="3"/>
        <v>Spotted Echidna</v>
      </c>
      <c r="D195" s="64" t="s">
        <v>787</v>
      </c>
      <c r="E195" s="69" t="str">
        <f>IFERROR(__xludf.DUMMYFUNCTION("TEXTJOIN("""", TRUE, ARRAYFORMULA(LEFT(SPLIT(C195, "" ""),1)))"),"SE")</f>
        <v>SE</v>
      </c>
      <c r="F195" s="65"/>
      <c r="G195" s="65" t="s">
        <v>618</v>
      </c>
      <c r="H195" s="65"/>
    </row>
    <row r="196">
      <c r="A196" s="80" t="str">
        <f t="shared" si="1"/>
        <v>spotted-fairy-penguin</v>
      </c>
      <c r="B196" s="63" t="str">
        <f>'analysis _non-RE-nodes'!A174</f>
        <v>Spotted Fairy Penguin</v>
      </c>
      <c r="C196" s="69" t="str">
        <f t="shared" si="3"/>
        <v>Spotted Fairy Penguin</v>
      </c>
      <c r="D196" s="64" t="s">
        <v>788</v>
      </c>
      <c r="E196" s="69" t="str">
        <f>IFERROR(__xludf.DUMMYFUNCTION("TEXTJOIN("""", TRUE, ARRAYFORMULA(LEFT(SPLIT(C196, "" ""),1)))"),"SFP")</f>
        <v>SFP</v>
      </c>
      <c r="F196" s="65"/>
      <c r="G196" s="65" t="s">
        <v>618</v>
      </c>
      <c r="H196" s="65"/>
    </row>
    <row r="197">
      <c r="A197" s="80" t="str">
        <f t="shared" si="1"/>
        <v>spotted-kangaroo</v>
      </c>
      <c r="B197" s="63" t="str">
        <f>'analysis _non-RE-nodes'!A175</f>
        <v>Spotted Kangaroo</v>
      </c>
      <c r="C197" s="69" t="str">
        <f t="shared" si="3"/>
        <v>Spotted Kangaroo</v>
      </c>
      <c r="D197" s="64" t="s">
        <v>789</v>
      </c>
      <c r="E197" s="69" t="str">
        <f>IFERROR(__xludf.DUMMYFUNCTION("TEXTJOIN("""", TRUE, ARRAYFORMULA(LEFT(SPLIT(C197, "" ""),1)))"),"SK")</f>
        <v>SK</v>
      </c>
      <c r="F197" s="65"/>
      <c r="G197" s="65" t="s">
        <v>618</v>
      </c>
      <c r="H197" s="65"/>
    </row>
    <row r="198">
      <c r="A198" s="80" t="str">
        <f t="shared" si="1"/>
        <v>spotted-platypus</v>
      </c>
      <c r="B198" s="63" t="str">
        <f>'analysis _non-RE-nodes'!A176</f>
        <v>Spotted Platypus</v>
      </c>
      <c r="C198" s="69" t="str">
        <f t="shared" si="3"/>
        <v>Spotted Platypus</v>
      </c>
      <c r="D198" s="64" t="s">
        <v>790</v>
      </c>
      <c r="E198" s="69" t="str">
        <f>IFERROR(__xludf.DUMMYFUNCTION("TEXTJOIN("""", TRUE, ARRAYFORMULA(LEFT(SPLIT(C198, "" ""),1)))"),"SP")</f>
        <v>SP</v>
      </c>
      <c r="F198" s="65"/>
      <c r="G198" s="65" t="s">
        <v>618</v>
      </c>
      <c r="H198" s="65"/>
    </row>
    <row r="199">
      <c r="A199" s="80" t="str">
        <f t="shared" si="1"/>
        <v>spotted-possum</v>
      </c>
      <c r="B199" s="63" t="str">
        <f>'analysis _non-RE-nodes'!A177</f>
        <v>Spotted Possum</v>
      </c>
      <c r="C199" s="69" t="str">
        <f t="shared" si="3"/>
        <v>Spotted Possum</v>
      </c>
      <c r="D199" s="64" t="s">
        <v>791</v>
      </c>
      <c r="E199" s="69" t="str">
        <f>IFERROR(__xludf.DUMMYFUNCTION("TEXTJOIN("""", TRUE, ARRAYFORMULA(LEFT(SPLIT(C199, "" ""),1)))"),"SP")</f>
        <v>SP</v>
      </c>
      <c r="F199" s="65"/>
      <c r="G199" s="65" t="s">
        <v>618</v>
      </c>
      <c r="H199" s="65"/>
    </row>
    <row r="200">
      <c r="A200" s="80" t="str">
        <f t="shared" si="1"/>
        <v>spotted-sugar-glider</v>
      </c>
      <c r="B200" s="63" t="str">
        <f>'analysis _non-RE-nodes'!A178</f>
        <v>Spotted Sugar Glider</v>
      </c>
      <c r="C200" s="69" t="str">
        <f t="shared" si="3"/>
        <v>Spotted Sugar Glider</v>
      </c>
      <c r="D200" s="64" t="s">
        <v>792</v>
      </c>
      <c r="E200" s="69" t="str">
        <f>IFERROR(__xludf.DUMMYFUNCTION("TEXTJOIN("""", TRUE, ARRAYFORMULA(LEFT(SPLIT(C200, "" ""),1)))"),"SSG")</f>
        <v>SSG</v>
      </c>
      <c r="F200" s="65"/>
      <c r="G200" s="65" t="s">
        <v>618</v>
      </c>
      <c r="H200" s="65"/>
    </row>
    <row r="201">
      <c r="A201" s="80" t="str">
        <f t="shared" si="1"/>
        <v>spotted-tasmanian-devil</v>
      </c>
      <c r="B201" s="63" t="str">
        <f>'analysis _non-RE-nodes'!A179</f>
        <v>Spotted Tasmanian Devil</v>
      </c>
      <c r="C201" s="69" t="str">
        <f t="shared" si="3"/>
        <v>Spotted Tasmanian Devil</v>
      </c>
      <c r="D201" s="64" t="s">
        <v>793</v>
      </c>
      <c r="E201" s="69" t="str">
        <f>IFERROR(__xludf.DUMMYFUNCTION("TEXTJOIN("""", TRUE, ARRAYFORMULA(LEFT(SPLIT(C201, "" ""),1)))"),"STD")</f>
        <v>STD</v>
      </c>
      <c r="F201" s="65"/>
      <c r="G201" s="65" t="s">
        <v>618</v>
      </c>
      <c r="H201" s="65"/>
    </row>
    <row r="202">
      <c r="A202" s="80" t="str">
        <f t="shared" si="1"/>
        <v>spotted-thorny-devil</v>
      </c>
      <c r="B202" s="63" t="str">
        <f>'analysis _non-RE-nodes'!A180</f>
        <v>Spotted Thorny Devil</v>
      </c>
      <c r="C202" s="69" t="str">
        <f t="shared" si="3"/>
        <v>Spotted Thorny Devil</v>
      </c>
      <c r="D202" s="64" t="s">
        <v>794</v>
      </c>
      <c r="E202" s="69" t="str">
        <f>IFERROR(__xludf.DUMMYFUNCTION("TEXTJOIN("""", TRUE, ARRAYFORMULA(LEFT(SPLIT(C202, "" ""),1)))"),"STD")</f>
        <v>STD</v>
      </c>
      <c r="F202" s="65"/>
      <c r="G202" s="65" t="s">
        <v>618</v>
      </c>
      <c r="H202" s="65"/>
    </row>
    <row r="203">
      <c r="A203" s="80" t="str">
        <f t="shared" si="1"/>
        <v>striped-australian-magpie</v>
      </c>
      <c r="B203" s="63" t="str">
        <f>'analysis _non-RE-nodes'!A181</f>
        <v>Striped Australian Magpie</v>
      </c>
      <c r="C203" s="69" t="str">
        <f t="shared" si="3"/>
        <v>Striped Australian Magpie</v>
      </c>
      <c r="D203" s="64" t="s">
        <v>795</v>
      </c>
      <c r="E203" s="69" t="str">
        <f>IFERROR(__xludf.DUMMYFUNCTION("TEXTJOIN("""", TRUE, ARRAYFORMULA(LEFT(SPLIT(C203, "" ""),1)))"),"SAM")</f>
        <v>SAM</v>
      </c>
      <c r="F203" s="65"/>
      <c r="G203" s="65" t="s">
        <v>618</v>
      </c>
      <c r="H203" s="65"/>
    </row>
    <row r="204">
      <c r="A204" s="80" t="str">
        <f t="shared" si="1"/>
        <v>striped-bandicoot</v>
      </c>
      <c r="B204" s="63" t="str">
        <f>'analysis _non-RE-nodes'!A182</f>
        <v>Striped Bandicoot</v>
      </c>
      <c r="C204" s="69" t="str">
        <f t="shared" si="3"/>
        <v>Striped Bandicoot</v>
      </c>
      <c r="D204" s="64" t="s">
        <v>796</v>
      </c>
      <c r="E204" s="69" t="str">
        <f>IFERROR(__xludf.DUMMYFUNCTION("TEXTJOIN("""", TRUE, ARRAYFORMULA(LEFT(SPLIT(C204, "" ""),1)))"),"SB")</f>
        <v>SB</v>
      </c>
      <c r="F204" s="65"/>
      <c r="G204" s="65" t="s">
        <v>618</v>
      </c>
      <c r="H204" s="65"/>
    </row>
    <row r="205">
      <c r="A205" s="80" t="str">
        <f t="shared" si="1"/>
        <v>striped-bilby</v>
      </c>
      <c r="B205" s="63" t="str">
        <f>'analysis _non-RE-nodes'!A183</f>
        <v>Striped Bilby</v>
      </c>
      <c r="C205" s="69" t="str">
        <f t="shared" si="3"/>
        <v>Striped Bilby</v>
      </c>
      <c r="D205" s="64" t="s">
        <v>797</v>
      </c>
      <c r="E205" s="69" t="str">
        <f>IFERROR(__xludf.DUMMYFUNCTION("TEXTJOIN("""", TRUE, ARRAYFORMULA(LEFT(SPLIT(C205, "" ""),1)))"),"SB")</f>
        <v>SB</v>
      </c>
      <c r="F205" s="65"/>
      <c r="G205" s="65" t="s">
        <v>618</v>
      </c>
      <c r="H205" s="65"/>
    </row>
    <row r="206">
      <c r="A206" s="80" t="str">
        <f t="shared" si="1"/>
        <v>striped-bush-stone-curlew</v>
      </c>
      <c r="B206" s="63" t="str">
        <f>'analysis _non-RE-nodes'!A184</f>
        <v>Striped Bush Stone-curlew</v>
      </c>
      <c r="C206" s="69" t="str">
        <f t="shared" si="3"/>
        <v>Striped Bush Stone-curlew</v>
      </c>
      <c r="D206" s="64" t="s">
        <v>798</v>
      </c>
      <c r="E206" s="69" t="str">
        <f>IFERROR(__xludf.DUMMYFUNCTION("TEXTJOIN("""", TRUE, ARRAYFORMULA(LEFT(SPLIT(C206, "" ""),1)))"),"SBS")</f>
        <v>SBS</v>
      </c>
      <c r="F206" s="65"/>
      <c r="G206" s="65" t="s">
        <v>618</v>
      </c>
      <c r="H206" s="65"/>
    </row>
    <row r="207">
      <c r="A207" s="80" t="str">
        <f t="shared" si="1"/>
        <v>striped-echidna</v>
      </c>
      <c r="B207" s="63" t="str">
        <f>'analysis _non-RE-nodes'!A185</f>
        <v>Striped Echidna</v>
      </c>
      <c r="C207" s="69" t="str">
        <f t="shared" si="3"/>
        <v>Striped Echidna</v>
      </c>
      <c r="D207" s="64" t="s">
        <v>799</v>
      </c>
      <c r="E207" s="69" t="str">
        <f>IFERROR(__xludf.DUMMYFUNCTION("TEXTJOIN("""", TRUE, ARRAYFORMULA(LEFT(SPLIT(C207, "" ""),1)))"),"SE")</f>
        <v>SE</v>
      </c>
      <c r="F207" s="65"/>
      <c r="G207" s="65" t="s">
        <v>618</v>
      </c>
      <c r="H207" s="65"/>
    </row>
    <row r="208">
      <c r="A208" s="80" t="str">
        <f t="shared" si="1"/>
        <v>striped-quokka</v>
      </c>
      <c r="B208" s="63" t="str">
        <f>'analysis _non-RE-nodes'!A186</f>
        <v>Striped Quokka</v>
      </c>
      <c r="C208" s="69" t="str">
        <f t="shared" si="3"/>
        <v>Striped Quokka</v>
      </c>
      <c r="D208" s="64" t="s">
        <v>800</v>
      </c>
      <c r="E208" s="69" t="str">
        <f>IFERROR(__xludf.DUMMYFUNCTION("TEXTJOIN("""", TRUE, ARRAYFORMULA(LEFT(SPLIT(C208, "" ""),1)))"),"SQ")</f>
        <v>SQ</v>
      </c>
      <c r="F208" s="65"/>
      <c r="G208" s="65" t="s">
        <v>618</v>
      </c>
      <c r="H208" s="65"/>
    </row>
    <row r="209">
      <c r="A209" s="80" t="str">
        <f t="shared" si="1"/>
        <v>striped-tasmanian-devil</v>
      </c>
      <c r="B209" s="63" t="str">
        <f>'analysis _non-RE-nodes'!A187</f>
        <v>Striped Tasmanian Devil</v>
      </c>
      <c r="C209" s="69" t="str">
        <f t="shared" si="3"/>
        <v>Striped Tasmanian Devil</v>
      </c>
      <c r="D209" s="64" t="s">
        <v>801</v>
      </c>
      <c r="E209" s="69" t="str">
        <f>IFERROR(__xludf.DUMMYFUNCTION("TEXTJOIN("""", TRUE, ARRAYFORMULA(LEFT(SPLIT(C209, "" ""),1)))"),"STD")</f>
        <v>STD</v>
      </c>
      <c r="F209" s="65"/>
      <c r="G209" s="65" t="s">
        <v>618</v>
      </c>
      <c r="H209" s="65"/>
    </row>
    <row r="210">
      <c r="A210" s="80" t="str">
        <f t="shared" si="1"/>
        <v>striped-tree-kangaroo</v>
      </c>
      <c r="B210" s="63" t="str">
        <f>'analysis _non-RE-nodes'!A188</f>
        <v>Striped Tree Kangaroo</v>
      </c>
      <c r="C210" s="69" t="str">
        <f t="shared" si="3"/>
        <v>Striped Tree Kangaroo</v>
      </c>
      <c r="D210" s="64" t="s">
        <v>802</v>
      </c>
      <c r="E210" s="69" t="str">
        <f>IFERROR(__xludf.DUMMYFUNCTION("TEXTJOIN("""", TRUE, ARRAYFORMULA(LEFT(SPLIT(C210, "" ""),1)))"),"STK")</f>
        <v>STK</v>
      </c>
      <c r="F210" s="65"/>
      <c r="G210" s="65" t="s">
        <v>618</v>
      </c>
      <c r="H210" s="65"/>
    </row>
    <row r="211">
      <c r="A211" s="80" t="str">
        <f t="shared" si="1"/>
        <v>swift-bush-stone-curlew</v>
      </c>
      <c r="B211" s="63" t="str">
        <f>'analysis _non-RE-nodes'!A189</f>
        <v>Swift Bush Stone-curlew</v>
      </c>
      <c r="C211" s="69" t="str">
        <f t="shared" si="3"/>
        <v>Swift Bush Stone-curlew</v>
      </c>
      <c r="D211" s="64" t="s">
        <v>803</v>
      </c>
      <c r="E211" s="69" t="str">
        <f>IFERROR(__xludf.DUMMYFUNCTION("TEXTJOIN("""", TRUE, ARRAYFORMULA(LEFT(SPLIT(C211, "" ""),1)))"),"SBS")</f>
        <v>SBS</v>
      </c>
      <c r="F211" s="65"/>
      <c r="G211" s="65" t="s">
        <v>618</v>
      </c>
      <c r="H211" s="65"/>
    </row>
    <row r="212">
      <c r="A212" s="80" t="str">
        <f t="shared" si="1"/>
        <v>swift-emu</v>
      </c>
      <c r="B212" s="63" t="str">
        <f>'analysis _non-RE-nodes'!A190</f>
        <v>Swift Emu</v>
      </c>
      <c r="C212" s="69" t="str">
        <f t="shared" si="3"/>
        <v>Swift Emu</v>
      </c>
      <c r="D212" s="64" t="s">
        <v>804</v>
      </c>
      <c r="E212" s="69" t="str">
        <f>IFERROR(__xludf.DUMMYFUNCTION("TEXTJOIN("""", TRUE, ARRAYFORMULA(LEFT(SPLIT(C212, "" ""),1)))"),"SE")</f>
        <v>SE</v>
      </c>
      <c r="F212" s="65"/>
      <c r="G212" s="65" t="s">
        <v>618</v>
      </c>
      <c r="H212" s="65"/>
    </row>
    <row r="213">
      <c r="A213" s="80" t="str">
        <f t="shared" si="1"/>
        <v>swift-fairy-penguin</v>
      </c>
      <c r="B213" s="63" t="str">
        <f>'analysis _non-RE-nodes'!A191</f>
        <v>Swift Fairy Penguin</v>
      </c>
      <c r="C213" s="69" t="str">
        <f t="shared" si="3"/>
        <v>Swift Fairy Penguin</v>
      </c>
      <c r="D213" s="64" t="s">
        <v>805</v>
      </c>
      <c r="E213" s="69" t="str">
        <f>IFERROR(__xludf.DUMMYFUNCTION("TEXTJOIN("""", TRUE, ARRAYFORMULA(LEFT(SPLIT(C213, "" ""),1)))"),"SFP")</f>
        <v>SFP</v>
      </c>
      <c r="F213" s="65"/>
      <c r="G213" s="65" t="s">
        <v>618</v>
      </c>
      <c r="H213" s="65"/>
    </row>
    <row r="214">
      <c r="A214" s="80" t="str">
        <f t="shared" si="1"/>
        <v>swift-lyrebird</v>
      </c>
      <c r="B214" s="63" t="str">
        <f>'analysis _non-RE-nodes'!A192</f>
        <v>Swift Lyrebird</v>
      </c>
      <c r="C214" s="69" t="str">
        <f t="shared" si="3"/>
        <v>Swift Lyrebird</v>
      </c>
      <c r="D214" s="64" t="s">
        <v>806</v>
      </c>
      <c r="E214" s="69" t="str">
        <f>IFERROR(__xludf.DUMMYFUNCTION("TEXTJOIN("""", TRUE, ARRAYFORMULA(LEFT(SPLIT(C214, "" ""),1)))"),"SL")</f>
        <v>SL</v>
      </c>
      <c r="F214" s="65"/>
      <c r="G214" s="65" t="s">
        <v>618</v>
      </c>
      <c r="H214" s="65"/>
    </row>
    <row r="215">
      <c r="A215" s="80" t="str">
        <f t="shared" si="1"/>
        <v>swift-platypus</v>
      </c>
      <c r="B215" s="63" t="str">
        <f>'analysis _non-RE-nodes'!A193</f>
        <v>Swift Platypus</v>
      </c>
      <c r="C215" s="69" t="str">
        <f t="shared" si="3"/>
        <v>Swift Platypus</v>
      </c>
      <c r="D215" s="64" t="s">
        <v>807</v>
      </c>
      <c r="E215" s="69" t="str">
        <f>IFERROR(__xludf.DUMMYFUNCTION("TEXTJOIN("""", TRUE, ARRAYFORMULA(LEFT(SPLIT(C215, "" ""),1)))"),"SP")</f>
        <v>SP</v>
      </c>
      <c r="F215" s="65"/>
      <c r="G215" s="65" t="s">
        <v>618</v>
      </c>
      <c r="H215" s="65"/>
    </row>
    <row r="216">
      <c r="A216" s="80" t="str">
        <f t="shared" si="1"/>
        <v>swift-redback-spider</v>
      </c>
      <c r="B216" s="63" t="str">
        <f>'analysis _non-RE-nodes'!A194</f>
        <v>Swift Redback Spider</v>
      </c>
      <c r="C216" s="69" t="str">
        <f t="shared" si="3"/>
        <v>Swift Redback Spider</v>
      </c>
      <c r="D216" s="64" t="s">
        <v>808</v>
      </c>
      <c r="E216" s="69" t="str">
        <f>IFERROR(__xludf.DUMMYFUNCTION("TEXTJOIN("""", TRUE, ARRAYFORMULA(LEFT(SPLIT(C216, "" ""),1)))"),"SRS")</f>
        <v>SRS</v>
      </c>
      <c r="F216" s="65"/>
      <c r="G216" s="65" t="s">
        <v>618</v>
      </c>
      <c r="H216" s="65"/>
    </row>
    <row r="217">
      <c r="A217" s="80" t="str">
        <f t="shared" si="1"/>
        <v>swift-sugar-glider</v>
      </c>
      <c r="B217" s="63" t="str">
        <f>'analysis _non-RE-nodes'!A195</f>
        <v>Swift Sugar Glider</v>
      </c>
      <c r="C217" s="69" t="str">
        <f t="shared" si="3"/>
        <v>Swift Sugar Glider</v>
      </c>
      <c r="D217" s="64" t="s">
        <v>809</v>
      </c>
      <c r="E217" s="69" t="str">
        <f>IFERROR(__xludf.DUMMYFUNCTION("TEXTJOIN("""", TRUE, ARRAYFORMULA(LEFT(SPLIT(C217, "" ""),1)))"),"SSG")</f>
        <v>SSG</v>
      </c>
      <c r="F217" s="65"/>
      <c r="G217" s="65" t="s">
        <v>618</v>
      </c>
      <c r="H217" s="65"/>
    </row>
    <row r="218">
      <c r="A218" s="80" t="str">
        <f t="shared" si="1"/>
        <v>tiny-bandicoot</v>
      </c>
      <c r="B218" s="63" t="str">
        <f>'analysis _non-RE-nodes'!A196</f>
        <v>Tiny Bandicoot</v>
      </c>
      <c r="C218" s="69" t="str">
        <f t="shared" si="3"/>
        <v>Tiny Bandicoot</v>
      </c>
      <c r="D218" s="64" t="s">
        <v>810</v>
      </c>
      <c r="E218" s="69" t="str">
        <f>IFERROR(__xludf.DUMMYFUNCTION("TEXTJOIN("""", TRUE, ARRAYFORMULA(LEFT(SPLIT(C218, "" ""),1)))"),"TB")</f>
        <v>TB</v>
      </c>
      <c r="F218" s="65"/>
      <c r="G218" s="65" t="s">
        <v>618</v>
      </c>
      <c r="H218" s="65"/>
    </row>
    <row r="219">
      <c r="A219" s="80" t="str">
        <f t="shared" si="1"/>
        <v>tiny-cockatoo</v>
      </c>
      <c r="B219" s="63" t="str">
        <f>'analysis _non-RE-nodes'!A197</f>
        <v>Tiny Cockatoo</v>
      </c>
      <c r="C219" s="69" t="str">
        <f t="shared" si="3"/>
        <v>Tiny Cockatoo</v>
      </c>
      <c r="D219" s="64" t="s">
        <v>811</v>
      </c>
      <c r="E219" s="69" t="str">
        <f>IFERROR(__xludf.DUMMYFUNCTION("TEXTJOIN("""", TRUE, ARRAYFORMULA(LEFT(SPLIT(C219, "" ""),1)))"),"TC")</f>
        <v>TC</v>
      </c>
      <c r="F219" s="65"/>
      <c r="G219" s="65" t="s">
        <v>618</v>
      </c>
      <c r="H219" s="65"/>
    </row>
    <row r="220">
      <c r="A220" s="80" t="str">
        <f t="shared" si="1"/>
        <v>tiny-dingo</v>
      </c>
      <c r="B220" s="63" t="str">
        <f>'analysis _non-RE-nodes'!A198</f>
        <v>Tiny Dingo</v>
      </c>
      <c r="C220" s="69" t="str">
        <f t="shared" si="3"/>
        <v>Tiny Dingo</v>
      </c>
      <c r="D220" s="64" t="s">
        <v>812</v>
      </c>
      <c r="E220" s="69" t="str">
        <f>IFERROR(__xludf.DUMMYFUNCTION("TEXTJOIN("""", TRUE, ARRAYFORMULA(LEFT(SPLIT(C220, "" ""),1)))"),"TD")</f>
        <v>TD</v>
      </c>
      <c r="F220" s="65"/>
      <c r="G220" s="65" t="s">
        <v>618</v>
      </c>
      <c r="H220" s="65"/>
    </row>
    <row r="221">
      <c r="A221" s="80" t="str">
        <f t="shared" si="1"/>
        <v>tiny-echidna</v>
      </c>
      <c r="B221" s="63" t="str">
        <f>'analysis _non-RE-nodes'!A199</f>
        <v>Tiny Echidna</v>
      </c>
      <c r="C221" s="69" t="str">
        <f t="shared" si="3"/>
        <v>Tiny Echidna</v>
      </c>
      <c r="D221" s="64" t="s">
        <v>813</v>
      </c>
      <c r="E221" s="69" t="str">
        <f>IFERROR(__xludf.DUMMYFUNCTION("TEXTJOIN("""", TRUE, ARRAYFORMULA(LEFT(SPLIT(C221, "" ""),1)))"),"TE")</f>
        <v>TE</v>
      </c>
      <c r="F221" s="65"/>
      <c r="G221" s="65" t="s">
        <v>618</v>
      </c>
      <c r="H221" s="65"/>
    </row>
    <row r="222">
      <c r="A222" s="80" t="str">
        <f t="shared" si="1"/>
        <v>tiny-fairy-penguin</v>
      </c>
      <c r="B222" s="63" t="str">
        <f>'analysis _non-RE-nodes'!A200</f>
        <v>Tiny Fairy Penguin</v>
      </c>
      <c r="C222" s="69" t="str">
        <f t="shared" si="3"/>
        <v>Tiny Fairy Penguin</v>
      </c>
      <c r="D222" s="64" t="s">
        <v>814</v>
      </c>
      <c r="E222" s="69" t="str">
        <f>IFERROR(__xludf.DUMMYFUNCTION("TEXTJOIN("""", TRUE, ARRAYFORMULA(LEFT(SPLIT(C222, "" ""),1)))"),"TFP")</f>
        <v>TFP</v>
      </c>
      <c r="F222" s="65"/>
      <c r="G222" s="65" t="s">
        <v>618</v>
      </c>
      <c r="H222" s="65"/>
    </row>
    <row r="223">
      <c r="A223" s="80" t="str">
        <f t="shared" si="1"/>
        <v>tiny-goanna</v>
      </c>
      <c r="B223" s="63" t="str">
        <f>'analysis _non-RE-nodes'!A201</f>
        <v>Tiny Goanna</v>
      </c>
      <c r="C223" s="69" t="str">
        <f t="shared" si="3"/>
        <v>Tiny Goanna</v>
      </c>
      <c r="D223" s="64" t="s">
        <v>815</v>
      </c>
      <c r="E223" s="69" t="str">
        <f>IFERROR(__xludf.DUMMYFUNCTION("TEXTJOIN("""", TRUE, ARRAYFORMULA(LEFT(SPLIT(C223, "" ""),1)))"),"TG")</f>
        <v>TG</v>
      </c>
      <c r="F223" s="65"/>
      <c r="G223" s="65" t="s">
        <v>618</v>
      </c>
      <c r="H223" s="65"/>
    </row>
    <row r="224">
      <c r="A224" s="80" t="str">
        <f t="shared" si="1"/>
        <v>tiny-numbat</v>
      </c>
      <c r="B224" s="63" t="str">
        <f>'analysis _non-RE-nodes'!A202</f>
        <v>Tiny Numbat</v>
      </c>
      <c r="C224" s="69" t="str">
        <f t="shared" si="3"/>
        <v>Tiny Numbat</v>
      </c>
      <c r="D224" s="64" t="s">
        <v>816</v>
      </c>
      <c r="E224" s="69" t="str">
        <f>IFERROR(__xludf.DUMMYFUNCTION("TEXTJOIN("""", TRUE, ARRAYFORMULA(LEFT(SPLIT(C224, "" ""),1)))"),"TN")</f>
        <v>TN</v>
      </c>
      <c r="F224" s="65"/>
      <c r="G224" s="65" t="s">
        <v>618</v>
      </c>
      <c r="H224" s="65"/>
    </row>
    <row r="225">
      <c r="A225" s="80" t="str">
        <f t="shared" si="1"/>
        <v>tiny-possum</v>
      </c>
      <c r="B225" s="63" t="str">
        <f>'analysis _non-RE-nodes'!A203</f>
        <v>Tiny Possum</v>
      </c>
      <c r="C225" s="69" t="str">
        <f t="shared" si="3"/>
        <v>Tiny Possum</v>
      </c>
      <c r="D225" s="64" t="s">
        <v>817</v>
      </c>
      <c r="E225" s="69" t="str">
        <f>IFERROR(__xludf.DUMMYFUNCTION("TEXTJOIN("""", TRUE, ARRAYFORMULA(LEFT(SPLIT(C225, "" ""),1)))"),"TP")</f>
        <v>TP</v>
      </c>
      <c r="F225" s="65"/>
      <c r="G225" s="65" t="s">
        <v>618</v>
      </c>
      <c r="H225" s="65"/>
    </row>
    <row r="226">
      <c r="A226" s="80" t="str">
        <f t="shared" si="1"/>
        <v>wild-blue-tongue-skink</v>
      </c>
      <c r="B226" s="63" t="str">
        <f>'analysis _non-RE-nodes'!A204</f>
        <v>Wild Blue-tongue Skink</v>
      </c>
      <c r="C226" s="69" t="str">
        <f t="shared" si="3"/>
        <v>Wild Blue-tongue Skink</v>
      </c>
      <c r="D226" s="64" t="s">
        <v>818</v>
      </c>
      <c r="E226" s="69" t="str">
        <f>IFERROR(__xludf.DUMMYFUNCTION("TEXTJOIN("""", TRUE, ARRAYFORMULA(LEFT(SPLIT(C226, "" ""),1)))"),"WBS")</f>
        <v>WBS</v>
      </c>
      <c r="F226" s="65"/>
      <c r="G226" s="65" t="s">
        <v>618</v>
      </c>
      <c r="H226" s="65"/>
    </row>
    <row r="227">
      <c r="A227" s="80" t="str">
        <f t="shared" si="1"/>
        <v>wild-dingo</v>
      </c>
      <c r="B227" s="63" t="str">
        <f>'analysis _non-RE-nodes'!A205</f>
        <v>Wild Dingo</v>
      </c>
      <c r="C227" s="69" t="str">
        <f t="shared" si="3"/>
        <v>Wild Dingo</v>
      </c>
      <c r="D227" s="64" t="s">
        <v>819</v>
      </c>
      <c r="E227" s="69" t="str">
        <f>IFERROR(__xludf.DUMMYFUNCTION("TEXTJOIN("""", TRUE, ARRAYFORMULA(LEFT(SPLIT(C227, "" ""),1)))"),"WD")</f>
        <v>WD</v>
      </c>
      <c r="F227" s="65"/>
      <c r="G227" s="65" t="s">
        <v>618</v>
      </c>
      <c r="H227" s="65"/>
    </row>
    <row r="228">
      <c r="A228" s="80" t="str">
        <f t="shared" si="1"/>
        <v>wild-fairy-penguin</v>
      </c>
      <c r="B228" s="63" t="str">
        <f>'analysis _non-RE-nodes'!A206</f>
        <v>Wild Fairy Penguin</v>
      </c>
      <c r="C228" s="69" t="str">
        <f t="shared" si="3"/>
        <v>Wild Fairy Penguin</v>
      </c>
      <c r="D228" s="64" t="s">
        <v>820</v>
      </c>
      <c r="E228" s="69" t="str">
        <f>IFERROR(__xludf.DUMMYFUNCTION("TEXTJOIN("""", TRUE, ARRAYFORMULA(LEFT(SPLIT(C228, "" ""),1)))"),"WFP")</f>
        <v>WFP</v>
      </c>
      <c r="F228" s="65"/>
      <c r="G228" s="65" t="s">
        <v>618</v>
      </c>
      <c r="H228" s="65"/>
    </row>
    <row r="229">
      <c r="A229" s="80" t="str">
        <f t="shared" si="1"/>
        <v>wild-koala</v>
      </c>
      <c r="B229" s="63" t="str">
        <f>'analysis _non-RE-nodes'!A207</f>
        <v>Wild Koala</v>
      </c>
      <c r="C229" s="69" t="str">
        <f t="shared" si="3"/>
        <v>Wild Koala</v>
      </c>
      <c r="D229" s="64" t="s">
        <v>821</v>
      </c>
      <c r="E229" s="69" t="str">
        <f>IFERROR(__xludf.DUMMYFUNCTION("TEXTJOIN("""", TRUE, ARRAYFORMULA(LEFT(SPLIT(C229, "" ""),1)))"),"WK")</f>
        <v>WK</v>
      </c>
      <c r="F229" s="65"/>
      <c r="G229" s="65" t="s">
        <v>618</v>
      </c>
      <c r="H229" s="65"/>
    </row>
    <row r="230">
      <c r="A230" s="80" t="str">
        <f t="shared" si="1"/>
        <v>wild-quokka</v>
      </c>
      <c r="B230" s="63" t="str">
        <f>'analysis _non-RE-nodes'!A208</f>
        <v>Wild Quokka</v>
      </c>
      <c r="C230" s="69" t="str">
        <f t="shared" si="3"/>
        <v>Wild Quokka</v>
      </c>
      <c r="D230" s="64" t="s">
        <v>822</v>
      </c>
      <c r="E230" s="69" t="str">
        <f>IFERROR(__xludf.DUMMYFUNCTION("TEXTJOIN("""", TRUE, ARRAYFORMULA(LEFT(SPLIT(C230, "" ""),1)))"),"WQ")</f>
        <v>WQ</v>
      </c>
      <c r="F230" s="65"/>
      <c r="G230" s="65" t="s">
        <v>618</v>
      </c>
      <c r="H230" s="65"/>
    </row>
    <row r="231">
      <c r="A231" s="80" t="str">
        <f t="shared" si="1"/>
        <v>wild-rosella</v>
      </c>
      <c r="B231" s="63" t="str">
        <f>'analysis _non-RE-nodes'!A209</f>
        <v>Wild Rosella</v>
      </c>
      <c r="C231" s="69" t="str">
        <f t="shared" si="3"/>
        <v>Wild Rosella</v>
      </c>
      <c r="D231" s="64" t="s">
        <v>823</v>
      </c>
      <c r="E231" s="69" t="str">
        <f>IFERROR(__xludf.DUMMYFUNCTION("TEXTJOIN("""", TRUE, ARRAYFORMULA(LEFT(SPLIT(C231, "" ""),1)))"),"WR")</f>
        <v>WR</v>
      </c>
      <c r="F231" s="65"/>
      <c r="G231" s="65" t="s">
        <v>618</v>
      </c>
      <c r="H231" s="65"/>
    </row>
    <row r="232">
      <c r="A232" s="80" t="str">
        <f t="shared" si="1"/>
        <v>wild-thorny-devil</v>
      </c>
      <c r="B232" s="63" t="str">
        <f>'analysis _non-RE-nodes'!A210</f>
        <v>Wild Thorny Devil</v>
      </c>
      <c r="C232" s="69" t="str">
        <f t="shared" si="3"/>
        <v>Wild Thorny Devil</v>
      </c>
      <c r="D232" s="64" t="s">
        <v>824</v>
      </c>
      <c r="E232" s="69" t="str">
        <f>IFERROR(__xludf.DUMMYFUNCTION("TEXTJOIN("""", TRUE, ARRAYFORMULA(LEFT(SPLIT(C232, "" ""),1)))"),"WTD")</f>
        <v>WTD</v>
      </c>
      <c r="F232" s="65"/>
      <c r="G232" s="65" t="s">
        <v>618</v>
      </c>
      <c r="H232" s="65"/>
    </row>
    <row r="233">
      <c r="A233" s="80" t="str">
        <f t="shared" si="1"/>
        <v>wild-wombat</v>
      </c>
      <c r="B233" s="63" t="str">
        <f>'analysis _non-RE-nodes'!A211</f>
        <v>Wild Wombat</v>
      </c>
      <c r="C233" s="69" t="str">
        <f t="shared" si="3"/>
        <v>Wild Wombat</v>
      </c>
      <c r="D233" s="64" t="s">
        <v>825</v>
      </c>
      <c r="E233" s="69" t="str">
        <f>IFERROR(__xludf.DUMMYFUNCTION("TEXTJOIN("""", TRUE, ARRAYFORMULA(LEFT(SPLIT(C233, "" ""),1)))"),"WW")</f>
        <v>WW</v>
      </c>
      <c r="F233" s="65"/>
      <c r="G233" s="65" t="s">
        <v>618</v>
      </c>
      <c r="H233" s="65"/>
    </row>
    <row r="234">
      <c r="A234" s="80" t="str">
        <f t="shared" si="1"/>
        <v>yellow-blue-tongue-skink</v>
      </c>
      <c r="B234" s="63" t="str">
        <f>'analysis _non-RE-nodes'!A212</f>
        <v>Yellow Blue-tongue Skink</v>
      </c>
      <c r="C234" s="69" t="str">
        <f t="shared" si="3"/>
        <v>Yellow Blue-tongue Skink</v>
      </c>
      <c r="D234" s="64" t="s">
        <v>826</v>
      </c>
      <c r="E234" s="69" t="str">
        <f>IFERROR(__xludf.DUMMYFUNCTION("TEXTJOIN("""", TRUE, ARRAYFORMULA(LEFT(SPLIT(C234, "" ""),1)))"),"YBS")</f>
        <v>YBS</v>
      </c>
      <c r="F234" s="65"/>
      <c r="G234" s="65" t="s">
        <v>618</v>
      </c>
      <c r="H234" s="65"/>
    </row>
    <row r="235">
      <c r="A235" s="80" t="str">
        <f t="shared" si="1"/>
        <v>yellow-cockatoo</v>
      </c>
      <c r="B235" s="63" t="str">
        <f>'analysis _non-RE-nodes'!A213</f>
        <v>Yellow Cockatoo</v>
      </c>
      <c r="C235" s="69" t="str">
        <f t="shared" si="3"/>
        <v>Yellow Cockatoo</v>
      </c>
      <c r="D235" s="64" t="s">
        <v>827</v>
      </c>
      <c r="E235" s="69" t="str">
        <f>IFERROR(__xludf.DUMMYFUNCTION("TEXTJOIN("""", TRUE, ARRAYFORMULA(LEFT(SPLIT(C235, "" ""),1)))"),"YC")</f>
        <v>YC</v>
      </c>
      <c r="F235" s="65"/>
      <c r="G235" s="65" t="s">
        <v>618</v>
      </c>
      <c r="H235" s="65"/>
    </row>
    <row r="236">
      <c r="A236" s="80" t="str">
        <f t="shared" si="1"/>
        <v>yellow-echidna</v>
      </c>
      <c r="B236" s="63" t="str">
        <f>'analysis _non-RE-nodes'!A214</f>
        <v>Yellow Echidna</v>
      </c>
      <c r="C236" s="69" t="str">
        <f t="shared" si="3"/>
        <v>Yellow Echidna</v>
      </c>
      <c r="D236" s="64" t="s">
        <v>828</v>
      </c>
      <c r="E236" s="69" t="str">
        <f>IFERROR(__xludf.DUMMYFUNCTION("TEXTJOIN("""", TRUE, ARRAYFORMULA(LEFT(SPLIT(C236, "" ""),1)))"),"YE")</f>
        <v>YE</v>
      </c>
      <c r="F236" s="65"/>
      <c r="G236" s="65" t="s">
        <v>618</v>
      </c>
      <c r="H236" s="65"/>
    </row>
    <row r="237">
      <c r="A237" s="80" t="str">
        <f t="shared" si="1"/>
        <v>yellow-fairy-penguin</v>
      </c>
      <c r="B237" s="63" t="str">
        <f>'analysis _non-RE-nodes'!A215</f>
        <v>Yellow Fairy Penguin</v>
      </c>
      <c r="C237" s="69" t="str">
        <f t="shared" si="3"/>
        <v>Yellow Fairy Penguin</v>
      </c>
      <c r="D237" s="64" t="s">
        <v>829</v>
      </c>
      <c r="E237" s="69" t="str">
        <f>IFERROR(__xludf.DUMMYFUNCTION("TEXTJOIN("""", TRUE, ARRAYFORMULA(LEFT(SPLIT(C237, "" ""),1)))"),"YFP")</f>
        <v>YFP</v>
      </c>
      <c r="F237" s="65"/>
      <c r="G237" s="65" t="s">
        <v>618</v>
      </c>
      <c r="H237" s="65"/>
    </row>
    <row r="238">
      <c r="A238" s="80" t="str">
        <f t="shared" si="1"/>
        <v>yellow-frilled-neck-lizard</v>
      </c>
      <c r="B238" s="63" t="str">
        <f>'analysis _non-RE-nodes'!A216</f>
        <v>Yellow Frilled Neck Lizard</v>
      </c>
      <c r="C238" s="69" t="str">
        <f t="shared" si="3"/>
        <v>Yellow Frilled Neck Lizard</v>
      </c>
      <c r="D238" s="64" t="s">
        <v>830</v>
      </c>
      <c r="E238" s="69" t="str">
        <f>IFERROR(__xludf.DUMMYFUNCTION("TEXTJOIN("""", TRUE, ARRAYFORMULA(LEFT(SPLIT(C238, "" ""),1)))"),"YFNL")</f>
        <v>YFNL</v>
      </c>
      <c r="F238" s="65"/>
      <c r="G238" s="65" t="s">
        <v>618</v>
      </c>
      <c r="H238" s="65"/>
    </row>
    <row r="239">
      <c r="A239" s="80" t="str">
        <f t="shared" si="1"/>
        <v>yellow-platypus</v>
      </c>
      <c r="B239" s="63" t="str">
        <f>'analysis _non-RE-nodes'!A217</f>
        <v>Yellow Platypus</v>
      </c>
      <c r="C239" s="69" t="str">
        <f t="shared" si="3"/>
        <v>Yellow Platypus</v>
      </c>
      <c r="D239" s="64" t="s">
        <v>831</v>
      </c>
      <c r="E239" s="69" t="str">
        <f>IFERROR(__xludf.DUMMYFUNCTION("TEXTJOIN("""", TRUE, ARRAYFORMULA(LEFT(SPLIT(C239, "" ""),1)))"),"YP")</f>
        <v>YP</v>
      </c>
      <c r="F239" s="65"/>
      <c r="G239" s="65" t="s">
        <v>618</v>
      </c>
      <c r="H239" s="65"/>
    </row>
    <row r="240">
      <c r="A240" s="80" t="str">
        <f t="shared" si="1"/>
        <v>yellow-redback-spider</v>
      </c>
      <c r="B240" s="63" t="str">
        <f>'analysis _non-RE-nodes'!A218</f>
        <v>Yellow Redback Spider</v>
      </c>
      <c r="C240" s="69" t="str">
        <f t="shared" si="3"/>
        <v>Yellow Redback Spider</v>
      </c>
      <c r="D240" s="64" t="s">
        <v>832</v>
      </c>
      <c r="E240" s="69" t="str">
        <f>IFERROR(__xludf.DUMMYFUNCTION("TEXTJOIN("""", TRUE, ARRAYFORMULA(LEFT(SPLIT(C240, "" ""),1)))"),"YRS")</f>
        <v>YRS</v>
      </c>
      <c r="F240" s="65"/>
      <c r="G240" s="65" t="s">
        <v>618</v>
      </c>
      <c r="H240" s="65"/>
    </row>
    <row r="241">
      <c r="A241" s="80" t="str">
        <f t="shared" si="1"/>
        <v>yellow-thorny-devil</v>
      </c>
      <c r="B241" s="63" t="str">
        <f>'analysis _non-RE-nodes'!A219</f>
        <v>Yellow Thorny Devil</v>
      </c>
      <c r="C241" s="69" t="str">
        <f t="shared" si="3"/>
        <v>Yellow Thorny Devil</v>
      </c>
      <c r="D241" s="64" t="s">
        <v>833</v>
      </c>
      <c r="E241" s="69" t="str">
        <f>IFERROR(__xludf.DUMMYFUNCTION("TEXTJOIN("""", TRUE, ARRAYFORMULA(LEFT(SPLIT(C241, "" ""),1)))"),"YTD")</f>
        <v>YTD</v>
      </c>
      <c r="F241" s="65"/>
      <c r="G241" s="65" t="s">
        <v>618</v>
      </c>
      <c r="H241" s="65"/>
    </row>
    <row r="242">
      <c r="A242" s="80" t="str">
        <f t="shared" si="1"/>
        <v>yellow-tree-kangaroo</v>
      </c>
      <c r="B242" s="63" t="str">
        <f>'analysis _non-RE-nodes'!A220</f>
        <v>Yellow Tree Kangaroo</v>
      </c>
      <c r="C242" s="69" t="str">
        <f t="shared" si="3"/>
        <v>Yellow Tree Kangaroo</v>
      </c>
      <c r="D242" s="64" t="s">
        <v>834</v>
      </c>
      <c r="E242" s="69" t="str">
        <f>IFERROR(__xludf.DUMMYFUNCTION("TEXTJOIN("""", TRUE, ARRAYFORMULA(LEFT(SPLIT(C242, "" ""),1)))"),"YTK")</f>
        <v>YTK</v>
      </c>
      <c r="F242" s="65"/>
      <c r="G242" s="65" t="s">
        <v>618</v>
      </c>
      <c r="H242" s="65"/>
    </row>
    <row r="243">
      <c r="A243" s="81" t="str">
        <f t="shared" si="1"/>
        <v>yellow-wombat</v>
      </c>
      <c r="B243" s="82" t="str">
        <f>'analysis _non-RE-nodes'!A221</f>
        <v>Yellow Wombat</v>
      </c>
      <c r="C243" s="83" t="str">
        <f t="shared" si="3"/>
        <v>Yellow Wombat</v>
      </c>
      <c r="D243" s="64" t="s">
        <v>835</v>
      </c>
      <c r="E243" s="83" t="str">
        <f>IFERROR(__xludf.DUMMYFUNCTION("TEXTJOIN("""", TRUE, ARRAYFORMULA(LEFT(SPLIT(C243, "" ""),1)))"),"YW")</f>
        <v>YW</v>
      </c>
      <c r="F243" s="58"/>
      <c r="G243" s="58" t="s">
        <v>618</v>
      </c>
      <c r="H243" s="58"/>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17.88"/>
    <col customWidth="1" min="2" max="2" width="18.38"/>
    <col customWidth="1" min="3" max="3" width="10.5"/>
    <col customWidth="1" min="4" max="4" width="14.13"/>
    <col customWidth="1" min="5" max="7" width="10.25"/>
    <col customWidth="1" min="10" max="10" width="12.63"/>
    <col customWidth="1" min="12" max="12" width="11.75"/>
    <col customWidth="1" min="13" max="13" width="16.63"/>
  </cols>
  <sheetData>
    <row r="1" ht="34.5" customHeight="1">
      <c r="A1" s="84" t="str">
        <f t="array" ref="A1:N1">TRANSPOSE('meta-link-question-map'!A2:A15)</f>
        <v>node-to</v>
      </c>
      <c r="B1" s="84" t="s">
        <v>836</v>
      </c>
      <c r="C1" s="84" t="s">
        <v>837</v>
      </c>
      <c r="D1" s="84" t="s">
        <v>838</v>
      </c>
      <c r="E1" s="84" t="s">
        <v>839</v>
      </c>
      <c r="F1" s="84" t="s">
        <v>840</v>
      </c>
      <c r="G1" s="84" t="s">
        <v>841</v>
      </c>
      <c r="H1" s="84" t="s">
        <v>842</v>
      </c>
      <c r="I1" s="84" t="s">
        <v>843</v>
      </c>
      <c r="J1" s="84" t="s">
        <v>844</v>
      </c>
      <c r="K1" s="85" t="s">
        <v>845</v>
      </c>
      <c r="L1" s="84" t="s">
        <v>846</v>
      </c>
      <c r="M1" s="84" t="s">
        <v>847</v>
      </c>
      <c r="N1" s="85" t="s">
        <v>848</v>
      </c>
    </row>
    <row r="2" ht="15.0" customHeight="1">
      <c r="A2" s="86" t="str">
        <f>Substitute(SUBSTITUTE(substitute(substitute(substitute(substitute(substitute(substitute(substitute(lower('source-upstream'!A2)," ","-"),"(",""),")",""),"&gt;",""),"&lt;",""),"---","-"),".","-"),"--","-"),"&amp;","-and-")</f>
        <v>blue-lyrebird</v>
      </c>
      <c r="B2" s="86" t="str">
        <f>Substitute(SUBSTITUTE(substitute(substitute(substitute(substitute(substitute(substitute(substitute(lower('source-upstream'!B2)," ","-"),"(",""),")",""),"&gt;",""),"&lt;",""),"---","-"),".","-"),"--","-"),"&amp;","-and-")</f>
        <v>blue-dingo</v>
      </c>
      <c r="C2" s="65" t="str">
        <f>if('source-upstream'!C2="",'schema-frequency'!$B$11,vlookup('source-upstream'!C2,FREQUENCY_MAP, 3, FALSE))</f>
        <v>not-provided</v>
      </c>
      <c r="D2" s="87" t="str">
        <f>'source-upstream'!D2</f>
        <v>Transport - C &amp; D</v>
      </c>
      <c r="E2" s="65" t="str">
        <f>if('source-upstream'!E2="",'schema-yn'!$A$5,vlookup('source-upstream'!E2,YN_MAP,3,FALSE))</f>
        <v>no</v>
      </c>
      <c r="F2" s="65" t="str">
        <f>if('source-upstream'!F2="",'schema-yn'!$A$5,vlookup('source-upstream'!F2,YN_MAP,3,FALSE))</f>
        <v>no</v>
      </c>
      <c r="G2" s="65" t="str">
        <f>if('source-upstream'!G2="",'schema-yn'!$A$5,vlookup('source-upstream'!G2,YN_MAP,3,FALSE))</f>
        <v>yes</v>
      </c>
      <c r="H2" s="65" t="str">
        <f>if('source-upstream'!H2="",'data-cleansing-maps'!$L$10,vlookup('source-upstream'!H2,RESILIENCE_OPTION_MAP,3,FALSE))</f>
        <v>alternative-supplier</v>
      </c>
      <c r="I2" s="65" t="str">
        <f>if(iserror(vlookup('source-upstream'!I2,'data-cleansing-maps'!N$5:N$10,1,FALSE)),'source-upstream'!I2,"")</f>
        <v/>
      </c>
      <c r="J2" s="87" t="str">
        <f>'source-upstream'!J2</f>
        <v>Alternative suppliers for the provision of C&amp;D waste and for the provision of transport services available Sufficiently large amounts of stored C&amp;D waste that can be processed without new material coming to site</v>
      </c>
      <c r="K2" s="65" t="str">
        <f>if('source-upstream'!K2="",'schema-yn'!$A$5,vlookup('source-upstream'!K2,YN_MAP,3,FALSE))</f>
        <v>not-provided</v>
      </c>
      <c r="L2" s="87" t="str">
        <f>if('source-upstream'!L2="Not provided","",'source-upstream'!L2)</f>
        <v/>
      </c>
      <c r="M2" s="65" t="str">
        <f>if('source-upstream'!M2="",'schema-rv-services'!$B$26,vlookup(vlookup('source-upstream'!$M2,'analysis-rv-services'!$C:$E,3,FALSE),'schema-rv-services'!$A:$B,2, FALSE))</f>
        <v>transport</v>
      </c>
      <c r="N2" s="65"/>
    </row>
    <row r="3" ht="15.0" customHeight="1">
      <c r="A3" s="88" t="str">
        <f>Substitute(SUBSTITUTE(substitute(substitute(substitute(substitute(substitute(substitute(substitute(lower('source-upstream'!A3)," ","-"),"(",""),")",""),"&gt;",""),"&lt;",""),"---","-"),".","-"),"--","-"),"&amp;","-and-")</f>
        <v>blue-lyrebird</v>
      </c>
      <c r="B3" s="88" t="str">
        <f>Substitute(SUBSTITUTE(substitute(substitute(substitute(substitute(substitute(substitute(substitute(lower('source-upstream'!B3)," ","-"),"(",""),")",""),"&gt;",""),"&lt;",""),"---","-"),".","-"),"--","-"),"&amp;","-and-")</f>
        <v>tiny-fairy-penguin</v>
      </c>
      <c r="C3" s="70" t="str">
        <f>if('source-upstream'!C3="",'schema-frequency'!$B$11,vlookup('source-upstream'!C3,FREQUENCY_MAP, 3, FALSE))</f>
        <v>not-provided</v>
      </c>
      <c r="D3" s="89" t="str">
        <f>'source-upstream'!D3</f>
        <v>Transport - C &amp; D</v>
      </c>
      <c r="E3" s="70" t="str">
        <f>if('source-upstream'!E3="",'schema-yn'!$A$5,vlookup('source-upstream'!E3,YN_MAP,3,FALSE))</f>
        <v>no</v>
      </c>
      <c r="F3" s="70" t="str">
        <f>if('source-upstream'!F3="",'schema-yn'!$A$5,vlookup('source-upstream'!F3,YN_MAP,3,FALSE))</f>
        <v>no</v>
      </c>
      <c r="G3" s="70" t="str">
        <f>if('source-upstream'!G3="",'schema-yn'!$A$5,vlookup('source-upstream'!G3,YN_MAP,3,FALSE))</f>
        <v>yes</v>
      </c>
      <c r="H3" s="70" t="str">
        <f>if('source-upstream'!H3="",'schema-yn'!$A$5,vlookup('source-upstream'!H3,RESILIENCE_OPTION_MAP,3,FALSE))</f>
        <v>alternative-supplier</v>
      </c>
      <c r="I3" s="70" t="str">
        <f>if(iserror(vlookup('source-upstream'!I3,'data-cleansing-maps'!N$5:N$10,1,FALSE)),'source-upstream'!I3,"")</f>
        <v/>
      </c>
      <c r="J3" s="89" t="str">
        <f>'source-upstream'!J3</f>
        <v>Alternative suppliers for the provision of C&amp;D waste and for the provision of transport services available Sufficiently large amounts of stored C&amp;D waste that can be processed without new material coming to site</v>
      </c>
      <c r="K3" s="70" t="str">
        <f>if('source-upstream'!K3="",'schema-yn'!$A$5,vlookup('source-upstream'!K3,YN_MAP,3,FALSE))</f>
        <v>not-provided</v>
      </c>
      <c r="L3" s="89" t="str">
        <f>if('source-upstream'!L3="Not provided","",'source-upstream'!L3)</f>
        <v/>
      </c>
      <c r="M3" s="65" t="str">
        <f>if('source-upstream'!M3="",'schema-rv-services'!$B$26,vlookup(vlookup('source-upstream'!$M3,'analysis-rv-services'!$C:$E,3,FALSE),'schema-rv-services'!$A:$B,2, FALSE))</f>
        <v>transport</v>
      </c>
      <c r="N3" s="70"/>
    </row>
    <row r="4" ht="15.0" customHeight="1">
      <c r="A4" s="88" t="str">
        <f>Substitute(SUBSTITUTE(substitute(substitute(substitute(substitute(substitute(substitute(substitute(lower('source-upstream'!A4)," ","-"),"(",""),")",""),"&gt;",""),"&lt;",""),"---","-"),".","-"),"--","-"),"&amp;","-and-")</f>
        <v>blue-lyrebird</v>
      </c>
      <c r="B4" s="88" t="str">
        <f>Substitute(SUBSTITUTE(substitute(substitute(substitute(substitute(substitute(substitute(substitute(lower('source-upstream'!B4)," ","-"),"(",""),")",""),"&gt;",""),"&lt;",""),"---","-"),".","-"),"--","-"),"&amp;","-and-")</f>
        <v>fuzzy-fairy-penguin</v>
      </c>
      <c r="C4" s="70" t="str">
        <f>if('source-upstream'!C4="",'schema-frequency'!$B$11,vlookup('source-upstream'!C4,FREQUENCY_MAP, 3, FALSE))</f>
        <v>not-provided</v>
      </c>
      <c r="D4" s="89" t="str">
        <f>'source-upstream'!D4</f>
        <v>Transport - C &amp; D</v>
      </c>
      <c r="E4" s="70" t="str">
        <f>if('source-upstream'!E4="",'schema-yn'!$A$5,vlookup('source-upstream'!E4,YN_MAP,3,FALSE))</f>
        <v>no</v>
      </c>
      <c r="F4" s="70" t="str">
        <f>if('source-upstream'!F4="",'schema-yn'!$A$5,vlookup('source-upstream'!F4,YN_MAP,3,FALSE))</f>
        <v>no</v>
      </c>
      <c r="G4" s="70" t="str">
        <f>if('source-upstream'!G4="",'schema-yn'!$A$5,vlookup('source-upstream'!G4,YN_MAP,3,FALSE))</f>
        <v>yes</v>
      </c>
      <c r="H4" s="70" t="str">
        <f>if('source-upstream'!H4="",'schema-yn'!$A$5,vlookup('source-upstream'!H4,RESILIENCE_OPTION_MAP,3,FALSE))</f>
        <v>alternative-supplier</v>
      </c>
      <c r="I4" s="70" t="str">
        <f>if(iserror(vlookup('source-upstream'!I4,'data-cleansing-maps'!N$5:N$10,1,FALSE)),'source-upstream'!I4,"")</f>
        <v/>
      </c>
      <c r="J4" s="89" t="str">
        <f>'source-upstream'!J4</f>
        <v>Alternative suppliers for the provision of C&amp;D waste and for the provision of transport services available Sufficiently large amounts of stored C&amp;D waste that can be processed without new material coming to site</v>
      </c>
      <c r="K4" s="70" t="str">
        <f>if('source-upstream'!K4="",'schema-yn'!$A$5,vlookup('source-upstream'!K4,YN_MAP,3,FALSE))</f>
        <v>not-provided</v>
      </c>
      <c r="L4" s="89" t="str">
        <f>if('source-upstream'!L4="Not provided","",'source-upstream'!L4)</f>
        <v/>
      </c>
      <c r="M4" s="65" t="str">
        <f>if('source-upstream'!M4="",'schema-rv-services'!$B$26,vlookup(vlookup('source-upstream'!$M4,'analysis-rv-services'!$C:$E,3,FALSE),'schema-rv-services'!$A:$B,2, FALSE))</f>
        <v>transport</v>
      </c>
      <c r="N4" s="70" t="s">
        <v>849</v>
      </c>
    </row>
    <row r="5" ht="15.0" customHeight="1">
      <c r="A5" s="88" t="str">
        <f>Substitute(SUBSTITUTE(substitute(substitute(substitute(substitute(substitute(substitute(substitute(lower('source-upstream'!A5)," ","-"),"(",""),")",""),"&gt;",""),"&lt;",""),"---","-"),".","-"),"--","-"),"&amp;","-and-")</f>
        <v>blue-lyrebird</v>
      </c>
      <c r="B5" s="88" t="str">
        <f>Substitute(SUBSTITUTE(substitute(substitute(substitute(substitute(substitute(substitute(substitute(lower('source-upstream'!B5)," ","-"),"(",""),")",""),"&gt;",""),"&lt;",""),"---","-"),".","-"),"--","-"),"&amp;","-and-")</f>
        <v>red-tree-kangaroo</v>
      </c>
      <c r="C5" s="70" t="str">
        <f>if('source-upstream'!C5="",'schema-frequency'!$B$11,vlookup('source-upstream'!C5,FREQUENCY_MAP, 3, FALSE))</f>
        <v>not-provided</v>
      </c>
      <c r="D5" s="89" t="str">
        <f>'source-upstream'!D5</f>
        <v>Transport - C &amp; D</v>
      </c>
      <c r="E5" s="70" t="str">
        <f>if('source-upstream'!E5="",'schema-yn'!$A$5,vlookup('source-upstream'!E5,YN_MAP,3,FALSE))</f>
        <v>no</v>
      </c>
      <c r="F5" s="70" t="str">
        <f>if('source-upstream'!F5="",'schema-yn'!$A$5,vlookup('source-upstream'!F5,YN_MAP,3,FALSE))</f>
        <v>no</v>
      </c>
      <c r="G5" s="70" t="str">
        <f>if('source-upstream'!G5="",'schema-yn'!$A$5,vlookup('source-upstream'!G5,YN_MAP,3,FALSE))</f>
        <v>yes</v>
      </c>
      <c r="H5" s="70" t="str">
        <f>if('source-upstream'!H5="",'schema-yn'!$A$5,vlookup('source-upstream'!H5,RESILIENCE_OPTION_MAP,3,FALSE))</f>
        <v>alternative-supplier</v>
      </c>
      <c r="I5" s="70" t="str">
        <f>if(iserror(vlookup('source-upstream'!I5,'data-cleansing-maps'!N$5:N$10,1,FALSE)),'source-upstream'!I5,"")</f>
        <v/>
      </c>
      <c r="J5" s="89" t="str">
        <f>'source-upstream'!J5</f>
        <v>Alternative suppliers for the provision of C&amp;D waste and for the provision of transport services available Sufficiently large amounts of stored C&amp;D waste that can be processed without new material coming to site</v>
      </c>
      <c r="K5" s="70" t="str">
        <f>if('source-upstream'!K5="",'schema-yn'!$A$5,vlookup('source-upstream'!K5,YN_MAP,3,FALSE))</f>
        <v>not-provided</v>
      </c>
      <c r="L5" s="89" t="str">
        <f>if('source-upstream'!L5="Not provided","",'source-upstream'!L5)</f>
        <v/>
      </c>
      <c r="M5" s="65" t="str">
        <f>if('source-upstream'!M5="",'schema-rv-services'!$B$26,vlookup(vlookup('source-upstream'!$M5,'analysis-rv-services'!$C:$E,3,FALSE),'schema-rv-services'!$A:$B,2, FALSE))</f>
        <v>transport</v>
      </c>
      <c r="N5" s="70"/>
    </row>
    <row r="6" ht="15.0" customHeight="1">
      <c r="A6" s="88" t="str">
        <f>Substitute(SUBSTITUTE(substitute(substitute(substitute(substitute(substitute(substitute(substitute(lower('source-upstream'!A6)," ","-"),"(",""),")",""),"&gt;",""),"&lt;",""),"---","-"),".","-"),"--","-"),"&amp;","-and-")</f>
        <v>blue-lyrebird</v>
      </c>
      <c r="B6" s="88" t="str">
        <f>Substitute(SUBSTITUTE(substitute(substitute(substitute(substitute(substitute(substitute(substitute(lower('source-upstream'!B6)," ","-"),"(",""),")",""),"&gt;",""),"&lt;",""),"---","-"),".","-"),"--","-"),"&amp;","-and-")</f>
        <v>clever-emu</v>
      </c>
      <c r="C6" s="70" t="str">
        <f>if('source-upstream'!C6="",'schema-frequency'!$B$11,vlookup('source-upstream'!C6,FREQUENCY_MAP, 3, FALSE))</f>
        <v>not-provided</v>
      </c>
      <c r="D6" s="89" t="str">
        <f>'source-upstream'!D6</f>
        <v>Transport - C &amp; D</v>
      </c>
      <c r="E6" s="70" t="str">
        <f>if('source-upstream'!E6="",'schema-yn'!$A$5,vlookup('source-upstream'!E6,YN_MAP,3,FALSE))</f>
        <v>no</v>
      </c>
      <c r="F6" s="70" t="str">
        <f>if('source-upstream'!F6="",'schema-yn'!$A$5,vlookup('source-upstream'!F6,YN_MAP,3,FALSE))</f>
        <v>no</v>
      </c>
      <c r="G6" s="70" t="str">
        <f>if('source-upstream'!G6="",'schema-yn'!$A$5,vlookup('source-upstream'!G6,YN_MAP,3,FALSE))</f>
        <v>yes</v>
      </c>
      <c r="H6" s="70" t="str">
        <f>if('source-upstream'!H6="",'schema-yn'!$A$5,vlookup('source-upstream'!H6,RESILIENCE_OPTION_MAP,3,FALSE))</f>
        <v>alternative-supplier</v>
      </c>
      <c r="I6" s="70" t="str">
        <f>if(iserror(vlookup('source-upstream'!I6,'data-cleansing-maps'!N$5:N$10,1,FALSE)),'source-upstream'!I6,"")</f>
        <v/>
      </c>
      <c r="J6" s="89" t="str">
        <f>'source-upstream'!J6</f>
        <v>Alternative suppliers for the provision of C&amp;D waste and for the provision of transport services available Sufficiently large amounts of stored C&amp;D waste that can be processed without new material coming to site</v>
      </c>
      <c r="K6" s="70" t="str">
        <f>if('source-upstream'!K6="",'schema-yn'!$A$5,vlookup('source-upstream'!K6,YN_MAP,3,FALSE))</f>
        <v>not-provided</v>
      </c>
      <c r="L6" s="89" t="str">
        <f>if('source-upstream'!L6="Not provided","",'source-upstream'!L6)</f>
        <v/>
      </c>
      <c r="M6" s="65" t="str">
        <f>if('source-upstream'!M6="",'schema-rv-services'!$B$26,vlookup(vlookup('source-upstream'!$M6,'analysis-rv-services'!$C:$E,3,FALSE),'schema-rv-services'!$A:$B,2, FALSE))</f>
        <v>transport</v>
      </c>
      <c r="N6" s="70"/>
    </row>
    <row r="7" ht="15.0" customHeight="1">
      <c r="A7" s="88" t="str">
        <f>Substitute(SUBSTITUTE(substitute(substitute(substitute(substitute(substitute(substitute(substitute(lower('source-upstream'!A7)," ","-"),"(",""),")",""),"&gt;",""),"&lt;",""),"---","-"),".","-"),"--","-"),"&amp;","-and-")</f>
        <v>blue-lyrebird</v>
      </c>
      <c r="B7" s="88" t="str">
        <f>Substitute(SUBSTITUTE(substitute(substitute(substitute(substitute(substitute(substitute(substitute(lower('source-upstream'!B7)," ","-"),"(",""),")",""),"&gt;",""),"&lt;",""),"---","-"),".","-"),"--","-"),"&amp;","-and-")</f>
        <v>shy-bilby</v>
      </c>
      <c r="C7" s="70" t="str">
        <f>if('source-upstream'!C7="",'schema-frequency'!$B$11,vlookup('source-upstream'!C7,FREQUENCY_MAP, 3, FALSE))</f>
        <v>not-provided</v>
      </c>
      <c r="D7" s="89" t="str">
        <f>'source-upstream'!D7</f>
        <v>Transport - C &amp; D</v>
      </c>
      <c r="E7" s="70" t="str">
        <f>if('source-upstream'!E7="",'schema-yn'!$A$5,vlookup('source-upstream'!E7,YN_MAP,3,FALSE))</f>
        <v>no</v>
      </c>
      <c r="F7" s="70" t="str">
        <f>if('source-upstream'!F7="",'schema-yn'!$A$5,vlookup('source-upstream'!F7,YN_MAP,3,FALSE))</f>
        <v>no</v>
      </c>
      <c r="G7" s="70" t="str">
        <f>if('source-upstream'!G7="",'schema-yn'!$A$5,vlookup('source-upstream'!G7,YN_MAP,3,FALSE))</f>
        <v>yes</v>
      </c>
      <c r="H7" s="70" t="str">
        <f>if('source-upstream'!H7="",'schema-yn'!$A$5,vlookup('source-upstream'!H7,RESILIENCE_OPTION_MAP,3,FALSE))</f>
        <v>alternative-supplier</v>
      </c>
      <c r="I7" s="70" t="str">
        <f>if(iserror(vlookup('source-upstream'!I7,'data-cleansing-maps'!N$5:N$10,1,FALSE)),'source-upstream'!I7,"")</f>
        <v/>
      </c>
      <c r="J7" s="89" t="str">
        <f>'source-upstream'!J7</f>
        <v>Alternative suppliers for the provision of C&amp;D waste and for the provision of transport services available Sufficiently large amounts of stored C&amp;D waste that can be processed without new material coming to site</v>
      </c>
      <c r="K7" s="70" t="str">
        <f>if('source-upstream'!K7="",'schema-yn'!$A$5,vlookup('source-upstream'!K7,YN_MAP,3,FALSE))</f>
        <v>not-provided</v>
      </c>
      <c r="L7" s="89" t="str">
        <f>if('source-upstream'!L7="Not provided","",'source-upstream'!L7)</f>
        <v/>
      </c>
      <c r="M7" s="65" t="str">
        <f>if('source-upstream'!M7="",'schema-rv-services'!$B$26,vlookup(vlookup('source-upstream'!$M7,'analysis-rv-services'!$C:$E,3,FALSE),'schema-rv-services'!$A:$B,2, FALSE))</f>
        <v>transport</v>
      </c>
      <c r="N7" s="70"/>
    </row>
    <row r="8" ht="15.0" customHeight="1">
      <c r="A8" s="88" t="str">
        <f>Substitute(SUBSTITUTE(substitute(substitute(substitute(substitute(substitute(substitute(substitute(lower('source-upstream'!A8)," ","-"),"(",""),")",""),"&gt;",""),"&lt;",""),"---","-"),".","-"),"--","-"),"&amp;","-and-")</f>
        <v>blue-lyrebird</v>
      </c>
      <c r="B8" s="88" t="str">
        <f>Substitute(SUBSTITUTE(substitute(substitute(substitute(substitute(substitute(substitute(substitute(lower('source-upstream'!B8)," ","-"),"(",""),")",""),"&gt;",""),"&lt;",""),"---","-"),".","-"),"--","-"),"&amp;","-and-")</f>
        <v>shy-platypus</v>
      </c>
      <c r="C8" s="70" t="str">
        <f>if('source-upstream'!C8="",'schema-frequency'!$B$11,vlookup('source-upstream'!C8,FREQUENCY_MAP, 3, FALSE))</f>
        <v>not-provided</v>
      </c>
      <c r="D8" s="89" t="str">
        <f>'source-upstream'!D8</f>
        <v>Transport - C &amp; D</v>
      </c>
      <c r="E8" s="70" t="str">
        <f>if('source-upstream'!E8="",'schema-yn'!$A$5,vlookup('source-upstream'!E8,YN_MAP,3,FALSE))</f>
        <v>no</v>
      </c>
      <c r="F8" s="70" t="str">
        <f>if('source-upstream'!F8="",'schema-yn'!$A$5,vlookup('source-upstream'!F8,YN_MAP,3,FALSE))</f>
        <v>no</v>
      </c>
      <c r="G8" s="70" t="str">
        <f>if('source-upstream'!G8="",'schema-yn'!$A$5,vlookup('source-upstream'!G8,YN_MAP,3,FALSE))</f>
        <v>yes</v>
      </c>
      <c r="H8" s="70" t="str">
        <f>if('source-upstream'!H8="",'schema-yn'!$A$5,vlookup('source-upstream'!H8,RESILIENCE_OPTION_MAP,3,FALSE))</f>
        <v>alternative-supplier</v>
      </c>
      <c r="I8" s="70" t="str">
        <f>if(iserror(vlookup('source-upstream'!I8,'data-cleansing-maps'!N$5:N$10,1,FALSE)),'source-upstream'!I8,"")</f>
        <v/>
      </c>
      <c r="J8" s="89" t="str">
        <f>'source-upstream'!J8</f>
        <v>Alternative suppliers for the provision of C&amp;D waste and for the provision of transport services available Sufficiently large amounts of stored C&amp;D waste that can be processed without new material coming to site</v>
      </c>
      <c r="K8" s="70" t="str">
        <f>if('source-upstream'!K8="",'schema-yn'!$A$5,vlookup('source-upstream'!K8,YN_MAP,3,FALSE))</f>
        <v>not-provided</v>
      </c>
      <c r="L8" s="89" t="str">
        <f>if('source-upstream'!L8="Not provided","",'source-upstream'!L8)</f>
        <v/>
      </c>
      <c r="M8" s="65" t="str">
        <f>if('source-upstream'!M8="",'schema-rv-services'!$B$26,vlookup(vlookup('source-upstream'!$M8,'analysis-rv-services'!$C:$E,3,FALSE),'schema-rv-services'!$A:$B,2, FALSE))</f>
        <v>transport</v>
      </c>
      <c r="N8" s="70"/>
    </row>
    <row r="9" ht="15.0" customHeight="1">
      <c r="A9" s="88" t="str">
        <f>Substitute(SUBSTITUTE(substitute(substitute(substitute(substitute(substitute(substitute(substitute(lower('source-upstream'!A9)," ","-"),"(",""),")",""),"&gt;",""),"&lt;",""),"---","-"),".","-"),"--","-"),"&amp;","-and-")</f>
        <v>blue-lyrebird</v>
      </c>
      <c r="B9" s="88" t="str">
        <f>Substitute(SUBSTITUTE(substitute(substitute(substitute(substitute(substitute(substitute(substitute(lower('source-upstream'!B9)," ","-"),"(",""),")",""),"&gt;",""),"&lt;",""),"---","-"),".","-"),"--","-"),"&amp;","-and-")</f>
        <v>spotted-thorny-devil</v>
      </c>
      <c r="C9" s="70" t="str">
        <f>if('source-upstream'!C9="",'schema-frequency'!$B$11,vlookup('source-upstream'!C9,FREQUENCY_MAP, 3, FALSE))</f>
        <v>not-provided</v>
      </c>
      <c r="D9" s="89" t="str">
        <f>'source-upstream'!D9</f>
        <v>Transport - C &amp; D</v>
      </c>
      <c r="E9" s="70" t="str">
        <f>if('source-upstream'!E9="",'schema-yn'!$A$5,vlookup('source-upstream'!E9,YN_MAP,3,FALSE))</f>
        <v>no</v>
      </c>
      <c r="F9" s="70" t="str">
        <f>if('source-upstream'!F9="",'schema-yn'!$A$5,vlookup('source-upstream'!F9,YN_MAP,3,FALSE))</f>
        <v>no</v>
      </c>
      <c r="G9" s="70" t="str">
        <f>if('source-upstream'!G9="",'schema-yn'!$A$5,vlookup('source-upstream'!G9,YN_MAP,3,FALSE))</f>
        <v>yes</v>
      </c>
      <c r="H9" s="70" t="str">
        <f>if('source-upstream'!H9="",'schema-yn'!$A$5,vlookup('source-upstream'!H9,RESILIENCE_OPTION_MAP,3,FALSE))</f>
        <v>alternative-supplier</v>
      </c>
      <c r="I9" s="70" t="str">
        <f>if(iserror(vlookup('source-upstream'!I9,'data-cleansing-maps'!N$5:N$10,1,FALSE)),'source-upstream'!I9,"")</f>
        <v/>
      </c>
      <c r="J9" s="89" t="str">
        <f>'source-upstream'!J9</f>
        <v>Alternative suppliers for the provision of C&amp;D waste and for the provision of transport services available Sufficiently large amounts of stored C&amp;D waste that can be processed without new material coming to site</v>
      </c>
      <c r="K9" s="70" t="str">
        <f>if('source-upstream'!K9="",'schema-yn'!$A$5,vlookup('source-upstream'!K9,YN_MAP,3,FALSE))</f>
        <v>not-provided</v>
      </c>
      <c r="L9" s="89" t="str">
        <f>if('source-upstream'!L9="Not provided","",'source-upstream'!L9)</f>
        <v/>
      </c>
      <c r="M9" s="65" t="str">
        <f>if('source-upstream'!M9="",'schema-rv-services'!$B$26,vlookup(vlookup('source-upstream'!$M9,'analysis-rv-services'!$C:$E,3,FALSE),'schema-rv-services'!$A:$B,2, FALSE))</f>
        <v>transport</v>
      </c>
      <c r="N9" s="70"/>
    </row>
    <row r="10" ht="15.0" customHeight="1">
      <c r="A10" s="88" t="str">
        <f>Substitute(SUBSTITUTE(substitute(substitute(substitute(substitute(substitute(substitute(substitute(lower('source-upstream'!A10)," ","-"),"(",""),")",""),"&gt;",""),"&lt;",""),"---","-"),".","-"),"--","-"),"&amp;","-and-")</f>
        <v>blue-lyrebird</v>
      </c>
      <c r="B10" s="88" t="str">
        <f>Substitute(SUBSTITUTE(substitute(substitute(substitute(substitute(substitute(substitute(substitute(lower('source-upstream'!B10)," ","-"),"(",""),")",""),"&gt;",""),"&lt;",""),"---","-"),".","-"),"--","-"),"&amp;","-and-")</f>
        <v>fuzzy-fairy-penguin</v>
      </c>
      <c r="C10" s="70" t="str">
        <f>if('source-upstream'!C10="",'schema-frequency'!$B$11,vlookup('source-upstream'!C10,FREQUENCY_MAP, 3, FALSE))</f>
        <v>not-provided</v>
      </c>
      <c r="D10" s="89" t="str">
        <f>'source-upstream'!D10</f>
        <v>Transport - C &amp; D</v>
      </c>
      <c r="E10" s="70" t="str">
        <f>if('source-upstream'!E10="",'schema-yn'!$A$5,vlookup('source-upstream'!E10,YN_MAP,3,FALSE))</f>
        <v>no</v>
      </c>
      <c r="F10" s="70" t="str">
        <f>if('source-upstream'!F10="",'schema-yn'!$A$5,vlookup('source-upstream'!F10,YN_MAP,3,FALSE))</f>
        <v>no</v>
      </c>
      <c r="G10" s="70" t="str">
        <f>if('source-upstream'!G10="",'schema-yn'!$A$5,vlookup('source-upstream'!G10,YN_MAP,3,FALSE))</f>
        <v>yes</v>
      </c>
      <c r="H10" s="70" t="str">
        <f>if('source-upstream'!H10="",'schema-yn'!$A$5,vlookup('source-upstream'!H10,RESILIENCE_OPTION_MAP,3,FALSE))</f>
        <v>alternative-supplier</v>
      </c>
      <c r="I10" s="70" t="str">
        <f>if(iserror(vlookup('source-upstream'!I10,'data-cleansing-maps'!N$5:N$10,1,FALSE)),'source-upstream'!I10,"")</f>
        <v/>
      </c>
      <c r="J10" s="89" t="str">
        <f>'source-upstream'!J10</f>
        <v>Alternative suppliers for the provision of C&amp;D waste and for the provision of transport services available Sufficiently large amounts of stored C&amp;D waste that can be processed without new material coming to site</v>
      </c>
      <c r="K10" s="70" t="str">
        <f>if('source-upstream'!K10="",'schema-yn'!$A$5,vlookup('source-upstream'!K10,YN_MAP,3,FALSE))</f>
        <v>not-provided</v>
      </c>
      <c r="L10" s="89" t="str">
        <f>if('source-upstream'!L10="Not provided","",'source-upstream'!L10)</f>
        <v/>
      </c>
      <c r="M10" s="65" t="str">
        <f>if('source-upstream'!M10="",'schema-rv-services'!$B$26,vlookup(vlookup('source-upstream'!$M10,'analysis-rv-services'!$C:$E,3,FALSE),'schema-rv-services'!$A:$B,2, FALSE))</f>
        <v>transport</v>
      </c>
      <c r="N10" s="70"/>
    </row>
    <row r="11" ht="15.0" customHeight="1">
      <c r="A11" s="88" t="str">
        <f>Substitute(SUBSTITUTE(substitute(substitute(substitute(substitute(substitute(substitute(substitute(lower('source-upstream'!A11)," ","-"),"(",""),")",""),"&gt;",""),"&lt;",""),"---","-"),".","-"),"--","-"),"&amp;","-and-")</f>
        <v>blue-lyrebird</v>
      </c>
      <c r="B11" s="88" t="str">
        <f>Substitute(SUBSTITUTE(substitute(substitute(substitute(substitute(substitute(substitute(substitute(lower('source-upstream'!B11)," ","-"),"(",""),")",""),"&gt;",""),"&lt;",""),"---","-"),".","-"),"--","-"),"&amp;","-and-")</f>
        <v>yellow-australian-magpie</v>
      </c>
      <c r="C11" s="70" t="str">
        <f>if('source-upstream'!C11="",'schema-frequency'!$B$11,vlookup('source-upstream'!C11,FREQUENCY_MAP, 3, FALSE))</f>
        <v>not-provided</v>
      </c>
      <c r="D11" s="89" t="str">
        <f>'source-upstream'!D11</f>
        <v>Transport - C &amp; D</v>
      </c>
      <c r="E11" s="70" t="str">
        <f>if('source-upstream'!E11="",'schema-yn'!$A$5,vlookup('source-upstream'!E11,YN_MAP,3,FALSE))</f>
        <v>no</v>
      </c>
      <c r="F11" s="70" t="str">
        <f>if('source-upstream'!F11="",'schema-yn'!$A$5,vlookup('source-upstream'!F11,YN_MAP,3,FALSE))</f>
        <v>no</v>
      </c>
      <c r="G11" s="70" t="str">
        <f>if('source-upstream'!G11="",'schema-yn'!$A$5,vlookup('source-upstream'!G11,YN_MAP,3,FALSE))</f>
        <v>yes</v>
      </c>
      <c r="H11" s="70" t="str">
        <f>if('source-upstream'!H11="",'schema-yn'!$A$5,vlookup('source-upstream'!H11,RESILIENCE_OPTION_MAP,3,FALSE))</f>
        <v>alternative-supplier</v>
      </c>
      <c r="I11" s="70" t="str">
        <f>if(iserror(vlookup('source-upstream'!I11,'data-cleansing-maps'!N$5:N$10,1,FALSE)),'source-upstream'!I11,"")</f>
        <v/>
      </c>
      <c r="J11" s="89" t="str">
        <f>'source-upstream'!J11</f>
        <v>Alternative suppliers for the provision of C&amp;D waste and for the provision of transport services available Sufficiently large amounts of stored C&amp;D waste that can be processed without new material coming to site</v>
      </c>
      <c r="K11" s="70" t="str">
        <f>if('source-upstream'!K11="",'schema-yn'!$A$5,vlookup('source-upstream'!K11,YN_MAP,3,FALSE))</f>
        <v>not-provided</v>
      </c>
      <c r="L11" s="89" t="str">
        <f>if('source-upstream'!L11="Not provided","",'source-upstream'!L11)</f>
        <v/>
      </c>
      <c r="M11" s="65" t="str">
        <f>if('source-upstream'!M11="",'schema-rv-services'!$B$26,vlookup(vlookup('source-upstream'!$M11,'analysis-rv-services'!$C:$E,3,FALSE),'schema-rv-services'!$A:$B,2, FALSE))</f>
        <v>transport</v>
      </c>
      <c r="N11" s="70"/>
    </row>
    <row r="12" ht="15.0" customHeight="1">
      <c r="A12" s="88" t="str">
        <f>Substitute(SUBSTITUTE(substitute(substitute(substitute(substitute(substitute(substitute(substitute(lower('source-upstream'!A12)," ","-"),"(",""),")",""),"&gt;",""),"&lt;",""),"---","-"),".","-"),"--","-"),"&amp;","-and-")</f>
        <v>blue-lyrebird</v>
      </c>
      <c r="B12" s="88" t="str">
        <f>Substitute(SUBSTITUTE(substitute(substitute(substitute(substitute(substitute(substitute(substitute(lower('source-upstream'!B12)," ","-"),"(",""),")",""),"&gt;",""),"&lt;",""),"---","-"),".","-"),"--","-"),"&amp;","-and-")</f>
        <v>yellow-australian-magpie</v>
      </c>
      <c r="C12" s="70" t="str">
        <f>if('source-upstream'!C12="",'schema-frequency'!$B$11,vlookup('source-upstream'!C12,FREQUENCY_MAP, 3, FALSE))</f>
        <v>not-provided</v>
      </c>
      <c r="D12" s="89" t="str">
        <f>'source-upstream'!D12</f>
        <v>Transport - Glass waste</v>
      </c>
      <c r="E12" s="70" t="str">
        <f>if('source-upstream'!E12="",'schema-yn'!$A$5,vlookup('source-upstream'!E12,YN_MAP,3,FALSE))</f>
        <v>no</v>
      </c>
      <c r="F12" s="70" t="str">
        <f>if('source-upstream'!F12="",'schema-yn'!$A$5,vlookup('source-upstream'!F12,YN_MAP,3,FALSE))</f>
        <v>no</v>
      </c>
      <c r="G12" s="70" t="str">
        <f>if('source-upstream'!G12="",'schema-yn'!$A$5,vlookup('source-upstream'!G12,YN_MAP,3,FALSE))</f>
        <v>yes</v>
      </c>
      <c r="H12" s="70" t="str">
        <f>if('source-upstream'!H12="",'schema-yn'!$A$5,vlookup('source-upstream'!H12,RESILIENCE_OPTION_MAP,3,FALSE))</f>
        <v>alternative-supplier</v>
      </c>
      <c r="I12" s="70" t="str">
        <f>if(iserror(vlookup('source-upstream'!I12,'data-cleansing-maps'!N$5:N$10,1,FALSE)),'source-upstream'!I12,"")</f>
        <v/>
      </c>
      <c r="J12" s="89" t="str">
        <f>'source-upstream'!J12</f>
        <v>Alternative suppliers for the provision of glass waste and for the provision of transport services available 
 Sufficiently large amounts of stored glass waste that can be processed without new material coming to site</v>
      </c>
      <c r="K12" s="70" t="str">
        <f>if('source-upstream'!K12="",'schema-yn'!$A$5,vlookup('source-upstream'!K12,YN_MAP,3,FALSE))</f>
        <v>not-provided</v>
      </c>
      <c r="L12" s="89" t="str">
        <f>if('source-upstream'!L12="Not provided","",'source-upstream'!L12)</f>
        <v/>
      </c>
      <c r="M12" s="65" t="str">
        <f>if('source-upstream'!M12="",'schema-rv-services'!$B$26,vlookup(vlookup('source-upstream'!$M12,'analysis-rv-services'!$C:$E,3,FALSE),'schema-rv-services'!$A:$B,2, FALSE))</f>
        <v>transport</v>
      </c>
      <c r="N12" s="70"/>
    </row>
    <row r="13" ht="15.0" customHeight="1">
      <c r="A13" s="88" t="str">
        <f>Substitute(SUBSTITUTE(substitute(substitute(substitute(substitute(substitute(substitute(substitute(lower('source-upstream'!A13)," ","-"),"(",""),")",""),"&gt;",""),"&lt;",""),"---","-"),".","-"),"--","-"),"&amp;","-and-")</f>
        <v>blue-lyrebird</v>
      </c>
      <c r="B13" s="88" t="str">
        <f>Substitute(SUBSTITUTE(substitute(substitute(substitute(substitute(substitute(substitute(substitute(lower('source-upstream'!B13)," ","-"),"(",""),")",""),"&gt;",""),"&lt;",""),"---","-"),".","-"),"--","-"),"&amp;","-and-")</f>
        <v>fuzzy-sugar-glider</v>
      </c>
      <c r="C13" s="70" t="str">
        <f>if('source-upstream'!C13="",'schema-frequency'!$B$11,vlookup('source-upstream'!C13,FREQUENCY_MAP, 3, FALSE))</f>
        <v>not-provided</v>
      </c>
      <c r="D13" s="89" t="str">
        <f>'source-upstream'!D13</f>
        <v>Transport - Glass waste</v>
      </c>
      <c r="E13" s="70" t="str">
        <f>if('source-upstream'!E13="",'schema-yn'!$A$5,vlookup('source-upstream'!E13,YN_MAP,3,FALSE))</f>
        <v>no</v>
      </c>
      <c r="F13" s="70" t="str">
        <f>if('source-upstream'!F13="",'schema-yn'!$A$5,vlookup('source-upstream'!F13,YN_MAP,3,FALSE))</f>
        <v>no</v>
      </c>
      <c r="G13" s="70" t="str">
        <f>if('source-upstream'!G13="",'schema-yn'!$A$5,vlookup('source-upstream'!G13,YN_MAP,3,FALSE))</f>
        <v>yes</v>
      </c>
      <c r="H13" s="70" t="str">
        <f>if('source-upstream'!H13="",'schema-yn'!$A$5,vlookup('source-upstream'!H13,RESILIENCE_OPTION_MAP,3,FALSE))</f>
        <v>alternative-supplier</v>
      </c>
      <c r="I13" s="70" t="str">
        <f>if(iserror(vlookup('source-upstream'!I13,'data-cleansing-maps'!N$5:N$10,1,FALSE)),'source-upstream'!I13,"")</f>
        <v/>
      </c>
      <c r="J13" s="89" t="str">
        <f>'source-upstream'!J13</f>
        <v>Alternative suppliers for the provision of glass waste and for the provision of transport services available 
 Sufficiently large amounts of stored glass waste that can be processed without new material coming to site</v>
      </c>
      <c r="K13" s="70" t="str">
        <f>if('source-upstream'!K13="",'schema-yn'!$A$5,vlookup('source-upstream'!K13,YN_MAP,3,FALSE))</f>
        <v>not-provided</v>
      </c>
      <c r="L13" s="89" t="str">
        <f>if('source-upstream'!L13="Not provided","",'source-upstream'!L13)</f>
        <v/>
      </c>
      <c r="M13" s="65" t="str">
        <f>if('source-upstream'!M13="",'schema-rv-services'!$B$26,vlookup(vlookup('source-upstream'!$M13,'analysis-rv-services'!$C:$E,3,FALSE),'schema-rv-services'!$A:$B,2, FALSE))</f>
        <v>transport</v>
      </c>
      <c r="N13" s="70"/>
    </row>
    <row r="14" ht="15.0" customHeight="1">
      <c r="A14" s="88" t="str">
        <f>Substitute(SUBSTITUTE(substitute(substitute(substitute(substitute(substitute(substitute(substitute(lower('source-upstream'!A14)," ","-"),"(",""),")",""),"&gt;",""),"&lt;",""),"---","-"),".","-"),"--","-"),"&amp;","-and-")</f>
        <v>blue-lyrebird</v>
      </c>
      <c r="B14" s="88" t="str">
        <f>Substitute(SUBSTITUTE(substitute(substitute(substitute(substitute(substitute(substitute(substitute(lower('source-upstream'!B14)," ","-"),"(",""),")",""),"&gt;",""),"&lt;",""),"---","-"),".","-"),"--","-"),"&amp;","-and-")</f>
        <v>spotted-bandicoot</v>
      </c>
      <c r="C14" s="70" t="str">
        <f>if('source-upstream'!C14="",'schema-frequency'!$B$11,vlookup('source-upstream'!C14,FREQUENCY_MAP, 3, FALSE))</f>
        <v>not-provided</v>
      </c>
      <c r="D14" s="89" t="str">
        <f>'source-upstream'!D14</f>
        <v>Transport - Glass waste</v>
      </c>
      <c r="E14" s="70" t="str">
        <f>if('source-upstream'!E14="",'schema-yn'!$A$5,vlookup('source-upstream'!E14,YN_MAP,3,FALSE))</f>
        <v>no</v>
      </c>
      <c r="F14" s="70" t="str">
        <f>if('source-upstream'!F14="",'schema-yn'!$A$5,vlookup('source-upstream'!F14,YN_MAP,3,FALSE))</f>
        <v>no</v>
      </c>
      <c r="G14" s="70" t="str">
        <f>if('source-upstream'!G14="",'schema-yn'!$A$5,vlookup('source-upstream'!G14,YN_MAP,3,FALSE))</f>
        <v>yes</v>
      </c>
      <c r="H14" s="70" t="str">
        <f>if('source-upstream'!H14="",'schema-yn'!$A$5,vlookup('source-upstream'!H14,RESILIENCE_OPTION_MAP,3,FALSE))</f>
        <v>alternative-supplier</v>
      </c>
      <c r="I14" s="70" t="str">
        <f>if(iserror(vlookup('source-upstream'!I14,'data-cleansing-maps'!N$5:N$10,1,FALSE)),'source-upstream'!I14,"")</f>
        <v/>
      </c>
      <c r="J14" s="89" t="str">
        <f>'source-upstream'!J14</f>
        <v>Alternative suppliers for the provision of glass waste and for the provision of transport services available 
 Sufficiently large amounts of stored glass waste that can be processed without new material coming to site</v>
      </c>
      <c r="K14" s="70" t="str">
        <f>if('source-upstream'!K14="",'schema-yn'!$A$5,vlookup('source-upstream'!K14,YN_MAP,3,FALSE))</f>
        <v>not-provided</v>
      </c>
      <c r="L14" s="89" t="str">
        <f>if('source-upstream'!L14="Not provided","",'source-upstream'!L14)</f>
        <v/>
      </c>
      <c r="M14" s="65" t="str">
        <f>if('source-upstream'!M14="",'schema-rv-services'!$B$26,vlookup(vlookup('source-upstream'!$M14,'analysis-rv-services'!$C:$E,3,FALSE),'schema-rv-services'!$A:$B,2, FALSE))</f>
        <v>transport</v>
      </c>
      <c r="N14" s="70"/>
    </row>
    <row r="15" ht="15.0" customHeight="1">
      <c r="A15" s="88" t="str">
        <f>Substitute(SUBSTITUTE(substitute(substitute(substitute(substitute(substitute(substitute(substitute(lower('source-upstream'!A15)," ","-"),"(",""),")",""),"&gt;",""),"&lt;",""),"---","-"),".","-"),"--","-"),"&amp;","-and-")</f>
        <v>blue-lyrebird</v>
      </c>
      <c r="B15" s="88" t="str">
        <f>Substitute(SUBSTITUTE(substitute(substitute(substitute(substitute(substitute(substitute(substitute(lower('source-upstream'!B15)," ","-"),"(",""),")",""),"&gt;",""),"&lt;",""),"---","-"),".","-"),"--","-"),"&amp;","-and-")</f>
        <v>wild-thorny-devil</v>
      </c>
      <c r="C15" s="70" t="str">
        <f>if('source-upstream'!C15="",'schema-frequency'!$B$11,vlookup('source-upstream'!C15,FREQUENCY_MAP, 3, FALSE))</f>
        <v>not-provided</v>
      </c>
      <c r="D15" s="89" t="str">
        <f>'source-upstream'!D15</f>
        <v>Transport - Glass waste</v>
      </c>
      <c r="E15" s="70" t="str">
        <f>if('source-upstream'!E15="",'schema-yn'!$A$5,vlookup('source-upstream'!E15,YN_MAP,3,FALSE))</f>
        <v>no</v>
      </c>
      <c r="F15" s="70" t="str">
        <f>if('source-upstream'!F15="",'schema-yn'!$A$5,vlookup('source-upstream'!F15,YN_MAP,3,FALSE))</f>
        <v>no</v>
      </c>
      <c r="G15" s="70" t="str">
        <f>if('source-upstream'!G15="",'schema-yn'!$A$5,vlookup('source-upstream'!G15,YN_MAP,3,FALSE))</f>
        <v>yes</v>
      </c>
      <c r="H15" s="70" t="str">
        <f>if('source-upstream'!H15="",'schema-yn'!$A$5,vlookup('source-upstream'!H15,RESILIENCE_OPTION_MAP,3,FALSE))</f>
        <v>alternative-supplier</v>
      </c>
      <c r="I15" s="70" t="str">
        <f>if(iserror(vlookup('source-upstream'!I15,'data-cleansing-maps'!N$5:N$10,1,FALSE)),'source-upstream'!I15,"")</f>
        <v/>
      </c>
      <c r="J15" s="89" t="str">
        <f>'source-upstream'!J15</f>
        <v>Alternative suppliers for the provision of glass waste and for the provision of transport services available 
 Sufficiently large amounts of stored glass waste that can be processed without new material coming to site</v>
      </c>
      <c r="K15" s="70" t="str">
        <f>if('source-upstream'!K15="",'schema-yn'!$A$5,vlookup('source-upstream'!K15,YN_MAP,3,FALSE))</f>
        <v>not-provided</v>
      </c>
      <c r="L15" s="89" t="str">
        <f>if('source-upstream'!L15="Not provided","",'source-upstream'!L15)</f>
        <v/>
      </c>
      <c r="M15" s="65" t="str">
        <f>if('source-upstream'!M15="",'schema-rv-services'!$B$26,vlookup(vlookup('source-upstream'!$M15,'analysis-rv-services'!$C:$E,3,FALSE),'schema-rv-services'!$A:$B,2, FALSE))</f>
        <v>transport</v>
      </c>
      <c r="N15" s="70"/>
    </row>
    <row r="16" ht="15.0" customHeight="1">
      <c r="A16" s="88" t="str">
        <f>Substitute(SUBSTITUTE(substitute(substitute(substitute(substitute(substitute(substitute(substitute(lower('source-upstream'!A16)," ","-"),"(",""),")",""),"&gt;",""),"&lt;",""),"---","-"),".","-"),"--","-"),"&amp;","-and-")</f>
        <v>blue-lyrebird</v>
      </c>
      <c r="B16" s="88" t="str">
        <f>Substitute(SUBSTITUTE(substitute(substitute(substitute(substitute(substitute(substitute(substitute(lower('source-upstream'!B16)," ","-"),"(",""),")",""),"&gt;",""),"&lt;",""),"---","-"),".","-"),"--","-"),"&amp;","-and-")</f>
        <v>giant-thorny-devil</v>
      </c>
      <c r="C16" s="70" t="str">
        <f>if('source-upstream'!C16="",'schema-frequency'!$B$11,vlookup('source-upstream'!C16,FREQUENCY_MAP, 3, FALSE))</f>
        <v>not-provided</v>
      </c>
      <c r="D16" s="89" t="str">
        <f>'source-upstream'!D16</f>
        <v>Transport - Glass waste</v>
      </c>
      <c r="E16" s="70" t="str">
        <f>if('source-upstream'!E16="",'schema-yn'!$A$5,vlookup('source-upstream'!E16,YN_MAP,3,FALSE))</f>
        <v>no</v>
      </c>
      <c r="F16" s="70" t="str">
        <f>if('source-upstream'!F16="",'schema-yn'!$A$5,vlookup('source-upstream'!F16,YN_MAP,3,FALSE))</f>
        <v>no</v>
      </c>
      <c r="G16" s="70" t="str">
        <f>if('source-upstream'!G16="",'schema-yn'!$A$5,vlookup('source-upstream'!G16,YN_MAP,3,FALSE))</f>
        <v>yes</v>
      </c>
      <c r="H16" s="70" t="str">
        <f>if('source-upstream'!H16="",'schema-yn'!$A$5,vlookup('source-upstream'!H16,RESILIENCE_OPTION_MAP,3,FALSE))</f>
        <v>alternative-supplier</v>
      </c>
      <c r="I16" s="70" t="str">
        <f>if(iserror(vlookup('source-upstream'!I16,'data-cleansing-maps'!N$5:N$10,1,FALSE)),'source-upstream'!I16,"")</f>
        <v/>
      </c>
      <c r="J16" s="89" t="str">
        <f>'source-upstream'!J16</f>
        <v>Alternative suppliers for the provision of glass waste and for the provision of transport services available 
 Sufficiently large amounts of stored glass waste that can be processed without new material coming to site</v>
      </c>
      <c r="K16" s="70" t="str">
        <f>if('source-upstream'!K16="",'schema-yn'!$A$5,vlookup('source-upstream'!K16,YN_MAP,3,FALSE))</f>
        <v>not-provided</v>
      </c>
      <c r="L16" s="89" t="str">
        <f>if('source-upstream'!L16="Not provided","",'source-upstream'!L16)</f>
        <v/>
      </c>
      <c r="M16" s="65" t="str">
        <f>if('source-upstream'!M16="",'schema-rv-services'!$B$26,vlookup(vlookup('source-upstream'!$M16,'analysis-rv-services'!$C:$E,3,FALSE),'schema-rv-services'!$A:$B,2, FALSE))</f>
        <v>transport</v>
      </c>
      <c r="N16" s="70"/>
    </row>
    <row r="17" ht="15.0" customHeight="1">
      <c r="A17" s="88" t="str">
        <f>Substitute(SUBSTITUTE(substitute(substitute(substitute(substitute(substitute(substitute(substitute(lower('source-upstream'!A17)," ","-"),"(",""),")",""),"&gt;",""),"&lt;",""),"---","-"),".","-"),"--","-"),"&amp;","-and-")</f>
        <v>blue-lyrebird</v>
      </c>
      <c r="B17" s="88" t="str">
        <f>Substitute(SUBSTITUTE(substitute(substitute(substitute(substitute(substitute(substitute(substitute(lower('source-upstream'!B17)," ","-"),"(",""),")",""),"&gt;",""),"&lt;",""),"---","-"),".","-"),"--","-"),"&amp;","-and-")</f>
        <v>striped-quokka</v>
      </c>
      <c r="C17" s="70" t="str">
        <f>if('source-upstream'!C17="",'schema-frequency'!$B$11,vlookup('source-upstream'!C17,FREQUENCY_MAP, 3, FALSE))</f>
        <v>not-provided</v>
      </c>
      <c r="D17" s="89" t="str">
        <f>'source-upstream'!D17</f>
        <v>Transport - Glass waste</v>
      </c>
      <c r="E17" s="70" t="str">
        <f>if('source-upstream'!E17="",'schema-yn'!$A$5,vlookup('source-upstream'!E17,YN_MAP,3,FALSE))</f>
        <v>no</v>
      </c>
      <c r="F17" s="70" t="str">
        <f>if('source-upstream'!F17="",'schema-yn'!$A$5,vlookup('source-upstream'!F17,YN_MAP,3,FALSE))</f>
        <v>no</v>
      </c>
      <c r="G17" s="70" t="str">
        <f>if('source-upstream'!G17="",'schema-yn'!$A$5,vlookup('source-upstream'!G17,YN_MAP,3,FALSE))</f>
        <v>yes</v>
      </c>
      <c r="H17" s="70" t="str">
        <f>if('source-upstream'!H17="",'schema-yn'!$A$5,vlookup('source-upstream'!H17,RESILIENCE_OPTION_MAP,3,FALSE))</f>
        <v>alternative-supplier</v>
      </c>
      <c r="I17" s="70" t="str">
        <f>if(iserror(vlookup('source-upstream'!I17,'data-cleansing-maps'!N$5:N$10,1,FALSE)),'source-upstream'!I17,"")</f>
        <v/>
      </c>
      <c r="J17" s="89" t="str">
        <f>'source-upstream'!J17</f>
        <v>Alternative suppliers for the provision of glass waste and for the provision of transport services available 
 Sufficiently large amounts of stored glass waste that can be processed without new material coming to site</v>
      </c>
      <c r="K17" s="70" t="str">
        <f>if('source-upstream'!K17="",'schema-yn'!$A$5,vlookup('source-upstream'!K17,YN_MAP,3,FALSE))</f>
        <v>not-provided</v>
      </c>
      <c r="L17" s="89" t="str">
        <f>if('source-upstream'!L17="Not provided","",'source-upstream'!L17)</f>
        <v/>
      </c>
      <c r="M17" s="65" t="str">
        <f>if('source-upstream'!M17="",'schema-rv-services'!$B$26,vlookup(vlookup('source-upstream'!$M17,'analysis-rv-services'!$C:$E,3,FALSE),'schema-rv-services'!$A:$B,2, FALSE))</f>
        <v>transport</v>
      </c>
      <c r="N17" s="70"/>
    </row>
    <row r="18" ht="15.0" customHeight="1">
      <c r="A18" s="88" t="str">
        <f>Substitute(SUBSTITUTE(substitute(substitute(substitute(substitute(substitute(substitute(substitute(lower('source-upstream'!A18)," ","-"),"(",""),")",""),"&gt;",""),"&lt;",""),"---","-"),".","-"),"--","-"),"&amp;","-and-")</f>
        <v>blue-lyrebird</v>
      </c>
      <c r="B18" s="88" t="str">
        <f>Substitute(SUBSTITUTE(substitute(substitute(substitute(substitute(substitute(substitute(substitute(lower('source-upstream'!B18)," ","-"),"(",""),")",""),"&gt;",""),"&lt;",""),"---","-"),".","-"),"--","-"),"&amp;","-and-")</f>
        <v>wild-numbat</v>
      </c>
      <c r="C18" s="70" t="str">
        <f>if('source-upstream'!C18="",'schema-frequency'!$B$11,vlookup('source-upstream'!C18,FREQUENCY_MAP, 3, FALSE))</f>
        <v>not-provided</v>
      </c>
      <c r="D18" s="89" t="str">
        <f>'source-upstream'!D18</f>
        <v>Transport - Glass waste</v>
      </c>
      <c r="E18" s="70" t="str">
        <f>if('source-upstream'!E18="",'schema-yn'!$A$5,vlookup('source-upstream'!E18,YN_MAP,3,FALSE))</f>
        <v>no</v>
      </c>
      <c r="F18" s="70" t="str">
        <f>if('source-upstream'!F18="",'schema-yn'!$A$5,vlookup('source-upstream'!F18,YN_MAP,3,FALSE))</f>
        <v>no</v>
      </c>
      <c r="G18" s="70" t="str">
        <f>if('source-upstream'!G18="",'schema-yn'!$A$5,vlookup('source-upstream'!G18,YN_MAP,3,FALSE))</f>
        <v>yes</v>
      </c>
      <c r="H18" s="70" t="str">
        <f>if('source-upstream'!H18="",'schema-yn'!$A$5,vlookup('source-upstream'!H18,RESILIENCE_OPTION_MAP,3,FALSE))</f>
        <v>alternative-supplier</v>
      </c>
      <c r="I18" s="70" t="str">
        <f>if(iserror(vlookup('source-upstream'!I18,'data-cleansing-maps'!N$5:N$10,1,FALSE)),'source-upstream'!I18,"")</f>
        <v/>
      </c>
      <c r="J18" s="89" t="str">
        <f>'source-upstream'!J18</f>
        <v>Alternative suppliers for the provision of glass waste and for the provision of transport services available 
 Sufficiently large amounts of stored glass waste that can be processed without new material coming to site</v>
      </c>
      <c r="K18" s="70" t="str">
        <f>if('source-upstream'!K18="",'schema-yn'!$A$5,vlookup('source-upstream'!K18,YN_MAP,3,FALSE))</f>
        <v>not-provided</v>
      </c>
      <c r="L18" s="89" t="str">
        <f>if('source-upstream'!L18="Not provided","",'source-upstream'!L18)</f>
        <v/>
      </c>
      <c r="M18" s="65" t="str">
        <f>if('source-upstream'!M18="",'schema-rv-services'!$B$26,vlookup(vlookup('source-upstream'!$M18,'analysis-rv-services'!$C:$E,3,FALSE),'schema-rv-services'!$A:$B,2, FALSE))</f>
        <v>transport</v>
      </c>
      <c r="N18" s="70"/>
    </row>
    <row r="19" ht="15.0" customHeight="1">
      <c r="A19" s="88" t="str">
        <f>Substitute(SUBSTITUTE(substitute(substitute(substitute(substitute(substitute(substitute(substitute(lower('source-upstream'!A19)," ","-"),"(",""),")",""),"&gt;",""),"&lt;",""),"---","-"),".","-"),"--","-"),"&amp;","-and-")</f>
        <v>clever-frilled-neck-lizard</v>
      </c>
      <c r="B19" s="88" t="str">
        <f>Substitute(SUBSTITUTE(substitute(substitute(substitute(substitute(substitute(substitute(substitute(lower('source-upstream'!B19)," ","-"),"(",""),")",""),"&gt;",""),"&lt;",""),"---","-"),".","-"),"--","-"),"&amp;","-and-")</f>
        <v>clever-tree-kangaroo</v>
      </c>
      <c r="C19" s="70" t="str">
        <f>if('source-upstream'!C19="",'schema-frequency'!$B$11,vlookup('source-upstream'!C19,FREQUENCY_MAP, 3, FALSE))</f>
        <v>not-provided</v>
      </c>
      <c r="D19" s="89" t="str">
        <f>'source-upstream'!D19</f>
        <v>Transport</v>
      </c>
      <c r="E19" s="70" t="str">
        <f>if('source-upstream'!E19="",'schema-yn'!$A$5,vlookup('source-upstream'!E19,YN_MAP,3,FALSE))</f>
        <v>yes</v>
      </c>
      <c r="F19" s="70" t="str">
        <f>if('source-upstream'!F19="",'schema-yn'!$A$5,vlookup('source-upstream'!F19,YN_MAP,3,FALSE))</f>
        <v>no</v>
      </c>
      <c r="G19" s="70" t="str">
        <f>if('source-upstream'!G19="",'schema-yn'!$A$5,vlookup('source-upstream'!G19,YN_MAP,3,FALSE))</f>
        <v>yes</v>
      </c>
      <c r="H19" s="70" t="str">
        <f>if('source-upstream'!H19="",'schema-yn'!$A$5,vlookup('source-upstream'!H19,RESILIENCE_OPTION_MAP,3,FALSE))</f>
        <v>stockpiling</v>
      </c>
      <c r="I19" s="70" t="str">
        <f>if(iserror(vlookup('source-upstream'!I19,'data-cleansing-maps'!N$5:N$10,1,FALSE)),'source-upstream'!I19,"")</f>
        <v/>
      </c>
      <c r="J19" s="89" t="str">
        <f>'source-upstream'!J19</f>
        <v>Extensive network of alternative suppliers</v>
      </c>
      <c r="K19" s="70" t="str">
        <f>if('source-upstream'!K19="",'schema-yn'!$A$5,vlookup('source-upstream'!K19,YN_MAP,3,FALSE))</f>
        <v>not-provided</v>
      </c>
      <c r="L19" s="89" t="str">
        <f>if('source-upstream'!L19="Not provided","",'source-upstream'!L19)</f>
        <v/>
      </c>
      <c r="M19" s="65" t="str">
        <f>if('source-upstream'!M19="",'schema-rv-services'!$B$26,vlookup(vlookup('source-upstream'!$M19,'analysis-rv-services'!$C:$E,3,FALSE),'schema-rv-services'!$A:$B,2, FALSE))</f>
        <v>transport</v>
      </c>
      <c r="N19" s="70"/>
    </row>
    <row r="20" ht="15.0" customHeight="1">
      <c r="A20" s="88" t="str">
        <f>Substitute(SUBSTITUTE(substitute(substitute(substitute(substitute(substitute(substitute(substitute(lower('source-upstream'!A20)," ","-"),"(",""),")",""),"&gt;",""),"&lt;",""),"---","-"),".","-"),"--","-"),"&amp;","-and-")</f>
        <v>clever-frilled-neck-lizard</v>
      </c>
      <c r="B20" s="88" t="str">
        <f>Substitute(SUBSTITUTE(substitute(substitute(substitute(substitute(substitute(substitute(substitute(lower('source-upstream'!B20)," ","-"),"(",""),")",""),"&gt;",""),"&lt;",""),"---","-"),".","-"),"--","-"),"&amp;","-and-")</f>
        <v>fuzzy-redback-spider</v>
      </c>
      <c r="C20" s="70" t="str">
        <f>if('source-upstream'!C20="",'schema-frequency'!$B$11,vlookup('source-upstream'!C20,FREQUENCY_MAP, 3, FALSE))</f>
        <v>not-provided</v>
      </c>
      <c r="D20" s="89" t="str">
        <f>'source-upstream'!D20</f>
        <v>Transport</v>
      </c>
      <c r="E20" s="70" t="str">
        <f>if('source-upstream'!E20="",'schema-yn'!$A$5,vlookup('source-upstream'!E20,YN_MAP,3,FALSE))</f>
        <v>yes</v>
      </c>
      <c r="F20" s="70" t="str">
        <f>if('source-upstream'!F20="",'schema-yn'!$A$5,vlookup('source-upstream'!F20,YN_MAP,3,FALSE))</f>
        <v>no</v>
      </c>
      <c r="G20" s="70" t="str">
        <f>if('source-upstream'!G20="",'schema-yn'!$A$5,vlookup('source-upstream'!G20,YN_MAP,3,FALSE))</f>
        <v>yes</v>
      </c>
      <c r="H20" s="70" t="str">
        <f>if('source-upstream'!H20="",'schema-yn'!$A$5,vlookup('source-upstream'!H20,RESILIENCE_OPTION_MAP,3,FALSE))</f>
        <v>stockpiling</v>
      </c>
      <c r="I20" s="70" t="str">
        <f>if(iserror(vlookup('source-upstream'!I20,'data-cleansing-maps'!N$5:N$10,1,FALSE)),'source-upstream'!I20,"")</f>
        <v/>
      </c>
      <c r="J20" s="89" t="str">
        <f>'source-upstream'!J20</f>
        <v>Extensive network of alternative suppliers</v>
      </c>
      <c r="K20" s="70" t="str">
        <f>if('source-upstream'!K20="",'schema-yn'!$A$5,vlookup('source-upstream'!K20,YN_MAP,3,FALSE))</f>
        <v>not-provided</v>
      </c>
      <c r="L20" s="89" t="str">
        <f>if('source-upstream'!L20="Not provided","",'source-upstream'!L20)</f>
        <v/>
      </c>
      <c r="M20" s="65" t="str">
        <f>if('source-upstream'!M20="",'schema-rv-services'!$B$26,vlookup(vlookup('source-upstream'!$M20,'analysis-rv-services'!$C:$E,3,FALSE),'schema-rv-services'!$A:$B,2, FALSE))</f>
        <v>transport</v>
      </c>
      <c r="N20" s="70"/>
    </row>
    <row r="21" ht="15.0" customHeight="1">
      <c r="A21" s="88" t="str">
        <f>Substitute(SUBSTITUTE(substitute(substitute(substitute(substitute(substitute(substitute(substitute(lower('source-upstream'!A21)," ","-"),"(",""),")",""),"&gt;",""),"&lt;",""),"---","-"),".","-"),"--","-"),"&amp;","-and-")</f>
        <v>clever-frilled-neck-lizard</v>
      </c>
      <c r="B21" s="88" t="str">
        <f>Substitute(SUBSTITUTE(substitute(substitute(substitute(substitute(substitute(substitute(substitute(lower('source-upstream'!B21)," ","-"),"(",""),")",""),"&gt;",""),"&lt;",""),"---","-"),".","-"),"--","-"),"&amp;","-and-")</f>
        <v>lazy-tree-kangaroo</v>
      </c>
      <c r="C21" s="70" t="str">
        <f>if('source-upstream'!C21="",'schema-frequency'!$B$11,vlookup('source-upstream'!C21,FREQUENCY_MAP, 3, FALSE))</f>
        <v>not-provided</v>
      </c>
      <c r="D21" s="89" t="str">
        <f>'source-upstream'!D21</f>
        <v>Transport</v>
      </c>
      <c r="E21" s="70" t="str">
        <f>if('source-upstream'!E21="",'schema-yn'!$A$5,vlookup('source-upstream'!E21,YN_MAP,3,FALSE))</f>
        <v>yes</v>
      </c>
      <c r="F21" s="70" t="str">
        <f>if('source-upstream'!F21="",'schema-yn'!$A$5,vlookup('source-upstream'!F21,YN_MAP,3,FALSE))</f>
        <v>no</v>
      </c>
      <c r="G21" s="70" t="str">
        <f>if('source-upstream'!G21="",'schema-yn'!$A$5,vlookup('source-upstream'!G21,YN_MAP,3,FALSE))</f>
        <v>yes</v>
      </c>
      <c r="H21" s="70" t="str">
        <f>if('source-upstream'!H21="",'schema-yn'!$A$5,vlookup('source-upstream'!H21,RESILIENCE_OPTION_MAP,3,FALSE))</f>
        <v>stockpiling</v>
      </c>
      <c r="I21" s="70" t="str">
        <f>if(iserror(vlookup('source-upstream'!I21,'data-cleansing-maps'!N$5:N$10,1,FALSE)),'source-upstream'!I21,"")</f>
        <v/>
      </c>
      <c r="J21" s="89" t="str">
        <f>'source-upstream'!J21</f>
        <v>Extensive network of alternative suppliers</v>
      </c>
      <c r="K21" s="70" t="str">
        <f>if('source-upstream'!K21="",'schema-yn'!$A$5,vlookup('source-upstream'!K21,YN_MAP,3,FALSE))</f>
        <v>not-provided</v>
      </c>
      <c r="L21" s="89" t="str">
        <f>if('source-upstream'!L21="Not provided","",'source-upstream'!L21)</f>
        <v/>
      </c>
      <c r="M21" s="65" t="str">
        <f>if('source-upstream'!M21="",'schema-rv-services'!$B$26,vlookup(vlookup('source-upstream'!$M21,'analysis-rv-services'!$C:$E,3,FALSE),'schema-rv-services'!$A:$B,2, FALSE))</f>
        <v>transport</v>
      </c>
      <c r="N21" s="70"/>
    </row>
    <row r="22" ht="15.0" customHeight="1">
      <c r="A22" s="88" t="str">
        <f>Substitute(SUBSTITUTE(substitute(substitute(substitute(substitute(substitute(substitute(substitute(lower('source-upstream'!A22)," ","-"),"(",""),")",""),"&gt;",""),"&lt;",""),"---","-"),".","-"),"--","-"),"&amp;","-and-")</f>
        <v>clever-frilled-neck-lizard</v>
      </c>
      <c r="B22" s="88" t="str">
        <f>Substitute(SUBSTITUTE(substitute(substitute(substitute(substitute(substitute(substitute(substitute(lower('source-upstream'!B22)," ","-"),"(",""),")",""),"&gt;",""),"&lt;",""),"---","-"),".","-"),"--","-"),"&amp;","-and-")</f>
        <v>yellow-cockatoo</v>
      </c>
      <c r="C22" s="70" t="str">
        <f>if('source-upstream'!C22="",'schema-frequency'!$B$11,vlookup('source-upstream'!C22,FREQUENCY_MAP, 3, FALSE))</f>
        <v>not-provided</v>
      </c>
      <c r="D22" s="89" t="str">
        <f>'source-upstream'!D22</f>
        <v>Transport</v>
      </c>
      <c r="E22" s="70" t="str">
        <f>if('source-upstream'!E22="",'schema-yn'!$A$5,vlookup('source-upstream'!E22,YN_MAP,3,FALSE))</f>
        <v>yes</v>
      </c>
      <c r="F22" s="70" t="str">
        <f>if('source-upstream'!F22="",'schema-yn'!$A$5,vlookup('source-upstream'!F22,YN_MAP,3,FALSE))</f>
        <v>no</v>
      </c>
      <c r="G22" s="70" t="str">
        <f>if('source-upstream'!G22="",'schema-yn'!$A$5,vlookup('source-upstream'!G22,YN_MAP,3,FALSE))</f>
        <v>yes</v>
      </c>
      <c r="H22" s="70" t="str">
        <f>if('source-upstream'!H22="",'schema-yn'!$A$5,vlookup('source-upstream'!H22,RESILIENCE_OPTION_MAP,3,FALSE))</f>
        <v>stockpiling</v>
      </c>
      <c r="I22" s="70" t="str">
        <f>if(iserror(vlookup('source-upstream'!I22,'data-cleansing-maps'!N$5:N$10,1,FALSE)),'source-upstream'!I22,"")</f>
        <v/>
      </c>
      <c r="J22" s="89" t="str">
        <f>'source-upstream'!J22</f>
        <v>Extensive network of alternative suppliers</v>
      </c>
      <c r="K22" s="70" t="str">
        <f>if('source-upstream'!K22="",'schema-yn'!$A$5,vlookup('source-upstream'!K22,YN_MAP,3,FALSE))</f>
        <v>not-provided</v>
      </c>
      <c r="L22" s="89" t="str">
        <f>if('source-upstream'!L22="Not provided","",'source-upstream'!L22)</f>
        <v/>
      </c>
      <c r="M22" s="65" t="str">
        <f>if('source-upstream'!M22="",'schema-rv-services'!$B$26,vlookup(vlookup('source-upstream'!$M22,'analysis-rv-services'!$C:$E,3,FALSE),'schema-rv-services'!$A:$B,2, FALSE))</f>
        <v>transport</v>
      </c>
      <c r="N22" s="70"/>
    </row>
    <row r="23" ht="15.0" customHeight="1">
      <c r="A23" s="88" t="str">
        <f>Substitute(SUBSTITUTE(substitute(substitute(substitute(substitute(substitute(substitute(substitute(lower('source-upstream'!A23)," ","-"),"(",""),")",""),"&gt;",""),"&lt;",""),"---","-"),".","-"),"--","-"),"&amp;","-and-")</f>
        <v>clever-frilled-neck-lizard</v>
      </c>
      <c r="B23" s="88" t="str">
        <f>Substitute(SUBSTITUTE(substitute(substitute(substitute(substitute(substitute(substitute(substitute(lower('source-upstream'!B23)," ","-"),"(",""),")",""),"&gt;",""),"&lt;",""),"---","-"),".","-"),"--","-"),"&amp;","-and-")</f>
        <v>shy-koala</v>
      </c>
      <c r="C23" s="70" t="str">
        <f>if('source-upstream'!C23="",'schema-frequency'!$B$11,vlookup('source-upstream'!C23,FREQUENCY_MAP, 3, FALSE))</f>
        <v>not-provided</v>
      </c>
      <c r="D23" s="89" t="str">
        <f>'source-upstream'!D23</f>
        <v>Transport</v>
      </c>
      <c r="E23" s="70" t="str">
        <f>if('source-upstream'!E23="",'schema-yn'!$A$5,vlookup('source-upstream'!E23,YN_MAP,3,FALSE))</f>
        <v>yes</v>
      </c>
      <c r="F23" s="70" t="str">
        <f>if('source-upstream'!F23="",'schema-yn'!$A$5,vlookup('source-upstream'!F23,YN_MAP,3,FALSE))</f>
        <v>no</v>
      </c>
      <c r="G23" s="70" t="str">
        <f>if('source-upstream'!G23="",'schema-yn'!$A$5,vlookup('source-upstream'!G23,YN_MAP,3,FALSE))</f>
        <v>yes</v>
      </c>
      <c r="H23" s="70" t="str">
        <f>if('source-upstream'!H23="",'schema-yn'!$A$5,vlookup('source-upstream'!H23,RESILIENCE_OPTION_MAP,3,FALSE))</f>
        <v>stockpiling</v>
      </c>
      <c r="I23" s="70" t="str">
        <f>if(iserror(vlookup('source-upstream'!I23,'data-cleansing-maps'!N$5:N$10,1,FALSE)),'source-upstream'!I23,"")</f>
        <v/>
      </c>
      <c r="J23" s="89" t="str">
        <f>'source-upstream'!J23</f>
        <v>Extensive network of alternative suppliers</v>
      </c>
      <c r="K23" s="70" t="str">
        <f>if('source-upstream'!K23="",'schema-yn'!$A$5,vlookup('source-upstream'!K23,YN_MAP,3,FALSE))</f>
        <v>not-provided</v>
      </c>
      <c r="L23" s="89" t="str">
        <f>if('source-upstream'!L23="Not provided","",'source-upstream'!L23)</f>
        <v/>
      </c>
      <c r="M23" s="65" t="str">
        <f>if('source-upstream'!M23="",'schema-rv-services'!$B$26,vlookup(vlookup('source-upstream'!$M23,'analysis-rv-services'!$C:$E,3,FALSE),'schema-rv-services'!$A:$B,2, FALSE))</f>
        <v>transport</v>
      </c>
      <c r="N23" s="70"/>
    </row>
    <row r="24" ht="15.0" customHeight="1">
      <c r="A24" s="88" t="str">
        <f>Substitute(SUBSTITUTE(substitute(substitute(substitute(substitute(substitute(substitute(substitute(lower('source-upstream'!A24)," ","-"),"(",""),")",""),"&gt;",""),"&lt;",""),"---","-"),".","-"),"--","-"),"&amp;","-and-")</f>
        <v>clever-frilled-neck-lizard</v>
      </c>
      <c r="B24" s="88" t="str">
        <f>Substitute(SUBSTITUTE(substitute(substitute(substitute(substitute(substitute(substitute(substitute(lower('source-upstream'!B24)," ","-"),"(",""),")",""),"&gt;",""),"&lt;",""),"---","-"),".","-"),"--","-"),"&amp;","-and-")</f>
        <v>giant-rosella</v>
      </c>
      <c r="C24" s="70" t="str">
        <f>if('source-upstream'!C24="",'schema-frequency'!$B$11,vlookup('source-upstream'!C24,FREQUENCY_MAP, 3, FALSE))</f>
        <v>not-provided</v>
      </c>
      <c r="D24" s="89" t="str">
        <f>'source-upstream'!D24</f>
        <v>Transport</v>
      </c>
      <c r="E24" s="70" t="str">
        <f>if('source-upstream'!E24="",'schema-yn'!$A$5,vlookup('source-upstream'!E24,YN_MAP,3,FALSE))</f>
        <v>yes</v>
      </c>
      <c r="F24" s="70" t="str">
        <f>if('source-upstream'!F24="",'schema-yn'!$A$5,vlookup('source-upstream'!F24,YN_MAP,3,FALSE))</f>
        <v>no</v>
      </c>
      <c r="G24" s="70" t="str">
        <f>if('source-upstream'!G24="",'schema-yn'!$A$5,vlookup('source-upstream'!G24,YN_MAP,3,FALSE))</f>
        <v>yes</v>
      </c>
      <c r="H24" s="70" t="str">
        <f>if('source-upstream'!H24="",'schema-yn'!$A$5,vlookup('source-upstream'!H24,RESILIENCE_OPTION_MAP,3,FALSE))</f>
        <v>stockpiling</v>
      </c>
      <c r="I24" s="70" t="str">
        <f>if(iserror(vlookup('source-upstream'!I24,'data-cleansing-maps'!N$5:N$10,1,FALSE)),'source-upstream'!I24,"")</f>
        <v/>
      </c>
      <c r="J24" s="89" t="str">
        <f>'source-upstream'!J24</f>
        <v>Extensive network of alternative suppliers</v>
      </c>
      <c r="K24" s="70" t="str">
        <f>if('source-upstream'!K24="",'schema-yn'!$A$5,vlookup('source-upstream'!K24,YN_MAP,3,FALSE))</f>
        <v>not-provided</v>
      </c>
      <c r="L24" s="89" t="str">
        <f>if('source-upstream'!L24="Not provided","",'source-upstream'!L24)</f>
        <v/>
      </c>
      <c r="M24" s="65" t="str">
        <f>if('source-upstream'!M24="",'schema-rv-services'!$B$26,vlookup(vlookup('source-upstream'!$M24,'analysis-rv-services'!$C:$E,3,FALSE),'schema-rv-services'!$A:$B,2, FALSE))</f>
        <v>transport</v>
      </c>
      <c r="N24" s="70"/>
    </row>
    <row r="25" ht="15.0" customHeight="1">
      <c r="A25" s="88" t="str">
        <f>Substitute(SUBSTITUTE(substitute(substitute(substitute(substitute(substitute(substitute(substitute(lower('source-upstream'!A25)," ","-"),"(",""),")",""),"&gt;",""),"&lt;",""),"---","-"),".","-"),"--","-"),"&amp;","-and-")</f>
        <v>clever-frilled-neck-lizard</v>
      </c>
      <c r="B25" s="88" t="str">
        <f>Substitute(SUBSTITUTE(substitute(substitute(substitute(substitute(substitute(substitute(substitute(lower('source-upstream'!B25)," ","-"),"(",""),")",""),"&gt;",""),"&lt;",""),"---","-"),".","-"),"--","-"),"&amp;","-and-")</f>
        <v>happy-quokka</v>
      </c>
      <c r="C25" s="70" t="str">
        <f>if('source-upstream'!C25="",'schema-frequency'!$B$11,vlookup('source-upstream'!C25,FREQUENCY_MAP, 3, FALSE))</f>
        <v>not-provided</v>
      </c>
      <c r="D25" s="89" t="str">
        <f>'source-upstream'!D25</f>
        <v>Transport</v>
      </c>
      <c r="E25" s="70" t="str">
        <f>if('source-upstream'!E25="",'schema-yn'!$A$5,vlookup('source-upstream'!E25,YN_MAP,3,FALSE))</f>
        <v>yes</v>
      </c>
      <c r="F25" s="70" t="str">
        <f>if('source-upstream'!F25="",'schema-yn'!$A$5,vlookup('source-upstream'!F25,YN_MAP,3,FALSE))</f>
        <v>no</v>
      </c>
      <c r="G25" s="70" t="str">
        <f>if('source-upstream'!G25="",'schema-yn'!$A$5,vlookup('source-upstream'!G25,YN_MAP,3,FALSE))</f>
        <v>yes</v>
      </c>
      <c r="H25" s="70" t="str">
        <f>if('source-upstream'!H25="",'schema-yn'!$A$5,vlookup('source-upstream'!H25,RESILIENCE_OPTION_MAP,3,FALSE))</f>
        <v>stockpiling</v>
      </c>
      <c r="I25" s="70" t="str">
        <f>if(iserror(vlookup('source-upstream'!I25,'data-cleansing-maps'!N$5:N$10,1,FALSE)),'source-upstream'!I25,"")</f>
        <v/>
      </c>
      <c r="J25" s="89" t="str">
        <f>'source-upstream'!J25</f>
        <v>Extensive network of alternative suppliers</v>
      </c>
      <c r="K25" s="70" t="str">
        <f>if('source-upstream'!K25="",'schema-yn'!$A$5,vlookup('source-upstream'!K25,YN_MAP,3,FALSE))</f>
        <v>not-provided</v>
      </c>
      <c r="L25" s="89" t="str">
        <f>if('source-upstream'!L25="Not provided","",'source-upstream'!L25)</f>
        <v/>
      </c>
      <c r="M25" s="65" t="str">
        <f>if('source-upstream'!M25="",'schema-rv-services'!$B$26,vlookup(vlookup('source-upstream'!$M25,'analysis-rv-services'!$C:$E,3,FALSE),'schema-rv-services'!$A:$B,2, FALSE))</f>
        <v>transport</v>
      </c>
      <c r="N25" s="70"/>
    </row>
    <row r="26" ht="15.0" customHeight="1">
      <c r="A26" s="88" t="str">
        <f>Substitute(SUBSTITUTE(substitute(substitute(substitute(substitute(substitute(substitute(substitute(lower('source-upstream'!A26)," ","-"),"(",""),")",""),"&gt;",""),"&lt;",""),"---","-"),".","-"),"--","-"),"&amp;","-and-")</f>
        <v>clever-frilled-neck-lizard</v>
      </c>
      <c r="B26" s="88" t="str">
        <f>Substitute(SUBSTITUTE(substitute(substitute(substitute(substitute(substitute(substitute(substitute(lower('source-upstream'!B26)," ","-"),"(",""),")",""),"&gt;",""),"&lt;",""),"---","-"),".","-"),"--","-"),"&amp;","-and-")</f>
        <v>lazy-perentie</v>
      </c>
      <c r="C26" s="70" t="str">
        <f>if('source-upstream'!C26="",'schema-frequency'!$B$11,vlookup('source-upstream'!C26,FREQUENCY_MAP, 3, FALSE))</f>
        <v>not-provided</v>
      </c>
      <c r="D26" s="89" t="str">
        <f>'source-upstream'!D26</f>
        <v>Transport</v>
      </c>
      <c r="E26" s="70" t="str">
        <f>if('source-upstream'!E26="",'schema-yn'!$A$5,vlookup('source-upstream'!E26,YN_MAP,3,FALSE))</f>
        <v>yes</v>
      </c>
      <c r="F26" s="70" t="str">
        <f>if('source-upstream'!F26="",'schema-yn'!$A$5,vlookup('source-upstream'!F26,YN_MAP,3,FALSE))</f>
        <v>no</v>
      </c>
      <c r="G26" s="70" t="str">
        <f>if('source-upstream'!G26="",'schema-yn'!$A$5,vlookup('source-upstream'!G26,YN_MAP,3,FALSE))</f>
        <v>yes</v>
      </c>
      <c r="H26" s="70" t="str">
        <f>if('source-upstream'!H26="",'schema-yn'!$A$5,vlookup('source-upstream'!H26,RESILIENCE_OPTION_MAP,3,FALSE))</f>
        <v>stockpiling</v>
      </c>
      <c r="I26" s="70" t="str">
        <f>if(iserror(vlookup('source-upstream'!I26,'data-cleansing-maps'!N$5:N$10,1,FALSE)),'source-upstream'!I26,"")</f>
        <v/>
      </c>
      <c r="J26" s="89" t="str">
        <f>'source-upstream'!J26</f>
        <v>Extensive network of alternative suppliers</v>
      </c>
      <c r="K26" s="70" t="str">
        <f>if('source-upstream'!K26="",'schema-yn'!$A$5,vlookup('source-upstream'!K26,YN_MAP,3,FALSE))</f>
        <v>not-provided</v>
      </c>
      <c r="L26" s="89" t="str">
        <f>if('source-upstream'!L26="Not provided","",'source-upstream'!L26)</f>
        <v/>
      </c>
      <c r="M26" s="65" t="str">
        <f>if('source-upstream'!M26="",'schema-rv-services'!$B$26,vlookup(vlookup('source-upstream'!$M26,'analysis-rv-services'!$C:$E,3,FALSE),'schema-rv-services'!$A:$B,2, FALSE))</f>
        <v>transport</v>
      </c>
      <c r="N26" s="70"/>
    </row>
    <row r="27" ht="15.0" customHeight="1">
      <c r="A27" s="88" t="str">
        <f>Substitute(SUBSTITUTE(substitute(substitute(substitute(substitute(substitute(substitute(substitute(lower('source-upstream'!A27)," ","-"),"(",""),")",""),"&gt;",""),"&lt;",""),"---","-"),".","-"),"--","-"),"&amp;","-and-")</f>
        <v>clever-frilled-neck-lizard</v>
      </c>
      <c r="B27" s="88" t="str">
        <f>Substitute(SUBSTITUTE(substitute(substitute(substitute(substitute(substitute(substitute(substitute(lower('source-upstream'!B27)," ","-"),"(",""),")",""),"&gt;",""),"&lt;",""),"---","-"),".","-"),"--","-"),"&amp;","-and-")</f>
        <v>red-tasmanian-devil</v>
      </c>
      <c r="C27" s="70" t="str">
        <f>if('source-upstream'!C27="",'schema-frequency'!$B$11,vlookup('source-upstream'!C27,FREQUENCY_MAP, 3, FALSE))</f>
        <v>not-provided</v>
      </c>
      <c r="D27" s="89" t="str">
        <f>'source-upstream'!D27</f>
        <v>Transport</v>
      </c>
      <c r="E27" s="70" t="str">
        <f>if('source-upstream'!E27="",'schema-yn'!$A$5,vlookup('source-upstream'!E27,YN_MAP,3,FALSE))</f>
        <v>yes</v>
      </c>
      <c r="F27" s="70" t="str">
        <f>if('source-upstream'!F27="",'schema-yn'!$A$5,vlookup('source-upstream'!F27,YN_MAP,3,FALSE))</f>
        <v>no</v>
      </c>
      <c r="G27" s="70" t="str">
        <f>if('source-upstream'!G27="",'schema-yn'!$A$5,vlookup('source-upstream'!G27,YN_MAP,3,FALSE))</f>
        <v>yes</v>
      </c>
      <c r="H27" s="70" t="str">
        <f>if('source-upstream'!H27="",'schema-yn'!$A$5,vlookup('source-upstream'!H27,RESILIENCE_OPTION_MAP,3,FALSE))</f>
        <v>stockpiling</v>
      </c>
      <c r="I27" s="70" t="str">
        <f>if(iserror(vlookup('source-upstream'!I27,'data-cleansing-maps'!N$5:N$10,1,FALSE)),'source-upstream'!I27,"")</f>
        <v/>
      </c>
      <c r="J27" s="89" t="str">
        <f>'source-upstream'!J27</f>
        <v>Extensive network of alternative suppliers</v>
      </c>
      <c r="K27" s="70" t="str">
        <f>if('source-upstream'!K27="",'schema-yn'!$A$5,vlookup('source-upstream'!K27,YN_MAP,3,FALSE))</f>
        <v>not-provided</v>
      </c>
      <c r="L27" s="89" t="str">
        <f>if('source-upstream'!L27="Not provided","",'source-upstream'!L27)</f>
        <v/>
      </c>
      <c r="M27" s="65" t="str">
        <f>if('source-upstream'!M27="",'schema-rv-services'!$B$26,vlookup(vlookup('source-upstream'!$M27,'analysis-rv-services'!$C:$E,3,FALSE),'schema-rv-services'!$A:$B,2, FALSE))</f>
        <v>transport</v>
      </c>
      <c r="N27" s="70"/>
    </row>
    <row r="28" ht="15.0" customHeight="1">
      <c r="A28" s="88" t="str">
        <f>Substitute(SUBSTITUTE(substitute(substitute(substitute(substitute(substitute(substitute(substitute(lower('source-upstream'!A28)," ","-"),"(",""),")",""),"&gt;",""),"&lt;",""),"---","-"),".","-"),"--","-"),"&amp;","-and-")</f>
        <v>clever-frilled-neck-lizard</v>
      </c>
      <c r="B28" s="88" t="str">
        <f>Substitute(SUBSTITUTE(substitute(substitute(substitute(substitute(substitute(substitute(substitute(lower('source-upstream'!B28)," ","-"),"(",""),")",""),"&gt;",""),"&lt;",""),"---","-"),".","-"),"--","-"),"&amp;","-and-")</f>
        <v>yellow-echidna</v>
      </c>
      <c r="C28" s="70" t="str">
        <f>if('source-upstream'!C28="",'schema-frequency'!$B$11,vlookup('source-upstream'!C28,FREQUENCY_MAP, 3, FALSE))</f>
        <v>not-provided</v>
      </c>
      <c r="D28" s="89" t="str">
        <f>'source-upstream'!D28</f>
        <v>Transport</v>
      </c>
      <c r="E28" s="70" t="str">
        <f>if('source-upstream'!E28="",'schema-yn'!$A$5,vlookup('source-upstream'!E28,YN_MAP,3,FALSE))</f>
        <v>yes</v>
      </c>
      <c r="F28" s="70" t="str">
        <f>if('source-upstream'!F28="",'schema-yn'!$A$5,vlookup('source-upstream'!F28,YN_MAP,3,FALSE))</f>
        <v>no</v>
      </c>
      <c r="G28" s="70" t="str">
        <f>if('source-upstream'!G28="",'schema-yn'!$A$5,vlookup('source-upstream'!G28,YN_MAP,3,FALSE))</f>
        <v>yes</v>
      </c>
      <c r="H28" s="70" t="str">
        <f>if('source-upstream'!H28="",'schema-yn'!$A$5,vlookup('source-upstream'!H28,RESILIENCE_OPTION_MAP,3,FALSE))</f>
        <v>stockpiling</v>
      </c>
      <c r="I28" s="70" t="str">
        <f>if(iserror(vlookup('source-upstream'!I28,'data-cleansing-maps'!N$5:N$10,1,FALSE)),'source-upstream'!I28,"")</f>
        <v/>
      </c>
      <c r="J28" s="89" t="str">
        <f>'source-upstream'!J28</f>
        <v>Extensive network of alternative suppliers</v>
      </c>
      <c r="K28" s="70" t="str">
        <f>if('source-upstream'!K28="",'schema-yn'!$A$5,vlookup('source-upstream'!K28,YN_MAP,3,FALSE))</f>
        <v>not-provided</v>
      </c>
      <c r="L28" s="89" t="str">
        <f>if('source-upstream'!L28="Not provided","",'source-upstream'!L28)</f>
        <v/>
      </c>
      <c r="M28" s="65" t="str">
        <f>if('source-upstream'!M28="",'schema-rv-services'!$B$26,vlookup(vlookup('source-upstream'!$M28,'analysis-rv-services'!$C:$E,3,FALSE),'schema-rv-services'!$A:$B,2, FALSE))</f>
        <v>transport</v>
      </c>
      <c r="N28" s="70"/>
    </row>
    <row r="29" ht="15.0" customHeight="1">
      <c r="A29" s="88" t="str">
        <f>Substitute(SUBSTITUTE(substitute(substitute(substitute(substitute(substitute(substitute(substitute(lower('source-upstream'!A29)," ","-"),"(",""),")",""),"&gt;",""),"&lt;",""),"---","-"),".","-"),"--","-"),"&amp;","-and-")</f>
        <v>clever-frilled-neck-lizard</v>
      </c>
      <c r="B29" s="88" t="str">
        <f>Substitute(SUBSTITUTE(substitute(substitute(substitute(substitute(substitute(substitute(substitute(lower('source-upstream'!B29)," ","-"),"(",""),")",""),"&gt;",""),"&lt;",""),"---","-"),".","-"),"--","-"),"&amp;","-and-")</f>
        <v>happy-rosella</v>
      </c>
      <c r="C29" s="70" t="str">
        <f>if('source-upstream'!C29="",'schema-frequency'!$B$11,vlookup('source-upstream'!C29,FREQUENCY_MAP, 3, FALSE))</f>
        <v>not-provided</v>
      </c>
      <c r="D29" s="89" t="str">
        <f>'source-upstream'!D29</f>
        <v>Transport</v>
      </c>
      <c r="E29" s="70" t="str">
        <f>if('source-upstream'!E29="",'schema-yn'!$A$5,vlookup('source-upstream'!E29,YN_MAP,3,FALSE))</f>
        <v>yes</v>
      </c>
      <c r="F29" s="70" t="str">
        <f>if('source-upstream'!F29="",'schema-yn'!$A$5,vlookup('source-upstream'!F29,YN_MAP,3,FALSE))</f>
        <v>no</v>
      </c>
      <c r="G29" s="70" t="str">
        <f>if('source-upstream'!G29="",'schema-yn'!$A$5,vlookup('source-upstream'!G29,YN_MAP,3,FALSE))</f>
        <v>yes</v>
      </c>
      <c r="H29" s="70" t="str">
        <f>if('source-upstream'!H29="",'schema-yn'!$A$5,vlookup('source-upstream'!H29,RESILIENCE_OPTION_MAP,3,FALSE))</f>
        <v>stockpiling</v>
      </c>
      <c r="I29" s="70" t="str">
        <f>if(iserror(vlookup('source-upstream'!I29,'data-cleansing-maps'!N$5:N$10,1,FALSE)),'source-upstream'!I29,"")</f>
        <v/>
      </c>
      <c r="J29" s="89" t="str">
        <f>'source-upstream'!J29</f>
        <v>Extensive network of alternative suppliers</v>
      </c>
      <c r="K29" s="70" t="str">
        <f>if('source-upstream'!K29="",'schema-yn'!$A$5,vlookup('source-upstream'!K29,YN_MAP,3,FALSE))</f>
        <v>not-provided</v>
      </c>
      <c r="L29" s="89" t="str">
        <f>if('source-upstream'!L29="Not provided","",'source-upstream'!L29)</f>
        <v/>
      </c>
      <c r="M29" s="65" t="str">
        <f>if('source-upstream'!M29="",'schema-rv-services'!$B$26,vlookup(vlookup('source-upstream'!$M29,'analysis-rv-services'!$C:$E,3,FALSE),'schema-rv-services'!$A:$B,2, FALSE))</f>
        <v>transport</v>
      </c>
      <c r="N29" s="70"/>
    </row>
    <row r="30" ht="15.0" customHeight="1">
      <c r="A30" s="88" t="str">
        <f>Substitute(SUBSTITUTE(substitute(substitute(substitute(substitute(substitute(substitute(substitute(lower('source-upstream'!A30)," ","-"),"(",""),")",""),"&gt;",""),"&lt;",""),"---","-"),".","-"),"--","-"),"&amp;","-and-")</f>
        <v>clever-frilled-neck-lizard</v>
      </c>
      <c r="B30" s="88" t="str">
        <f>Substitute(SUBSTITUTE(substitute(substitute(substitute(substitute(substitute(substitute(substitute(lower('source-upstream'!B30)," ","-"),"(",""),")",""),"&gt;",""),"&lt;",""),"---","-"),".","-"),"--","-"),"&amp;","-and-")</f>
        <v>lazy-bilby</v>
      </c>
      <c r="C30" s="70" t="str">
        <f>if('source-upstream'!C30="",'schema-frequency'!$B$11,vlookup('source-upstream'!C30,FREQUENCY_MAP, 3, FALSE))</f>
        <v>not-provided</v>
      </c>
      <c r="D30" s="89" t="str">
        <f>'source-upstream'!D30</f>
        <v>Transport</v>
      </c>
      <c r="E30" s="70" t="str">
        <f>if('source-upstream'!E30="",'schema-yn'!$A$5,vlookup('source-upstream'!E30,YN_MAP,3,FALSE))</f>
        <v>yes</v>
      </c>
      <c r="F30" s="70" t="str">
        <f>if('source-upstream'!F30="",'schema-yn'!$A$5,vlookup('source-upstream'!F30,YN_MAP,3,FALSE))</f>
        <v>no</v>
      </c>
      <c r="G30" s="70" t="str">
        <f>if('source-upstream'!G30="",'schema-yn'!$A$5,vlookup('source-upstream'!G30,YN_MAP,3,FALSE))</f>
        <v>yes</v>
      </c>
      <c r="H30" s="70" t="str">
        <f>if('source-upstream'!H30="",'schema-yn'!$A$5,vlookup('source-upstream'!H30,RESILIENCE_OPTION_MAP,3,FALSE))</f>
        <v>stockpiling</v>
      </c>
      <c r="I30" s="70" t="str">
        <f>if(iserror(vlookup('source-upstream'!I30,'data-cleansing-maps'!N$5:N$10,1,FALSE)),'source-upstream'!I30,"")</f>
        <v/>
      </c>
      <c r="J30" s="89" t="str">
        <f>'source-upstream'!J30</f>
        <v>Extensive network of alternative suppliers</v>
      </c>
      <c r="K30" s="70" t="str">
        <f>if('source-upstream'!K30="",'schema-yn'!$A$5,vlookup('source-upstream'!K30,YN_MAP,3,FALSE))</f>
        <v>not-provided</v>
      </c>
      <c r="L30" s="89" t="str">
        <f>if('source-upstream'!L30="Not provided","",'source-upstream'!L30)</f>
        <v/>
      </c>
      <c r="M30" s="65" t="str">
        <f>if('source-upstream'!M30="",'schema-rv-services'!$B$26,vlookup(vlookup('source-upstream'!$M30,'analysis-rv-services'!$C:$E,3,FALSE),'schema-rv-services'!$A:$B,2, FALSE))</f>
        <v>transport</v>
      </c>
      <c r="N30" s="70"/>
    </row>
    <row r="31" ht="15.0" customHeight="1">
      <c r="A31" s="88" t="str">
        <f>Substitute(SUBSTITUTE(substitute(substitute(substitute(substitute(substitute(substitute(substitute(lower('source-upstream'!A31)," ","-"),"(",""),")",""),"&gt;",""),"&lt;",""),"---","-"),".","-"),"--","-"),"&amp;","-and-")</f>
        <v>clever-frilled-neck-lizard</v>
      </c>
      <c r="B31" s="88" t="str">
        <f>Substitute(SUBSTITUTE(substitute(substitute(substitute(substitute(substitute(substitute(substitute(lower('source-upstream'!B31)," ","-"),"(",""),")",""),"&gt;",""),"&lt;",""),"---","-"),".","-"),"--","-"),"&amp;","-and-")</f>
        <v>spotted-fairy-penguin</v>
      </c>
      <c r="C31" s="70" t="str">
        <f>if('source-upstream'!C31="",'schema-frequency'!$B$11,vlookup('source-upstream'!C31,FREQUENCY_MAP, 3, FALSE))</f>
        <v>not-provided</v>
      </c>
      <c r="D31" s="89" t="str">
        <f>'source-upstream'!D31</f>
        <v>Inventory supply</v>
      </c>
      <c r="E31" s="70" t="str">
        <f>if('source-upstream'!E31="",'schema-yn'!$A$5,vlookup('source-upstream'!E31,YN_MAP,3,FALSE))</f>
        <v>yes</v>
      </c>
      <c r="F31" s="70" t="str">
        <f>if('source-upstream'!F31="",'schema-yn'!$A$5,vlookup('source-upstream'!F31,YN_MAP,3,FALSE))</f>
        <v>no</v>
      </c>
      <c r="G31" s="70" t="str">
        <f>if('source-upstream'!G31="",'schema-yn'!$A$5,vlookup('source-upstream'!G31,YN_MAP,3,FALSE))</f>
        <v>yes</v>
      </c>
      <c r="H31" s="70" t="str">
        <f>if('source-upstream'!H31="",'schema-yn'!$A$5,vlookup('source-upstream'!H31,RESILIENCE_OPTION_MAP,3,FALSE))</f>
        <v>alternative-supplier</v>
      </c>
      <c r="I31" s="70" t="str">
        <f>if(iserror(vlookup('source-upstream'!I31,'data-cleansing-maps'!N$5:N$10,1,FALSE)),'source-upstream'!I31,"")</f>
        <v/>
      </c>
      <c r="J31" s="89" t="str">
        <f>'source-upstream'!J31</f>
        <v>Short term impact to meet customer demand</v>
      </c>
      <c r="K31" s="70" t="str">
        <f>if('source-upstream'!K31="",'schema-yn'!$A$5,vlookup('source-upstream'!K31,YN_MAP,3,FALSE))</f>
        <v>not-provided</v>
      </c>
      <c r="L31" s="89" t="str">
        <f>if('source-upstream'!L31="Not provided","",'source-upstream'!L31)</f>
        <v/>
      </c>
      <c r="M31" s="65" t="str">
        <f>if('source-upstream'!M31="",'schema-rv-services'!$B$26,vlookup(vlookup('source-upstream'!$M31,'analysis-rv-services'!$C:$E,3,FALSE),'schema-rv-services'!$A:$B,2, FALSE))</f>
        <v>components</v>
      </c>
      <c r="N31" s="70"/>
    </row>
    <row r="32" ht="15.0" customHeight="1">
      <c r="A32" s="88" t="str">
        <f>Substitute(SUBSTITUTE(substitute(substitute(substitute(substitute(substitute(substitute(substitute(lower('source-upstream'!A32)," ","-"),"(",""),")",""),"&gt;",""),"&lt;",""),"---","-"),".","-"),"--","-"),"&amp;","-and-")</f>
        <v>clever-frilled-neck-lizard</v>
      </c>
      <c r="B32" s="88" t="str">
        <f>Substitute(SUBSTITUTE(substitute(substitute(substitute(substitute(substitute(substitute(substitute(lower('source-upstream'!B32)," ","-"),"(",""),")",""),"&gt;",""),"&lt;",""),"---","-"),".","-"),"--","-"),"&amp;","-and-")</f>
        <v>yellow-thorny-devil</v>
      </c>
      <c r="C32" s="70" t="str">
        <f>if('source-upstream'!C32="",'schema-frequency'!$B$11,vlookup('source-upstream'!C32,FREQUENCY_MAP, 3, FALSE))</f>
        <v>not-provided</v>
      </c>
      <c r="D32" s="89" t="str">
        <f>'source-upstream'!D32</f>
        <v>Not provided</v>
      </c>
      <c r="E32" s="70" t="str">
        <f>if('source-upstream'!E32="",'schema-yn'!$A$5,vlookup('source-upstream'!E32,YN_MAP,3,FALSE))</f>
        <v>yes</v>
      </c>
      <c r="F32" s="70" t="str">
        <f>if('source-upstream'!F32="",'schema-yn'!$A$5,vlookup('source-upstream'!F32,YN_MAP,3,FALSE))</f>
        <v>no</v>
      </c>
      <c r="G32" s="70" t="str">
        <f>if('source-upstream'!G32="",'schema-yn'!$A$5,vlookup('source-upstream'!G32,YN_MAP,3,FALSE))</f>
        <v>yes</v>
      </c>
      <c r="H32" s="70" t="str">
        <f>if('source-upstream'!H32="",'schema-yn'!$A$5,vlookup('source-upstream'!H32,RESILIENCE_OPTION_MAP,3,FALSE))</f>
        <v>alternative-supplier</v>
      </c>
      <c r="I32" s="70" t="str">
        <f>if(iserror(vlookup('source-upstream'!I32,'data-cleansing-maps'!N$5:N$10,1,FALSE)),'source-upstream'!I32,"")</f>
        <v/>
      </c>
      <c r="J32" s="89" t="str">
        <f>'source-upstream'!J32</f>
        <v>Short term impact to meet customer demand</v>
      </c>
      <c r="K32" s="70" t="str">
        <f>if('source-upstream'!K32="",'schema-yn'!$A$5,vlookup('source-upstream'!K32,YN_MAP,3,FALSE))</f>
        <v>not-provided</v>
      </c>
      <c r="L32" s="89" t="str">
        <f>if('source-upstream'!L32="Not provided","",'source-upstream'!L32)</f>
        <v/>
      </c>
      <c r="M32" s="65" t="str">
        <f>if('source-upstream'!M32="",'schema-rv-services'!$B$26,vlookup(vlookup('source-upstream'!$M32,'analysis-rv-services'!$C:$E,3,FALSE),'schema-rv-services'!$A:$B,2, FALSE))</f>
        <v>components</v>
      </c>
      <c r="N32" s="70"/>
    </row>
    <row r="33" ht="15.0" customHeight="1">
      <c r="A33" s="88" t="str">
        <f>Substitute(SUBSTITUTE(substitute(substitute(substitute(substitute(substitute(substitute(substitute(lower('source-upstream'!A33)," ","-"),"(",""),")",""),"&gt;",""),"&lt;",""),"---","-"),".","-"),"--","-"),"&amp;","-and-")</f>
        <v>clever-frilled-neck-lizard</v>
      </c>
      <c r="B33" s="88" t="str">
        <f>Substitute(SUBSTITUTE(substitute(substitute(substitute(substitute(substitute(substitute(substitute(lower('source-upstream'!B33)," ","-"),"(",""),")",""),"&gt;",""),"&lt;",""),"---","-"),".","-"),"--","-"),"&amp;","-and-")</f>
        <v>noisy-australian-magpie</v>
      </c>
      <c r="C33" s="70" t="str">
        <f>if('source-upstream'!C33="",'schema-frequency'!$B$11,vlookup('source-upstream'!C33,FREQUENCY_MAP, 3, FALSE))</f>
        <v>not-provided</v>
      </c>
      <c r="D33" s="89" t="str">
        <f>'source-upstream'!D33</f>
        <v>Inventory supply</v>
      </c>
      <c r="E33" s="70" t="str">
        <f>if('source-upstream'!E33="",'schema-yn'!$A$5,vlookup('source-upstream'!E33,YN_MAP,3,FALSE))</f>
        <v>yes</v>
      </c>
      <c r="F33" s="70" t="str">
        <f>if('source-upstream'!F33="",'schema-yn'!$A$5,vlookup('source-upstream'!F33,YN_MAP,3,FALSE))</f>
        <v>no</v>
      </c>
      <c r="G33" s="70" t="str">
        <f>if('source-upstream'!G33="",'schema-yn'!$A$5,vlookup('source-upstream'!G33,YN_MAP,3,FALSE))</f>
        <v>yes</v>
      </c>
      <c r="H33" s="70" t="str">
        <f>if('source-upstream'!H33="",'schema-yn'!$A$5,vlookup('source-upstream'!H33,RESILIENCE_OPTION_MAP,3,FALSE))</f>
        <v>alternative-supplier</v>
      </c>
      <c r="I33" s="70" t="str">
        <f>if(iserror(vlookup('source-upstream'!I33,'data-cleansing-maps'!N$5:N$10,1,FALSE)),'source-upstream'!I33,"")</f>
        <v/>
      </c>
      <c r="J33" s="89" t="str">
        <f>'source-upstream'!J33</f>
        <v>Short term impact to meet customer demand</v>
      </c>
      <c r="K33" s="70" t="str">
        <f>if('source-upstream'!K33="",'schema-yn'!$A$5,vlookup('source-upstream'!K33,YN_MAP,3,FALSE))</f>
        <v>not-provided</v>
      </c>
      <c r="L33" s="89" t="str">
        <f>if('source-upstream'!L33="Not provided","",'source-upstream'!L33)</f>
        <v/>
      </c>
      <c r="M33" s="65" t="str">
        <f>if('source-upstream'!M33="",'schema-rv-services'!$B$26,vlookup(vlookup('source-upstream'!$M33,'analysis-rv-services'!$C:$E,3,FALSE),'schema-rv-services'!$A:$B,2, FALSE))</f>
        <v>components</v>
      </c>
      <c r="N33" s="70"/>
    </row>
    <row r="34" ht="15.0" customHeight="1">
      <c r="A34" s="88" t="str">
        <f>Substitute(SUBSTITUTE(substitute(substitute(substitute(substitute(substitute(substitute(substitute(lower('source-upstream'!A34)," ","-"),"(",""),")",""),"&gt;",""),"&lt;",""),"---","-"),".","-"),"--","-"),"&amp;","-and-")</f>
        <v>clever-frilled-neck-lizard</v>
      </c>
      <c r="B34" s="88" t="str">
        <f>Substitute(SUBSTITUTE(substitute(substitute(substitute(substitute(substitute(substitute(substitute(lower('source-upstream'!B34)," ","-"),"(",""),")",""),"&gt;",""),"&lt;",""),"---","-"),".","-"),"--","-"),"&amp;","-and-")</f>
        <v>spotted-sugar-glider</v>
      </c>
      <c r="C34" s="70" t="str">
        <f>if('source-upstream'!C34="",'schema-frequency'!$B$11,vlookup('source-upstream'!C34,FREQUENCY_MAP, 3, FALSE))</f>
        <v>not-provided</v>
      </c>
      <c r="D34" s="89" t="str">
        <f>'source-upstream'!D34</f>
        <v>Inventory supply</v>
      </c>
      <c r="E34" s="70" t="str">
        <f>if('source-upstream'!E34="",'schema-yn'!$A$5,vlookup('source-upstream'!E34,YN_MAP,3,FALSE))</f>
        <v>yes</v>
      </c>
      <c r="F34" s="70" t="str">
        <f>if('source-upstream'!F34="",'schema-yn'!$A$5,vlookup('source-upstream'!F34,YN_MAP,3,FALSE))</f>
        <v>no</v>
      </c>
      <c r="G34" s="70" t="str">
        <f>if('source-upstream'!G34="",'schema-yn'!$A$5,vlookup('source-upstream'!G34,YN_MAP,3,FALSE))</f>
        <v>yes</v>
      </c>
      <c r="H34" s="70" t="str">
        <f>if('source-upstream'!H34="",'schema-yn'!$A$5,vlookup('source-upstream'!H34,RESILIENCE_OPTION_MAP,3,FALSE))</f>
        <v>alternative-supplier</v>
      </c>
      <c r="I34" s="70" t="str">
        <f>if(iserror(vlookup('source-upstream'!I34,'data-cleansing-maps'!N$5:N$10,1,FALSE)),'source-upstream'!I34,"")</f>
        <v/>
      </c>
      <c r="J34" s="89" t="str">
        <f>'source-upstream'!J34</f>
        <v>Short term impact to meet customer demand</v>
      </c>
      <c r="K34" s="70" t="str">
        <f>if('source-upstream'!K34="",'schema-yn'!$A$5,vlookup('source-upstream'!K34,YN_MAP,3,FALSE))</f>
        <v>not-provided</v>
      </c>
      <c r="L34" s="89" t="str">
        <f>if('source-upstream'!L34="Not provided","",'source-upstream'!L34)</f>
        <v/>
      </c>
      <c r="M34" s="65" t="str">
        <f>if('source-upstream'!M34="",'schema-rv-services'!$B$26,vlookup(vlookup('source-upstream'!$M34,'analysis-rv-services'!$C:$E,3,FALSE),'schema-rv-services'!$A:$B,2, FALSE))</f>
        <v>components</v>
      </c>
      <c r="N34" s="70"/>
    </row>
    <row r="35" ht="15.0" customHeight="1">
      <c r="A35" s="88" t="str">
        <f>Substitute(SUBSTITUTE(substitute(substitute(substitute(substitute(substitute(substitute(substitute(lower('source-upstream'!A35)," ","-"),"(",""),")",""),"&gt;",""),"&lt;",""),"---","-"),".","-"),"--","-"),"&amp;","-and-")</f>
        <v>clever-frilled-neck-lizard</v>
      </c>
      <c r="B35" s="88" t="str">
        <f>Substitute(SUBSTITUTE(substitute(substitute(substitute(substitute(substitute(substitute(substitute(lower('source-upstream'!B35)," ","-"),"(",""),")",""),"&gt;",""),"&lt;",""),"---","-"),".","-"),"--","-"),"&amp;","-and-")</f>
        <v>green-rosella</v>
      </c>
      <c r="C35" s="70" t="str">
        <f>if('source-upstream'!C35="",'schema-frequency'!$B$11,vlookup('source-upstream'!C35,FREQUENCY_MAP, 3, FALSE))</f>
        <v>not-provided</v>
      </c>
      <c r="D35" s="89" t="str">
        <f>'source-upstream'!D35</f>
        <v>Inventory supply</v>
      </c>
      <c r="E35" s="70" t="str">
        <f>if('source-upstream'!E35="",'schema-yn'!$A$5,vlookup('source-upstream'!E35,YN_MAP,3,FALSE))</f>
        <v>yes</v>
      </c>
      <c r="F35" s="70" t="str">
        <f>if('source-upstream'!F35="",'schema-yn'!$A$5,vlookup('source-upstream'!F35,YN_MAP,3,FALSE))</f>
        <v>no</v>
      </c>
      <c r="G35" s="70" t="str">
        <f>if('source-upstream'!G35="",'schema-yn'!$A$5,vlookup('source-upstream'!G35,YN_MAP,3,FALSE))</f>
        <v>yes</v>
      </c>
      <c r="H35" s="70" t="str">
        <f>if('source-upstream'!H35="",'schema-yn'!$A$5,vlookup('source-upstream'!H35,RESILIENCE_OPTION_MAP,3,FALSE))</f>
        <v>alternative-supplier</v>
      </c>
      <c r="I35" s="70" t="str">
        <f>if(iserror(vlookup('source-upstream'!I35,'data-cleansing-maps'!N$5:N$10,1,FALSE)),'source-upstream'!I35,"")</f>
        <v/>
      </c>
      <c r="J35" s="89" t="str">
        <f>'source-upstream'!J35</f>
        <v>Short term impact to meet customer demand</v>
      </c>
      <c r="K35" s="70" t="str">
        <f>if('source-upstream'!K35="",'schema-yn'!$A$5,vlookup('source-upstream'!K35,YN_MAP,3,FALSE))</f>
        <v>not-provided</v>
      </c>
      <c r="L35" s="89" t="str">
        <f>if('source-upstream'!L35="Not provided","",'source-upstream'!L35)</f>
        <v/>
      </c>
      <c r="M35" s="65" t="str">
        <f>if('source-upstream'!M35="",'schema-rv-services'!$B$26,vlookup(vlookup('source-upstream'!$M35,'analysis-rv-services'!$C:$E,3,FALSE),'schema-rv-services'!$A:$B,2, FALSE))</f>
        <v>components</v>
      </c>
      <c r="N35" s="70"/>
    </row>
    <row r="36" ht="15.0" customHeight="1">
      <c r="A36" s="88" t="str">
        <f>Substitute(SUBSTITUTE(substitute(substitute(substitute(substitute(substitute(substitute(substitute(lower('source-upstream'!A36)," ","-"),"(",""),")",""),"&gt;",""),"&lt;",""),"---","-"),".","-"),"--","-"),"&amp;","-and-")</f>
        <v>clever-frilled-neck-lizard</v>
      </c>
      <c r="B36" s="88" t="str">
        <f>Substitute(SUBSTITUTE(substitute(substitute(substitute(substitute(substitute(substitute(substitute(lower('source-upstream'!B36)," ","-"),"(",""),")",""),"&gt;",""),"&lt;",""),"---","-"),".","-"),"--","-"),"&amp;","-and-")</f>
        <v>green-platypus</v>
      </c>
      <c r="C36" s="70" t="str">
        <f>if('source-upstream'!C36="",'schema-frequency'!$B$11,vlookup('source-upstream'!C36,FREQUENCY_MAP, 3, FALSE))</f>
        <v>not-provided</v>
      </c>
      <c r="D36" s="89" t="str">
        <f>'source-upstream'!D36</f>
        <v>Inventory supply</v>
      </c>
      <c r="E36" s="70" t="str">
        <f>if('source-upstream'!E36="",'schema-yn'!$A$5,vlookup('source-upstream'!E36,YN_MAP,3,FALSE))</f>
        <v>yes</v>
      </c>
      <c r="F36" s="70" t="str">
        <f>if('source-upstream'!F36="",'schema-yn'!$A$5,vlookup('source-upstream'!F36,YN_MAP,3,FALSE))</f>
        <v>no</v>
      </c>
      <c r="G36" s="70" t="str">
        <f>if('source-upstream'!G36="",'schema-yn'!$A$5,vlookup('source-upstream'!G36,YN_MAP,3,FALSE))</f>
        <v>yes</v>
      </c>
      <c r="H36" s="70" t="str">
        <f>if('source-upstream'!H36="",'schema-yn'!$A$5,vlookup('source-upstream'!H36,RESILIENCE_OPTION_MAP,3,FALSE))</f>
        <v>alternative-supplier</v>
      </c>
      <c r="I36" s="70" t="str">
        <f>if(iserror(vlookup('source-upstream'!I36,'data-cleansing-maps'!N$5:N$10,1,FALSE)),'source-upstream'!I36,"")</f>
        <v/>
      </c>
      <c r="J36" s="89" t="str">
        <f>'source-upstream'!J36</f>
        <v>Short term impact to meet customer demand</v>
      </c>
      <c r="K36" s="70" t="str">
        <f>if('source-upstream'!K36="",'schema-yn'!$A$5,vlookup('source-upstream'!K36,YN_MAP,3,FALSE))</f>
        <v>not-provided</v>
      </c>
      <c r="L36" s="89" t="str">
        <f>if('source-upstream'!L36="Not provided","",'source-upstream'!L36)</f>
        <v/>
      </c>
      <c r="M36" s="65" t="str">
        <f>if('source-upstream'!M36="",'schema-rv-services'!$B$26,vlookup(vlookup('source-upstream'!$M36,'analysis-rv-services'!$C:$E,3,FALSE),'schema-rv-services'!$A:$B,2, FALSE))</f>
        <v>components</v>
      </c>
      <c r="N36" s="70"/>
    </row>
    <row r="37" ht="15.0" customHeight="1">
      <c r="A37" s="88" t="str">
        <f>Substitute(SUBSTITUTE(substitute(substitute(substitute(substitute(substitute(substitute(substitute(lower('source-upstream'!A37)," ","-"),"(",""),")",""),"&gt;",""),"&lt;",""),"---","-"),".","-"),"--","-"),"&amp;","-and-")</f>
        <v>clever-frilled-neck-lizard</v>
      </c>
      <c r="B37" s="88" t="str">
        <f>Substitute(SUBSTITUTE(substitute(substitute(substitute(substitute(substitute(substitute(substitute(lower('source-upstream'!B37)," ","-"),"(",""),")",""),"&gt;",""),"&lt;",""),"---","-"),".","-"),"--","-"),"&amp;","-and-")</f>
        <v>yellow-wombat</v>
      </c>
      <c r="C37" s="70" t="str">
        <f>if('source-upstream'!C37="",'schema-frequency'!$B$11,vlookup('source-upstream'!C37,FREQUENCY_MAP, 3, FALSE))</f>
        <v>not-provided</v>
      </c>
      <c r="D37" s="89" t="str">
        <f>'source-upstream'!D37</f>
        <v>Inventory supply</v>
      </c>
      <c r="E37" s="70" t="str">
        <f>if('source-upstream'!E37="",'schema-yn'!$A$5,vlookup('source-upstream'!E37,YN_MAP,3,FALSE))</f>
        <v>yes</v>
      </c>
      <c r="F37" s="70" t="str">
        <f>if('source-upstream'!F37="",'schema-yn'!$A$5,vlookup('source-upstream'!F37,YN_MAP,3,FALSE))</f>
        <v>no</v>
      </c>
      <c r="G37" s="70" t="str">
        <f>if('source-upstream'!G37="",'schema-yn'!$A$5,vlookup('source-upstream'!G37,YN_MAP,3,FALSE))</f>
        <v>yes</v>
      </c>
      <c r="H37" s="70" t="str">
        <f>if('source-upstream'!H37="",'schema-yn'!$A$5,vlookup('source-upstream'!H37,RESILIENCE_OPTION_MAP,3,FALSE))</f>
        <v>alternative-supplier</v>
      </c>
      <c r="I37" s="70" t="str">
        <f>if(iserror(vlookup('source-upstream'!I37,'data-cleansing-maps'!N$5:N$10,1,FALSE)),'source-upstream'!I37,"")</f>
        <v/>
      </c>
      <c r="J37" s="89" t="str">
        <f>'source-upstream'!J37</f>
        <v>Short term impact to meet customer demand</v>
      </c>
      <c r="K37" s="70" t="str">
        <f>if('source-upstream'!K37="",'schema-yn'!$A$5,vlookup('source-upstream'!K37,YN_MAP,3,FALSE))</f>
        <v>not-provided</v>
      </c>
      <c r="L37" s="89" t="str">
        <f>if('source-upstream'!L37="Not provided","",'source-upstream'!L37)</f>
        <v/>
      </c>
      <c r="M37" s="65" t="str">
        <f>if('source-upstream'!M37="",'schema-rv-services'!$B$26,vlookup(vlookup('source-upstream'!$M37,'analysis-rv-services'!$C:$E,3,FALSE),'schema-rv-services'!$A:$B,2, FALSE))</f>
        <v>components</v>
      </c>
      <c r="N37" s="70"/>
    </row>
    <row r="38" ht="15.0" customHeight="1">
      <c r="A38" s="88" t="str">
        <f>Substitute(SUBSTITUTE(substitute(substitute(substitute(substitute(substitute(substitute(substitute(lower('source-upstream'!A38)," ","-"),"(",""),")",""),"&gt;",""),"&lt;",""),"---","-"),".","-"),"--","-"),"&amp;","-and-")</f>
        <v>clever-frilled-neck-lizard</v>
      </c>
      <c r="B38" s="88" t="str">
        <f>Substitute(SUBSTITUTE(substitute(substitute(substitute(substitute(substitute(substitute(substitute(lower('source-upstream'!B38)," ","-"),"(",""),")",""),"&gt;",""),"&lt;",""),"---","-"),".","-"),"--","-"),"&amp;","-and-")</f>
        <v>noisy-cockatoo</v>
      </c>
      <c r="C38" s="70" t="str">
        <f>if('source-upstream'!C38="",'schema-frequency'!$B$11,vlookup('source-upstream'!C38,FREQUENCY_MAP, 3, FALSE))</f>
        <v>not-provided</v>
      </c>
      <c r="D38" s="89" t="str">
        <f>'source-upstream'!D38</f>
        <v>Inventory supply</v>
      </c>
      <c r="E38" s="70" t="str">
        <f>if('source-upstream'!E38="",'schema-yn'!$A$5,vlookup('source-upstream'!E38,YN_MAP,3,FALSE))</f>
        <v>yes</v>
      </c>
      <c r="F38" s="70" t="str">
        <f>if('source-upstream'!F38="",'schema-yn'!$A$5,vlookup('source-upstream'!F38,YN_MAP,3,FALSE))</f>
        <v>no</v>
      </c>
      <c r="G38" s="70" t="str">
        <f>if('source-upstream'!G38="",'schema-yn'!$A$5,vlookup('source-upstream'!G38,YN_MAP,3,FALSE))</f>
        <v>yes</v>
      </c>
      <c r="H38" s="70" t="str">
        <f>if('source-upstream'!H38="",'schema-yn'!$A$5,vlookup('source-upstream'!H38,RESILIENCE_OPTION_MAP,3,FALSE))</f>
        <v>alternative-supplier</v>
      </c>
      <c r="I38" s="70" t="str">
        <f>if(iserror(vlookup('source-upstream'!I38,'data-cleansing-maps'!N$5:N$10,1,FALSE)),'source-upstream'!I38,"")</f>
        <v/>
      </c>
      <c r="J38" s="89" t="str">
        <f>'source-upstream'!J38</f>
        <v>Short term impact to meet customer demand</v>
      </c>
      <c r="K38" s="70" t="str">
        <f>if('source-upstream'!K38="",'schema-yn'!$A$5,vlookup('source-upstream'!K38,YN_MAP,3,FALSE))</f>
        <v>not-provided</v>
      </c>
      <c r="L38" s="89" t="str">
        <f>if('source-upstream'!L38="Not provided","",'source-upstream'!L38)</f>
        <v/>
      </c>
      <c r="M38" s="65" t="str">
        <f>if('source-upstream'!M38="",'schema-rv-services'!$B$26,vlookup(vlookup('source-upstream'!$M38,'analysis-rv-services'!$C:$E,3,FALSE),'schema-rv-services'!$A:$B,2, FALSE))</f>
        <v>components</v>
      </c>
      <c r="N38" s="70"/>
    </row>
    <row r="39" ht="15.0" customHeight="1">
      <c r="A39" s="88" t="str">
        <f>Substitute(SUBSTITUTE(substitute(substitute(substitute(substitute(substitute(substitute(substitute(lower('source-upstream'!A39)," ","-"),"(",""),")",""),"&gt;",""),"&lt;",""),"---","-"),".","-"),"--","-"),"&amp;","-and-")</f>
        <v>clever-frilled-neck-lizard</v>
      </c>
      <c r="B39" s="88" t="str">
        <f>Substitute(SUBSTITUTE(substitute(substitute(substitute(substitute(substitute(substitute(substitute(lower('source-upstream'!B39)," ","-"),"(",""),")",""),"&gt;",""),"&lt;",""),"---","-"),".","-"),"--","-"),"&amp;","-and-")</f>
        <v>fuzzy-echidna</v>
      </c>
      <c r="C39" s="70" t="str">
        <f>if('source-upstream'!C39="",'schema-frequency'!$B$11,vlookup('source-upstream'!C39,FREQUENCY_MAP, 3, FALSE))</f>
        <v>not-provided</v>
      </c>
      <c r="D39" s="89" t="str">
        <f>'source-upstream'!D39</f>
        <v>Inventory supply</v>
      </c>
      <c r="E39" s="70" t="str">
        <f>if('source-upstream'!E39="",'schema-yn'!$A$5,vlookup('source-upstream'!E39,YN_MAP,3,FALSE))</f>
        <v>yes</v>
      </c>
      <c r="F39" s="70" t="str">
        <f>if('source-upstream'!F39="",'schema-yn'!$A$5,vlookup('source-upstream'!F39,YN_MAP,3,FALSE))</f>
        <v>no</v>
      </c>
      <c r="G39" s="70" t="str">
        <f>if('source-upstream'!G39="",'schema-yn'!$A$5,vlookup('source-upstream'!G39,YN_MAP,3,FALSE))</f>
        <v>yes</v>
      </c>
      <c r="H39" s="70" t="str">
        <f>if('source-upstream'!H39="",'schema-yn'!$A$5,vlookup('source-upstream'!H39,RESILIENCE_OPTION_MAP,3,FALSE))</f>
        <v>alternative-supplier</v>
      </c>
      <c r="I39" s="70" t="str">
        <f>if(iserror(vlookup('source-upstream'!I39,'data-cleansing-maps'!N$5:N$10,1,FALSE)),'source-upstream'!I39,"")</f>
        <v/>
      </c>
      <c r="J39" s="89" t="str">
        <f>'source-upstream'!J39</f>
        <v>Short term impact to meet customer demand</v>
      </c>
      <c r="K39" s="70" t="str">
        <f>if('source-upstream'!K39="",'schema-yn'!$A$5,vlookup('source-upstream'!K39,YN_MAP,3,FALSE))</f>
        <v>not-provided</v>
      </c>
      <c r="L39" s="89" t="str">
        <f>if('source-upstream'!L39="Not provided","",'source-upstream'!L39)</f>
        <v/>
      </c>
      <c r="M39" s="65" t="str">
        <f>if('source-upstream'!M39="",'schema-rv-services'!$B$26,vlookup(vlookup('source-upstream'!$M39,'analysis-rv-services'!$C:$E,3,FALSE),'schema-rv-services'!$A:$B,2, FALSE))</f>
        <v>components</v>
      </c>
      <c r="N39" s="70"/>
    </row>
    <row r="40" ht="15.0" customHeight="1">
      <c r="A40" s="88" t="str">
        <f>Substitute(SUBSTITUTE(substitute(substitute(substitute(substitute(substitute(substitute(substitute(lower('source-upstream'!A40)," ","-"),"(",""),")",""),"&gt;",""),"&lt;",""),"---","-"),".","-"),"--","-"),"&amp;","-and-")</f>
        <v>clever-frilled-neck-lizard</v>
      </c>
      <c r="B40" s="88" t="str">
        <f>Substitute(SUBSTITUTE(substitute(substitute(substitute(substitute(substitute(substitute(substitute(lower('source-upstream'!B40)," ","-"),"(",""),")",""),"&gt;",""),"&lt;",""),"---","-"),".","-"),"--","-"),"&amp;","-and-")</f>
        <v>fuzzy-goanna</v>
      </c>
      <c r="C40" s="70" t="str">
        <f>if('source-upstream'!C40="",'schema-frequency'!$B$11,vlookup('source-upstream'!C40,FREQUENCY_MAP, 3, FALSE))</f>
        <v>not-provided</v>
      </c>
      <c r="D40" s="89" t="str">
        <f>'source-upstream'!D40</f>
        <v>Inventory supply</v>
      </c>
      <c r="E40" s="70" t="str">
        <f>if('source-upstream'!E40="",'schema-yn'!$A$5,vlookup('source-upstream'!E40,YN_MAP,3,FALSE))</f>
        <v>yes</v>
      </c>
      <c r="F40" s="70" t="str">
        <f>if('source-upstream'!F40="",'schema-yn'!$A$5,vlookup('source-upstream'!F40,YN_MAP,3,FALSE))</f>
        <v>no</v>
      </c>
      <c r="G40" s="70" t="str">
        <f>if('source-upstream'!G40="",'schema-yn'!$A$5,vlookup('source-upstream'!G40,YN_MAP,3,FALSE))</f>
        <v>yes</v>
      </c>
      <c r="H40" s="70" t="str">
        <f>if('source-upstream'!H40="",'schema-yn'!$A$5,vlookup('source-upstream'!H40,RESILIENCE_OPTION_MAP,3,FALSE))</f>
        <v>alternative-supplier</v>
      </c>
      <c r="I40" s="70" t="str">
        <f>if(iserror(vlookup('source-upstream'!I40,'data-cleansing-maps'!N$5:N$10,1,FALSE)),'source-upstream'!I40,"")</f>
        <v/>
      </c>
      <c r="J40" s="89" t="str">
        <f>'source-upstream'!J40</f>
        <v>Short term impact to meet customer demand</v>
      </c>
      <c r="K40" s="70" t="str">
        <f>if('source-upstream'!K40="",'schema-yn'!$A$5,vlookup('source-upstream'!K40,YN_MAP,3,FALSE))</f>
        <v>not-provided</v>
      </c>
      <c r="L40" s="89" t="str">
        <f>if('source-upstream'!L40="Not provided","",'source-upstream'!L40)</f>
        <v/>
      </c>
      <c r="M40" s="65" t="str">
        <f>if('source-upstream'!M40="",'schema-rv-services'!$B$26,vlookup(vlookup('source-upstream'!$M40,'analysis-rv-services'!$C:$E,3,FALSE),'schema-rv-services'!$A:$B,2, FALSE))</f>
        <v>components</v>
      </c>
      <c r="N40" s="70"/>
    </row>
    <row r="41" ht="15.0" customHeight="1">
      <c r="A41" s="88" t="str">
        <f>Substitute(SUBSTITUTE(substitute(substitute(substitute(substitute(substitute(substitute(substitute(lower('source-upstream'!A41)," ","-"),"(",""),")",""),"&gt;",""),"&lt;",""),"---","-"),".","-"),"--","-"),"&amp;","-and-")</f>
        <v>clever-frilled-neck-lizard</v>
      </c>
      <c r="B41" s="88" t="str">
        <f>Substitute(SUBSTITUTE(substitute(substitute(substitute(substitute(substitute(substitute(substitute(lower('source-upstream'!B41)," ","-"),"(",""),")",""),"&gt;",""),"&lt;",""),"---","-"),".","-"),"--","-"),"&amp;","-and-")</f>
        <v>red-fairy-penguin</v>
      </c>
      <c r="C41" s="70" t="str">
        <f>if('source-upstream'!C41="",'schema-frequency'!$B$11,vlookup('source-upstream'!C41,FREQUENCY_MAP, 3, FALSE))</f>
        <v>not-provided</v>
      </c>
      <c r="D41" s="89" t="str">
        <f>'source-upstream'!D41</f>
        <v>Inventory supply</v>
      </c>
      <c r="E41" s="70" t="str">
        <f>if('source-upstream'!E41="",'schema-yn'!$A$5,vlookup('source-upstream'!E41,YN_MAP,3,FALSE))</f>
        <v>yes</v>
      </c>
      <c r="F41" s="70" t="str">
        <f>if('source-upstream'!F41="",'schema-yn'!$A$5,vlookup('source-upstream'!F41,YN_MAP,3,FALSE))</f>
        <v>no</v>
      </c>
      <c r="G41" s="70" t="str">
        <f>if('source-upstream'!G41="",'schema-yn'!$A$5,vlookup('source-upstream'!G41,YN_MAP,3,FALSE))</f>
        <v>yes</v>
      </c>
      <c r="H41" s="70" t="str">
        <f>if('source-upstream'!H41="",'schema-yn'!$A$5,vlookup('source-upstream'!H41,RESILIENCE_OPTION_MAP,3,FALSE))</f>
        <v>alternative-supplier</v>
      </c>
      <c r="I41" s="70" t="str">
        <f>if(iserror(vlookup('source-upstream'!I41,'data-cleansing-maps'!N$5:N$10,1,FALSE)),'source-upstream'!I41,"")</f>
        <v/>
      </c>
      <c r="J41" s="89" t="str">
        <f>'source-upstream'!J41</f>
        <v>Short term impact to meet customer demand</v>
      </c>
      <c r="K41" s="70" t="str">
        <f>if('source-upstream'!K41="",'schema-yn'!$A$5,vlookup('source-upstream'!K41,YN_MAP,3,FALSE))</f>
        <v>not-provided</v>
      </c>
      <c r="L41" s="89" t="str">
        <f>if('source-upstream'!L41="Not provided","",'source-upstream'!L41)</f>
        <v/>
      </c>
      <c r="M41" s="65" t="str">
        <f>if('source-upstream'!M41="",'schema-rv-services'!$B$26,vlookup(vlookup('source-upstream'!$M41,'analysis-rv-services'!$C:$E,3,FALSE),'schema-rv-services'!$A:$B,2, FALSE))</f>
        <v>components</v>
      </c>
      <c r="N41" s="70"/>
    </row>
    <row r="42" ht="15.0" customHeight="1">
      <c r="A42" s="88" t="str">
        <f>Substitute(SUBSTITUTE(substitute(substitute(substitute(substitute(substitute(substitute(substitute(lower('source-upstream'!A42)," ","-"),"(",""),")",""),"&gt;",""),"&lt;",""),"---","-"),".","-"),"--","-"),"&amp;","-and-")</f>
        <v>clever-frilled-neck-lizard</v>
      </c>
      <c r="B42" s="88" t="str">
        <f>Substitute(SUBSTITUTE(substitute(substitute(substitute(substitute(substitute(substitute(substitute(lower('source-upstream'!B42)," ","-"),"(",""),")",""),"&gt;",""),"&lt;",""),"---","-"),".","-"),"--","-"),"&amp;","-and-")</f>
        <v>red-numbat</v>
      </c>
      <c r="C42" s="70" t="str">
        <f>if('source-upstream'!C42="",'schema-frequency'!$B$11,vlookup('source-upstream'!C42,FREQUENCY_MAP, 3, FALSE))</f>
        <v>daily</v>
      </c>
      <c r="D42" s="89" t="str">
        <f>'source-upstream'!D42</f>
        <v>FOGO supply</v>
      </c>
      <c r="E42" s="70" t="str">
        <f>if('source-upstream'!E42="",'schema-yn'!$A$5,vlookup('source-upstream'!E42,YN_MAP,3,FALSE))</f>
        <v>not-provided</v>
      </c>
      <c r="F42" s="70" t="str">
        <f>if('source-upstream'!F42="",'schema-yn'!$A$5,vlookup('source-upstream'!F42,YN_MAP,3,FALSE))</f>
        <v>no</v>
      </c>
      <c r="G42" s="70" t="str">
        <f>if('source-upstream'!G42="",'schema-yn'!$A$5,vlookup('source-upstream'!G42,YN_MAP,3,FALSE))</f>
        <v>yes</v>
      </c>
      <c r="H42" s="70" t="str">
        <f>if('source-upstream'!H42="",'schema-yn'!$A$5,vlookup('source-upstream'!H42,RESILIENCE_OPTION_MAP,3,FALSE))</f>
        <v>alternative-supplier</v>
      </c>
      <c r="I42" s="70" t="str">
        <f>if(iserror(vlookup('source-upstream'!I42,'data-cleansing-maps'!N$5:N$10,1,FALSE)),'source-upstream'!I42,"")</f>
        <v/>
      </c>
      <c r="J42" s="89" t="str">
        <f>'source-upstream'!J42</f>
        <v>Short term stockpiling</v>
      </c>
      <c r="K42" s="70" t="str">
        <f>if('source-upstream'!K42="",'schema-yn'!$A$5,vlookup('source-upstream'!K42,YN_MAP,3,FALSE))</f>
        <v>not-provided</v>
      </c>
      <c r="L42" s="89" t="str">
        <f>if('source-upstream'!L42="Not provided","",'source-upstream'!L42)</f>
        <v/>
      </c>
      <c r="M42" s="65" t="str">
        <f>if('source-upstream'!M42="",'schema-rv-services'!$B$26,vlookup(vlookup('source-upstream'!$M42,'analysis-rv-services'!$C:$E,3,FALSE),'schema-rv-services'!$A:$B,2, FALSE))</f>
        <v>feedstock</v>
      </c>
      <c r="N42" s="70"/>
    </row>
    <row r="43" ht="15.0" customHeight="1">
      <c r="A43" s="88" t="str">
        <f>Substitute(SUBSTITUTE(substitute(substitute(substitute(substitute(substitute(substitute(substitute(lower('source-upstream'!A43)," ","-"),"(",""),")",""),"&gt;",""),"&lt;",""),"---","-"),".","-"),"--","-"),"&amp;","-and-")</f>
        <v>clever-frilled-neck-lizard</v>
      </c>
      <c r="B43" s="88" t="str">
        <f>Substitute(SUBSTITUTE(substitute(substitute(substitute(substitute(substitute(substitute(substitute(lower('source-upstream'!B43)," ","-"),"(",""),")",""),"&gt;",""),"&lt;",""),"---","-"),".","-"),"--","-"),"&amp;","-and-")</f>
        <v>red-numbat</v>
      </c>
      <c r="C43" s="70" t="str">
        <f>if('source-upstream'!C43="",'schema-frequency'!$B$11,vlookup('source-upstream'!C43,FREQUENCY_MAP, 3, FALSE))</f>
        <v>daily</v>
      </c>
      <c r="D43" s="89" t="str">
        <f>'source-upstream'!D43</f>
        <v>FOGO supply</v>
      </c>
      <c r="E43" s="70" t="str">
        <f>if('source-upstream'!E43="",'schema-yn'!$A$5,vlookup('source-upstream'!E43,YN_MAP,3,FALSE))</f>
        <v>not-provided</v>
      </c>
      <c r="F43" s="70" t="str">
        <f>if('source-upstream'!F43="",'schema-yn'!$A$5,vlookup('source-upstream'!F43,YN_MAP,3,FALSE))</f>
        <v>no</v>
      </c>
      <c r="G43" s="70" t="str">
        <f>if('source-upstream'!G43="",'schema-yn'!$A$5,vlookup('source-upstream'!G43,YN_MAP,3,FALSE))</f>
        <v>yes</v>
      </c>
      <c r="H43" s="70" t="str">
        <f>if('source-upstream'!H43="",'schema-yn'!$A$5,vlookup('source-upstream'!H43,RESILIENCE_OPTION_MAP,3,FALSE))</f>
        <v>alternative-supplier</v>
      </c>
      <c r="I43" s="70" t="str">
        <f>if(iserror(vlookup('source-upstream'!I43,'data-cleansing-maps'!N$5:N$10,1,FALSE)),'source-upstream'!I43,"")</f>
        <v/>
      </c>
      <c r="J43" s="89" t="str">
        <f>'source-upstream'!J43</f>
        <v>Short term stockpiling</v>
      </c>
      <c r="K43" s="70" t="str">
        <f>if('source-upstream'!K43="",'schema-yn'!$A$5,vlookup('source-upstream'!K43,YN_MAP,3,FALSE))</f>
        <v>not-provided</v>
      </c>
      <c r="L43" s="89" t="str">
        <f>if('source-upstream'!L43="Not provided","",'source-upstream'!L43)</f>
        <v/>
      </c>
      <c r="M43" s="65" t="str">
        <f>if('source-upstream'!M43="",'schema-rv-services'!$B$26,vlookup(vlookup('source-upstream'!$M43,'analysis-rv-services'!$C:$E,3,FALSE),'schema-rv-services'!$A:$B,2, FALSE))</f>
        <v>feedstock</v>
      </c>
      <c r="N43" s="70"/>
    </row>
    <row r="44" ht="15.0" customHeight="1">
      <c r="A44" s="88" t="str">
        <f>Substitute(SUBSTITUTE(substitute(substitute(substitute(substitute(substitute(substitute(substitute(lower('source-upstream'!A44)," ","-"),"(",""),")",""),"&gt;",""),"&lt;",""),"---","-"),".","-"),"--","-"),"&amp;","-and-")</f>
        <v>clever-frilled-neck-lizard</v>
      </c>
      <c r="B44" s="88" t="str">
        <f>Substitute(SUBSTITUTE(substitute(substitute(substitute(substitute(substitute(substitute(substitute(lower('source-upstream'!B44)," ","-"),"(",""),")",""),"&gt;",""),"&lt;",""),"---","-"),".","-"),"--","-"),"&amp;","-and-")</f>
        <v>red-numbat</v>
      </c>
      <c r="C44" s="70" t="str">
        <f>if('source-upstream'!C44="",'schema-frequency'!$B$11,vlookup('source-upstream'!C44,FREQUENCY_MAP, 3, FALSE))</f>
        <v>daily</v>
      </c>
      <c r="D44" s="89" t="str">
        <f>'source-upstream'!D44</f>
        <v>FOGO supply</v>
      </c>
      <c r="E44" s="70" t="str">
        <f>if('source-upstream'!E44="",'schema-yn'!$A$5,vlookup('source-upstream'!E44,YN_MAP,3,FALSE))</f>
        <v>not-provided</v>
      </c>
      <c r="F44" s="70" t="str">
        <f>if('source-upstream'!F44="",'schema-yn'!$A$5,vlookup('source-upstream'!F44,YN_MAP,3,FALSE))</f>
        <v>no</v>
      </c>
      <c r="G44" s="70" t="str">
        <f>if('source-upstream'!G44="",'schema-yn'!$A$5,vlookup('source-upstream'!G44,YN_MAP,3,FALSE))</f>
        <v>yes</v>
      </c>
      <c r="H44" s="70" t="str">
        <f>if('source-upstream'!H44="",'schema-yn'!$A$5,vlookup('source-upstream'!H44,RESILIENCE_OPTION_MAP,3,FALSE))</f>
        <v>alternative-supplier</v>
      </c>
      <c r="I44" s="70" t="str">
        <f>if(iserror(vlookup('source-upstream'!I44,'data-cleansing-maps'!N$5:N$10,1,FALSE)),'source-upstream'!I44,"")</f>
        <v/>
      </c>
      <c r="J44" s="89" t="str">
        <f>'source-upstream'!J44</f>
        <v>Short term stockpiling</v>
      </c>
      <c r="K44" s="70" t="str">
        <f>if('source-upstream'!K44="",'schema-yn'!$A$5,vlookup('source-upstream'!K44,YN_MAP,3,FALSE))</f>
        <v>not-provided</v>
      </c>
      <c r="L44" s="89" t="str">
        <f>if('source-upstream'!L44="Not provided","",'source-upstream'!L44)</f>
        <v/>
      </c>
      <c r="M44" s="65" t="str">
        <f>if('source-upstream'!M44="",'schema-rv-services'!$B$26,vlookup(vlookup('source-upstream'!$M44,'analysis-rv-services'!$C:$E,3,FALSE),'schema-rv-services'!$A:$B,2, FALSE))</f>
        <v>feedstock</v>
      </c>
      <c r="N44" s="70"/>
    </row>
    <row r="45" ht="15.0" customHeight="1">
      <c r="A45" s="88" t="str">
        <f>Substitute(SUBSTITUTE(substitute(substitute(substitute(substitute(substitute(substitute(substitute(lower('source-upstream'!A45)," ","-"),"(",""),")",""),"&gt;",""),"&lt;",""),"---","-"),".","-"),"--","-"),"&amp;","-and-")</f>
        <v>clever-frilled-neck-lizard</v>
      </c>
      <c r="B45" s="88" t="str">
        <f>Substitute(SUBSTITUTE(substitute(substitute(substitute(substitute(substitute(substitute(substitute(lower('source-upstream'!B45)," ","-"),"(",""),")",""),"&gt;",""),"&lt;",""),"---","-"),".","-"),"--","-"),"&amp;","-and-")</f>
        <v>red-numbat</v>
      </c>
      <c r="C45" s="70" t="str">
        <f>if('source-upstream'!C45="",'schema-frequency'!$B$11,vlookup('source-upstream'!C45,FREQUENCY_MAP, 3, FALSE))</f>
        <v>daily</v>
      </c>
      <c r="D45" s="89" t="str">
        <f>'source-upstream'!D45</f>
        <v>FOGO supply</v>
      </c>
      <c r="E45" s="70" t="str">
        <f>if('source-upstream'!E45="",'schema-yn'!$A$5,vlookup('source-upstream'!E45,YN_MAP,3,FALSE))</f>
        <v>not-provided</v>
      </c>
      <c r="F45" s="70" t="str">
        <f>if('source-upstream'!F45="",'schema-yn'!$A$5,vlookup('source-upstream'!F45,YN_MAP,3,FALSE))</f>
        <v>no</v>
      </c>
      <c r="G45" s="70" t="str">
        <f>if('source-upstream'!G45="",'schema-yn'!$A$5,vlookup('source-upstream'!G45,YN_MAP,3,FALSE))</f>
        <v>yes</v>
      </c>
      <c r="H45" s="70" t="str">
        <f>if('source-upstream'!H45="",'schema-yn'!$A$5,vlookup('source-upstream'!H45,RESILIENCE_OPTION_MAP,3,FALSE))</f>
        <v>alternative-supplier</v>
      </c>
      <c r="I45" s="70" t="str">
        <f>if(iserror(vlookup('source-upstream'!I45,'data-cleansing-maps'!N$5:N$10,1,FALSE)),'source-upstream'!I45,"")</f>
        <v/>
      </c>
      <c r="J45" s="89" t="str">
        <f>'source-upstream'!J45</f>
        <v>Short term stockpiling</v>
      </c>
      <c r="K45" s="70" t="str">
        <f>if('source-upstream'!K45="",'schema-yn'!$A$5,vlookup('source-upstream'!K45,YN_MAP,3,FALSE))</f>
        <v>not-provided</v>
      </c>
      <c r="L45" s="89" t="str">
        <f>if('source-upstream'!L45="Not provided","",'source-upstream'!L45)</f>
        <v/>
      </c>
      <c r="M45" s="65" t="str">
        <f>if('source-upstream'!M45="",'schema-rv-services'!$B$26,vlookup(vlookup('source-upstream'!$M45,'analysis-rv-services'!$C:$E,3,FALSE),'schema-rv-services'!$A:$B,2, FALSE))</f>
        <v>feedstock</v>
      </c>
      <c r="N45" s="70"/>
    </row>
    <row r="46" ht="15.0" customHeight="1">
      <c r="A46" s="88" t="str">
        <f>Substitute(SUBSTITUTE(substitute(substitute(substitute(substitute(substitute(substitute(substitute(lower('source-upstream'!A46)," ","-"),"(",""),")",""),"&gt;",""),"&lt;",""),"---","-"),".","-"),"--","-"),"&amp;","-and-")</f>
        <v>clever-frilled-neck-lizard</v>
      </c>
      <c r="B46" s="88" t="str">
        <f>Substitute(SUBSTITUTE(substitute(substitute(substitute(substitute(substitute(substitute(substitute(lower('source-upstream'!B46)," ","-"),"(",""),")",""),"&gt;",""),"&lt;",""),"---","-"),".","-"),"--","-"),"&amp;","-and-")</f>
        <v>red-numbat</v>
      </c>
      <c r="C46" s="70" t="str">
        <f>if('source-upstream'!C46="",'schema-frequency'!$B$11,vlookup('source-upstream'!C46,FREQUENCY_MAP, 3, FALSE))</f>
        <v>daily</v>
      </c>
      <c r="D46" s="89" t="str">
        <f>'source-upstream'!D46</f>
        <v>FOGO supply</v>
      </c>
      <c r="E46" s="70" t="str">
        <f>if('source-upstream'!E46="",'schema-yn'!$A$5,vlookup('source-upstream'!E46,YN_MAP,3,FALSE))</f>
        <v>not-provided</v>
      </c>
      <c r="F46" s="70" t="str">
        <f>if('source-upstream'!F46="",'schema-yn'!$A$5,vlookup('source-upstream'!F46,YN_MAP,3,FALSE))</f>
        <v>no</v>
      </c>
      <c r="G46" s="70" t="str">
        <f>if('source-upstream'!G46="",'schema-yn'!$A$5,vlookup('source-upstream'!G46,YN_MAP,3,FALSE))</f>
        <v>yes</v>
      </c>
      <c r="H46" s="70" t="str">
        <f>if('source-upstream'!H46="",'schema-yn'!$A$5,vlookup('source-upstream'!H46,RESILIENCE_OPTION_MAP,3,FALSE))</f>
        <v>alternative-supplier</v>
      </c>
      <c r="I46" s="70" t="str">
        <f>if(iserror(vlookup('source-upstream'!I46,'data-cleansing-maps'!N$5:N$10,1,FALSE)),'source-upstream'!I46,"")</f>
        <v/>
      </c>
      <c r="J46" s="89" t="str">
        <f>'source-upstream'!J46</f>
        <v>Short term stockpiling</v>
      </c>
      <c r="K46" s="70" t="str">
        <f>if('source-upstream'!K46="",'schema-yn'!$A$5,vlookup('source-upstream'!K46,YN_MAP,3,FALSE))</f>
        <v>not-provided</v>
      </c>
      <c r="L46" s="89" t="str">
        <f>if('source-upstream'!L46="Not provided","",'source-upstream'!L46)</f>
        <v/>
      </c>
      <c r="M46" s="65" t="str">
        <f>if('source-upstream'!M46="",'schema-rv-services'!$B$26,vlookup(vlookup('source-upstream'!$M46,'analysis-rv-services'!$C:$E,3,FALSE),'schema-rv-services'!$A:$B,2, FALSE))</f>
        <v>feedstock</v>
      </c>
      <c r="N46" s="70"/>
    </row>
    <row r="47" ht="15.0" customHeight="1">
      <c r="A47" s="88" t="str">
        <f>Substitute(SUBSTITUTE(substitute(substitute(substitute(substitute(substitute(substitute(substitute(lower('source-upstream'!A47)," ","-"),"(",""),")",""),"&gt;",""),"&lt;",""),"---","-"),".","-"),"--","-"),"&amp;","-and-")</f>
        <v>clever-frilled-neck-lizard</v>
      </c>
      <c r="B47" s="88" t="str">
        <f>Substitute(SUBSTITUTE(substitute(substitute(substitute(substitute(substitute(substitute(substitute(lower('source-upstream'!B47)," ","-"),"(",""),")",""),"&gt;",""),"&lt;",""),"---","-"),".","-"),"--","-"),"&amp;","-and-")</f>
        <v>red-numbat</v>
      </c>
      <c r="C47" s="70" t="str">
        <f>if('source-upstream'!C47="",'schema-frequency'!$B$11,vlookup('source-upstream'!C47,FREQUENCY_MAP, 3, FALSE))</f>
        <v>daily</v>
      </c>
      <c r="D47" s="89" t="str">
        <f>'source-upstream'!D47</f>
        <v>FOGO supply</v>
      </c>
      <c r="E47" s="70" t="str">
        <f>if('source-upstream'!E47="",'schema-yn'!$A$5,vlookup('source-upstream'!E47,YN_MAP,3,FALSE))</f>
        <v>not-provided</v>
      </c>
      <c r="F47" s="70" t="str">
        <f>if('source-upstream'!F47="",'schema-yn'!$A$5,vlookup('source-upstream'!F47,YN_MAP,3,FALSE))</f>
        <v>no</v>
      </c>
      <c r="G47" s="70" t="str">
        <f>if('source-upstream'!G47="",'schema-yn'!$A$5,vlookup('source-upstream'!G47,YN_MAP,3,FALSE))</f>
        <v>yes</v>
      </c>
      <c r="H47" s="70" t="str">
        <f>if('source-upstream'!H47="",'schema-yn'!$A$5,vlookup('source-upstream'!H47,RESILIENCE_OPTION_MAP,3,FALSE))</f>
        <v>alternative-supplier</v>
      </c>
      <c r="I47" s="70" t="str">
        <f>if(iserror(vlookup('source-upstream'!I47,'data-cleansing-maps'!N$5:N$10,1,FALSE)),'source-upstream'!I47,"")</f>
        <v/>
      </c>
      <c r="J47" s="89" t="str">
        <f>'source-upstream'!J47</f>
        <v>Short term stockpiling</v>
      </c>
      <c r="K47" s="70" t="str">
        <f>if('source-upstream'!K47="",'schema-yn'!$A$5,vlookup('source-upstream'!K47,YN_MAP,3,FALSE))</f>
        <v>not-provided</v>
      </c>
      <c r="L47" s="89" t="str">
        <f>if('source-upstream'!L47="Not provided","",'source-upstream'!L47)</f>
        <v/>
      </c>
      <c r="M47" s="65" t="str">
        <f>if('source-upstream'!M47="",'schema-rv-services'!$B$26,vlookup(vlookup('source-upstream'!$M47,'analysis-rv-services'!$C:$E,3,FALSE),'schema-rv-services'!$A:$B,2, FALSE))</f>
        <v>feedstock</v>
      </c>
      <c r="N47" s="70"/>
    </row>
    <row r="48" ht="15.0" customHeight="1">
      <c r="A48" s="88" t="str">
        <f>Substitute(SUBSTITUTE(substitute(substitute(substitute(substitute(substitute(substitute(substitute(lower('source-upstream'!A48)," ","-"),"(",""),")",""),"&gt;",""),"&lt;",""),"---","-"),".","-"),"--","-"),"&amp;","-and-")</f>
        <v>fuzzy-perentie</v>
      </c>
      <c r="B48" s="88" t="str">
        <f>Substitute(SUBSTITUTE(substitute(substitute(substitute(substitute(substitute(substitute(substitute(lower('source-upstream'!B48)," ","-"),"(",""),")",""),"&gt;",""),"&lt;",""),"---","-"),".","-"),"--","-"),"&amp;","-and-")</f>
        <v>lazy-cockatoo</v>
      </c>
      <c r="C48" s="70" t="str">
        <f>if('source-upstream'!C48="",'schema-frequency'!$B$11,vlookup('source-upstream'!C48,FREQUENCY_MAP, 3, FALSE))</f>
        <v>daily</v>
      </c>
      <c r="D48" s="89" t="str">
        <f>'source-upstream'!D48</f>
        <v>Transport</v>
      </c>
      <c r="E48" s="70" t="str">
        <f>if('source-upstream'!E48="",'schema-yn'!$A$5,vlookup('source-upstream'!E48,YN_MAP,3,FALSE))</f>
        <v>not-provided</v>
      </c>
      <c r="F48" s="70" t="str">
        <f>if('source-upstream'!F48="",'schema-yn'!$A$5,vlookup('source-upstream'!F48,YN_MAP,3,FALSE))</f>
        <v>not-provided</v>
      </c>
      <c r="G48" s="70" t="str">
        <f>if('source-upstream'!G48="",'schema-yn'!$A$5,vlookup('source-upstream'!G48,YN_MAP,3,FALSE))</f>
        <v>not-provided</v>
      </c>
      <c r="H48" s="70" t="str">
        <f>if('source-upstream'!H48="",'schema-yn'!$A$5,vlookup('source-upstream'!H48,RESILIENCE_OPTION_MAP,3,FALSE))</f>
        <v>not-provided</v>
      </c>
      <c r="I48" s="70" t="str">
        <f>if(iserror(vlookup('source-upstream'!I48,'data-cleansing-maps'!N$5:N$10,1,FALSE)),'source-upstream'!I48,"")</f>
        <v/>
      </c>
      <c r="J48" s="89" t="str">
        <f>'source-upstream'!J48</f>
        <v>No comments provided</v>
      </c>
      <c r="K48" s="70" t="str">
        <f>if('source-upstream'!K48="",'schema-yn'!$A$5,vlookup('source-upstream'!K48,YN_MAP,3,FALSE))</f>
        <v>not-provided</v>
      </c>
      <c r="L48" s="89" t="str">
        <f>if('source-upstream'!L48="Not provided","",'source-upstream'!L48)</f>
        <v/>
      </c>
      <c r="M48" s="65" t="str">
        <f>if('source-upstream'!M48="",'schema-rv-services'!$B$26,vlookup(vlookup('source-upstream'!$M48,'analysis-rv-services'!$C:$E,3,FALSE),'schema-rv-services'!$A:$B,2, FALSE))</f>
        <v>transport</v>
      </c>
      <c r="N48" s="70"/>
    </row>
    <row r="49" ht="15.0" customHeight="1">
      <c r="A49" s="88" t="str">
        <f>Substitute(SUBSTITUTE(substitute(substitute(substitute(substitute(substitute(substitute(substitute(lower('source-upstream'!A49)," ","-"),"(",""),")",""),"&gt;",""),"&lt;",""),"---","-"),".","-"),"--","-"),"&amp;","-and-")</f>
        <v>fuzzy-perentie</v>
      </c>
      <c r="B49" s="88" t="str">
        <f>Substitute(SUBSTITUTE(substitute(substitute(substitute(substitute(substitute(substitute(substitute(lower('source-upstream'!B49)," ","-"),"(",""),")",""),"&gt;",""),"&lt;",""),"---","-"),".","-"),"--","-"),"&amp;","-and-")</f>
        <v>shy-australian-magpie</v>
      </c>
      <c r="C49" s="70" t="str">
        <f>if('source-upstream'!C49="",'schema-frequency'!$B$11,vlookup('source-upstream'!C49,FREQUENCY_MAP, 3, FALSE))</f>
        <v>ad-hoc</v>
      </c>
      <c r="D49" s="89" t="str">
        <f>'source-upstream'!D49</f>
        <v>Emergency power supply</v>
      </c>
      <c r="E49" s="70" t="str">
        <f>if('source-upstream'!E49="",'schema-yn'!$A$5,vlookup('source-upstream'!E49,YN_MAP,3,FALSE))</f>
        <v>not-provided</v>
      </c>
      <c r="F49" s="70" t="str">
        <f>if('source-upstream'!F49="",'schema-yn'!$A$5,vlookup('source-upstream'!F49,YN_MAP,3,FALSE))</f>
        <v>not-provided</v>
      </c>
      <c r="G49" s="70" t="str">
        <f>if('source-upstream'!G49="",'schema-yn'!$A$5,vlookup('source-upstream'!G49,YN_MAP,3,FALSE))</f>
        <v>not-provided</v>
      </c>
      <c r="H49" s="70" t="str">
        <f>if('source-upstream'!H49="",'schema-yn'!$A$5,vlookup('source-upstream'!H49,RESILIENCE_OPTION_MAP,3,FALSE))</f>
        <v>not-provided</v>
      </c>
      <c r="I49" s="70" t="str">
        <f>if(iserror(vlookup('source-upstream'!I49,'data-cleansing-maps'!N$5:N$10,1,FALSE)),'source-upstream'!I49,"")</f>
        <v/>
      </c>
      <c r="J49" s="89" t="str">
        <f>'source-upstream'!J49</f>
        <v>No comments provided</v>
      </c>
      <c r="K49" s="70" t="str">
        <f>if('source-upstream'!K49="",'schema-yn'!$A$5,vlookup('source-upstream'!K49,YN_MAP,3,FALSE))</f>
        <v>not-provided</v>
      </c>
      <c r="L49" s="89" t="str">
        <f>if('source-upstream'!L49="Not provided","",'source-upstream'!L49)</f>
        <v/>
      </c>
      <c r="M49" s="65" t="str">
        <f>if('source-upstream'!M49="",'schema-rv-services'!$B$26,vlookup(vlookup('source-upstream'!$M49,'analysis-rv-services'!$C:$E,3,FALSE),'schema-rv-services'!$A:$B,2, FALSE))</f>
        <v>plant-and-equipment</v>
      </c>
      <c r="N49" s="70"/>
    </row>
    <row r="50" ht="15.0" customHeight="1">
      <c r="A50" s="88" t="str">
        <f>Substitute(SUBSTITUTE(substitute(substitute(substitute(substitute(substitute(substitute(substitute(lower('source-upstream'!A50)," ","-"),"(",""),")",""),"&gt;",""),"&lt;",""),"---","-"),".","-"),"--","-"),"&amp;","-and-")</f>
        <v>fuzzy-perentie</v>
      </c>
      <c r="B50" s="88" t="str">
        <f>Substitute(SUBSTITUTE(substitute(substitute(substitute(substitute(substitute(substitute(substitute(lower('source-upstream'!B50)," ","-"),"(",""),")",""),"&gt;",""),"&lt;",""),"---","-"),".","-"),"--","-"),"&amp;","-and-")</f>
        <v>sleepy-lyrebird</v>
      </c>
      <c r="C50" s="70" t="str">
        <f>if('source-upstream'!C50="",'schema-frequency'!$B$11,vlookup('source-upstream'!C50,FREQUENCY_MAP, 3, FALSE))</f>
        <v>ad-hoc</v>
      </c>
      <c r="D50" s="89" t="str">
        <f>'source-upstream'!D50</f>
        <v>Temporary crushing plant</v>
      </c>
      <c r="E50" s="70" t="str">
        <f>if('source-upstream'!E50="",'schema-yn'!$A$5,vlookup('source-upstream'!E50,YN_MAP,3,FALSE))</f>
        <v>not-provided</v>
      </c>
      <c r="F50" s="70" t="str">
        <f>if('source-upstream'!F50="",'schema-yn'!$A$5,vlookup('source-upstream'!F50,YN_MAP,3,FALSE))</f>
        <v>not-provided</v>
      </c>
      <c r="G50" s="70" t="str">
        <f>if('source-upstream'!G50="",'schema-yn'!$A$5,vlookup('source-upstream'!G50,YN_MAP,3,FALSE))</f>
        <v>not-provided</v>
      </c>
      <c r="H50" s="70" t="str">
        <f>if('source-upstream'!H50="",'schema-yn'!$A$5,vlookup('source-upstream'!H50,RESILIENCE_OPTION_MAP,3,FALSE))</f>
        <v>not-provided</v>
      </c>
      <c r="I50" s="70" t="str">
        <f>if(iserror(vlookup('source-upstream'!I50,'data-cleansing-maps'!N$5:N$10,1,FALSE)),'source-upstream'!I50,"")</f>
        <v/>
      </c>
      <c r="J50" s="89" t="str">
        <f>'source-upstream'!J50</f>
        <v>No comments provided</v>
      </c>
      <c r="K50" s="70" t="str">
        <f>if('source-upstream'!K50="",'schema-yn'!$A$5,vlookup('source-upstream'!K50,YN_MAP,3,FALSE))</f>
        <v>not-provided</v>
      </c>
      <c r="L50" s="89" t="str">
        <f>if('source-upstream'!L50="Not provided","",'source-upstream'!L50)</f>
        <v/>
      </c>
      <c r="M50" s="65" t="str">
        <f>if('source-upstream'!M50="",'schema-rv-services'!$B$26,vlookup(vlookup('source-upstream'!$M50,'analysis-rv-services'!$C:$E,3,FALSE),'schema-rv-services'!$A:$B,2, FALSE))</f>
        <v>plant-and-equipment</v>
      </c>
      <c r="N50" s="70"/>
    </row>
    <row r="51" ht="15.0" customHeight="1">
      <c r="A51" s="88" t="str">
        <f>Substitute(SUBSTITUTE(substitute(substitute(substitute(substitute(substitute(substitute(substitute(lower('source-upstream'!A51)," ","-"),"(",""),")",""),"&gt;",""),"&lt;",""),"---","-"),".","-"),"--","-"),"&amp;","-and-")</f>
        <v>fuzzy-perentie</v>
      </c>
      <c r="B51" s="88" t="str">
        <f>Substitute(SUBSTITUTE(substitute(substitute(substitute(substitute(substitute(substitute(substitute(lower('source-upstream'!B51)," ","-"),"(",""),")",""),"&gt;",""),"&lt;",""),"---","-"),".","-"),"--","-"),"&amp;","-and-")</f>
        <v>silent-sugar-glider</v>
      </c>
      <c r="C51" s="70" t="str">
        <f>if('source-upstream'!C51="",'schema-frequency'!$B$11,vlookup('source-upstream'!C51,FREQUENCY_MAP, 3, FALSE))</f>
        <v>ad-hoc</v>
      </c>
      <c r="D51" s="89" t="str">
        <f>'source-upstream'!D51</f>
        <v>Temporary crushing plant</v>
      </c>
      <c r="E51" s="70" t="str">
        <f>if('source-upstream'!E51="",'schema-yn'!$A$5,vlookup('source-upstream'!E51,YN_MAP,3,FALSE))</f>
        <v>not-provided</v>
      </c>
      <c r="F51" s="70" t="str">
        <f>if('source-upstream'!F51="",'schema-yn'!$A$5,vlookup('source-upstream'!F51,YN_MAP,3,FALSE))</f>
        <v>not-provided</v>
      </c>
      <c r="G51" s="70" t="str">
        <f>if('source-upstream'!G51="",'schema-yn'!$A$5,vlookup('source-upstream'!G51,YN_MAP,3,FALSE))</f>
        <v>not-provided</v>
      </c>
      <c r="H51" s="70" t="str">
        <f>if('source-upstream'!H51="",'schema-yn'!$A$5,vlookup('source-upstream'!H51,RESILIENCE_OPTION_MAP,3,FALSE))</f>
        <v>not-provided</v>
      </c>
      <c r="I51" s="70" t="str">
        <f>if(iserror(vlookup('source-upstream'!I51,'data-cleansing-maps'!N$5:N$10,1,FALSE)),'source-upstream'!I51,"")</f>
        <v/>
      </c>
      <c r="J51" s="89" t="str">
        <f>'source-upstream'!J51</f>
        <v>No comments provided</v>
      </c>
      <c r="K51" s="70" t="str">
        <f>if('source-upstream'!K51="",'schema-yn'!$A$5,vlookup('source-upstream'!K51,YN_MAP,3,FALSE))</f>
        <v>not-provided</v>
      </c>
      <c r="L51" s="89" t="str">
        <f>if('source-upstream'!L51="Not provided","",'source-upstream'!L51)</f>
        <v/>
      </c>
      <c r="M51" s="65" t="str">
        <f>if('source-upstream'!M51="",'schema-rv-services'!$B$26,vlookup(vlookup('source-upstream'!$M51,'analysis-rv-services'!$C:$E,3,FALSE),'schema-rv-services'!$A:$B,2, FALSE))</f>
        <v>plant-and-equipment</v>
      </c>
      <c r="N51" s="70"/>
    </row>
    <row r="52" ht="15.0" customHeight="1">
      <c r="A52" s="88" t="str">
        <f>Substitute(SUBSTITUTE(substitute(substitute(substitute(substitute(substitute(substitute(substitute(lower('source-upstream'!A52)," ","-"),"(",""),")",""),"&gt;",""),"&lt;",""),"---","-"),".","-"),"--","-"),"&amp;","-and-")</f>
        <v>fuzzy-perentie</v>
      </c>
      <c r="B52" s="88" t="str">
        <f>Substitute(SUBSTITUTE(substitute(substitute(substitute(substitute(substitute(substitute(substitute(lower('source-upstream'!B52)," ","-"),"(",""),")",""),"&gt;",""),"&lt;",""),"---","-"),".","-"),"--","-"),"&amp;","-and-")</f>
        <v>shy-possum</v>
      </c>
      <c r="C52" s="70" t="str">
        <f>if('source-upstream'!C52="",'schema-frequency'!$B$11,vlookup('source-upstream'!C52,FREQUENCY_MAP, 3, FALSE))</f>
        <v>ad-hoc</v>
      </c>
      <c r="D52" s="89" t="str">
        <f>'source-upstream'!D52</f>
        <v>Emergency repairs</v>
      </c>
      <c r="E52" s="70" t="str">
        <f>if('source-upstream'!E52="",'schema-yn'!$A$5,vlookup('source-upstream'!E52,YN_MAP,3,FALSE))</f>
        <v>not-provided</v>
      </c>
      <c r="F52" s="70" t="str">
        <f>if('source-upstream'!F52="",'schema-yn'!$A$5,vlookup('source-upstream'!F52,YN_MAP,3,FALSE))</f>
        <v>not-provided</v>
      </c>
      <c r="G52" s="70" t="str">
        <f>if('source-upstream'!G52="",'schema-yn'!$A$5,vlookup('source-upstream'!G52,YN_MAP,3,FALSE))</f>
        <v>not-provided</v>
      </c>
      <c r="H52" s="70" t="str">
        <f>if('source-upstream'!H52="",'schema-yn'!$A$5,vlookup('source-upstream'!H52,RESILIENCE_OPTION_MAP,3,FALSE))</f>
        <v>not-provided</v>
      </c>
      <c r="I52" s="70" t="str">
        <f>if(iserror(vlookup('source-upstream'!I52,'data-cleansing-maps'!N$5:N$10,1,FALSE)),'source-upstream'!I52,"")</f>
        <v/>
      </c>
      <c r="J52" s="89" t="str">
        <f>'source-upstream'!J52</f>
        <v>No comments provided</v>
      </c>
      <c r="K52" s="70" t="str">
        <f>if('source-upstream'!K52="",'schema-yn'!$A$5,vlookup('source-upstream'!K52,YN_MAP,3,FALSE))</f>
        <v>not-provided</v>
      </c>
      <c r="L52" s="89" t="str">
        <f>if('source-upstream'!L52="Not provided","",'source-upstream'!L52)</f>
        <v/>
      </c>
      <c r="M52" s="65" t="str">
        <f>if('source-upstream'!M52="",'schema-rv-services'!$B$26,vlookup(vlookup('source-upstream'!$M52,'analysis-rv-services'!$C:$E,3,FALSE),'schema-rv-services'!$A:$B,2, FALSE))</f>
        <v>repairs-and-maintenance</v>
      </c>
      <c r="N52" s="70"/>
    </row>
    <row r="53" ht="15.0" customHeight="1">
      <c r="A53" s="88" t="str">
        <f>Substitute(SUBSTITUTE(substitute(substitute(substitute(substitute(substitute(substitute(substitute(lower('source-upstream'!A53)," ","-"),"(",""),")",""),"&gt;",""),"&lt;",""),"---","-"),".","-"),"--","-"),"&amp;","-and-")</f>
        <v>fuzzy-perentie</v>
      </c>
      <c r="B53" s="88" t="str">
        <f>Substitute(SUBSTITUTE(substitute(substitute(substitute(substitute(substitute(substitute(substitute(lower('source-upstream'!B53)," ","-"),"(",""),")",""),"&gt;",""),"&lt;",""),"---","-"),".","-"),"--","-"),"&amp;","-and-")</f>
        <v>golden-australian-magpie</v>
      </c>
      <c r="C53" s="70" t="str">
        <f>if('source-upstream'!C53="",'schema-frequency'!$B$11,vlookup('source-upstream'!C53,FREQUENCY_MAP, 3, FALSE))</f>
        <v>ad-hoc</v>
      </c>
      <c r="D53" s="89" t="str">
        <f>'source-upstream'!D53</f>
        <v>Emergency repairs</v>
      </c>
      <c r="E53" s="70" t="str">
        <f>if('source-upstream'!E53="",'schema-yn'!$A$5,vlookup('source-upstream'!E53,YN_MAP,3,FALSE))</f>
        <v>not-provided</v>
      </c>
      <c r="F53" s="70" t="str">
        <f>if('source-upstream'!F53="",'schema-yn'!$A$5,vlookup('source-upstream'!F53,YN_MAP,3,FALSE))</f>
        <v>not-provided</v>
      </c>
      <c r="G53" s="70" t="str">
        <f>if('source-upstream'!G53="",'schema-yn'!$A$5,vlookup('source-upstream'!G53,YN_MAP,3,FALSE))</f>
        <v>not-provided</v>
      </c>
      <c r="H53" s="70" t="str">
        <f>if('source-upstream'!H53="",'schema-yn'!$A$5,vlookup('source-upstream'!H53,RESILIENCE_OPTION_MAP,3,FALSE))</f>
        <v>not-provided</v>
      </c>
      <c r="I53" s="70" t="str">
        <f>if(iserror(vlookup('source-upstream'!I53,'data-cleansing-maps'!N$5:N$10,1,FALSE)),'source-upstream'!I53,"")</f>
        <v/>
      </c>
      <c r="J53" s="89" t="str">
        <f>'source-upstream'!J53</f>
        <v>No comments provided</v>
      </c>
      <c r="K53" s="70" t="str">
        <f>if('source-upstream'!K53="",'schema-yn'!$A$5,vlookup('source-upstream'!K53,YN_MAP,3,FALSE))</f>
        <v>not-provided</v>
      </c>
      <c r="L53" s="89" t="str">
        <f>if('source-upstream'!L53="Not provided","",'source-upstream'!L53)</f>
        <v/>
      </c>
      <c r="M53" s="65" t="str">
        <f>if('source-upstream'!M53="",'schema-rv-services'!$B$26,vlookup(vlookup('source-upstream'!$M53,'analysis-rv-services'!$C:$E,3,FALSE),'schema-rv-services'!$A:$B,2, FALSE))</f>
        <v>repairs-and-maintenance</v>
      </c>
      <c r="N53" s="70"/>
    </row>
    <row r="54" ht="15.0" customHeight="1">
      <c r="A54" s="88" t="str">
        <f>Substitute(SUBSTITUTE(substitute(substitute(substitute(substitute(substitute(substitute(substitute(lower('source-upstream'!A54)," ","-"),"(",""),")",""),"&gt;",""),"&lt;",""),"---","-"),".","-"),"--","-"),"&amp;","-and-")</f>
        <v>fuzzy-perentie</v>
      </c>
      <c r="B54" s="88" t="str">
        <f>Substitute(SUBSTITUTE(substitute(substitute(substitute(substitute(substitute(substitute(substitute(lower('source-upstream'!B54)," ","-"),"(",""),")",""),"&gt;",""),"&lt;",""),"---","-"),".","-"),"--","-"),"&amp;","-and-")</f>
        <v>sleepy-sugar-glider</v>
      </c>
      <c r="C54" s="70" t="str">
        <f>if('source-upstream'!C54="",'schema-frequency'!$B$11,vlookup('source-upstream'!C54,FREQUENCY_MAP, 3, FALSE))</f>
        <v>ad-hoc</v>
      </c>
      <c r="D54" s="89" t="str">
        <f>'source-upstream'!D54</f>
        <v>Asbestos removal</v>
      </c>
      <c r="E54" s="70" t="str">
        <f>if('source-upstream'!E54="",'schema-yn'!$A$5,vlookup('source-upstream'!E54,YN_MAP,3,FALSE))</f>
        <v>not-provided</v>
      </c>
      <c r="F54" s="70" t="str">
        <f>if('source-upstream'!F54="",'schema-yn'!$A$5,vlookup('source-upstream'!F54,YN_MAP,3,FALSE))</f>
        <v>not-provided</v>
      </c>
      <c r="G54" s="70" t="str">
        <f>if('source-upstream'!G54="",'schema-yn'!$A$5,vlookup('source-upstream'!G54,YN_MAP,3,FALSE))</f>
        <v>not-provided</v>
      </c>
      <c r="H54" s="70" t="str">
        <f>if('source-upstream'!H54="",'schema-yn'!$A$5,vlookup('source-upstream'!H54,RESILIENCE_OPTION_MAP,3,FALSE))</f>
        <v>not-provided</v>
      </c>
      <c r="I54" s="70" t="str">
        <f>if(iserror(vlookup('source-upstream'!I54,'data-cleansing-maps'!N$5:N$10,1,FALSE)),'source-upstream'!I54,"")</f>
        <v/>
      </c>
      <c r="J54" s="89" t="str">
        <f>'source-upstream'!J54</f>
        <v>No comments provided</v>
      </c>
      <c r="K54" s="70" t="str">
        <f>if('source-upstream'!K54="",'schema-yn'!$A$5,vlookup('source-upstream'!K54,YN_MAP,3,FALSE))</f>
        <v>not-provided</v>
      </c>
      <c r="L54" s="89" t="str">
        <f>if('source-upstream'!L54="Not provided","",'source-upstream'!L54)</f>
        <v/>
      </c>
      <c r="M54" s="65" t="str">
        <f>if('source-upstream'!M54="",'schema-rv-services'!$B$26,vlookup(vlookup('source-upstream'!$M54,'analysis-rv-services'!$C:$E,3,FALSE),'schema-rv-services'!$A:$B,2, FALSE))</f>
        <v>asbestos</v>
      </c>
      <c r="N54" s="70"/>
    </row>
    <row r="55" ht="15.0" customHeight="1">
      <c r="A55" s="88" t="str">
        <f>Substitute(SUBSTITUTE(substitute(substitute(substitute(substitute(substitute(substitute(substitute(lower('source-upstream'!A55)," ","-"),"(",""),")",""),"&gt;",""),"&lt;",""),"---","-"),".","-"),"--","-"),"&amp;","-and-")</f>
        <v>fuzzy-perentie</v>
      </c>
      <c r="B55" s="88" t="str">
        <f>Substitute(SUBSTITUTE(substitute(substitute(substitute(substitute(substitute(substitute(substitute(lower('source-upstream'!B55)," ","-"),"(",""),")",""),"&gt;",""),"&lt;",""),"---","-"),".","-"),"--","-"),"&amp;","-and-")</f>
        <v>shy-cockatoo</v>
      </c>
      <c r="C55" s="70" t="str">
        <f>if('source-upstream'!C55="",'schema-frequency'!$B$11,vlookup('source-upstream'!C55,FREQUENCY_MAP, 3, FALSE))</f>
        <v>ad-hoc</v>
      </c>
      <c r="D55" s="89" t="str">
        <f>'source-upstream'!D55</f>
        <v>Emergency repairs</v>
      </c>
      <c r="E55" s="70" t="str">
        <f>if('source-upstream'!E55="",'schema-yn'!$A$5,vlookup('source-upstream'!E55,YN_MAP,3,FALSE))</f>
        <v>not-provided</v>
      </c>
      <c r="F55" s="70" t="str">
        <f>if('source-upstream'!F55="",'schema-yn'!$A$5,vlookup('source-upstream'!F55,YN_MAP,3,FALSE))</f>
        <v>not-provided</v>
      </c>
      <c r="G55" s="70" t="str">
        <f>if('source-upstream'!G55="",'schema-yn'!$A$5,vlookup('source-upstream'!G55,YN_MAP,3,FALSE))</f>
        <v>not-provided</v>
      </c>
      <c r="H55" s="70" t="str">
        <f>if('source-upstream'!H55="",'schema-yn'!$A$5,vlookup('source-upstream'!H55,RESILIENCE_OPTION_MAP,3,FALSE))</f>
        <v>not-provided</v>
      </c>
      <c r="I55" s="70" t="str">
        <f>if(iserror(vlookup('source-upstream'!I55,'data-cleansing-maps'!N$5:N$10,1,FALSE)),'source-upstream'!I55,"")</f>
        <v/>
      </c>
      <c r="J55" s="89" t="str">
        <f>'source-upstream'!J55</f>
        <v>No comments provided</v>
      </c>
      <c r="K55" s="70" t="str">
        <f>if('source-upstream'!K55="",'schema-yn'!$A$5,vlookup('source-upstream'!K55,YN_MAP,3,FALSE))</f>
        <v>not-provided</v>
      </c>
      <c r="L55" s="89" t="str">
        <f>if('source-upstream'!L55="Not provided","",'source-upstream'!L55)</f>
        <v/>
      </c>
      <c r="M55" s="65" t="str">
        <f>if('source-upstream'!M55="",'schema-rv-services'!$B$26,vlookup(vlookup('source-upstream'!$M55,'analysis-rv-services'!$C:$E,3,FALSE),'schema-rv-services'!$A:$B,2, FALSE))</f>
        <v>plant-and-equipment</v>
      </c>
      <c r="N55" s="70"/>
    </row>
    <row r="56" ht="15.0" customHeight="1">
      <c r="A56" s="88" t="str">
        <f>Substitute(SUBSTITUTE(substitute(substitute(substitute(substitute(substitute(substitute(substitute(lower('source-upstream'!A56)," ","-"),"(",""),")",""),"&gt;",""),"&lt;",""),"---","-"),".","-"),"--","-"),"&amp;","-and-")</f>
        <v>fuzzy-perentie</v>
      </c>
      <c r="B56" s="88" t="str">
        <f>Substitute(SUBSTITUTE(substitute(substitute(substitute(substitute(substitute(substitute(substitute(lower('source-upstream'!B56)," ","-"),"(",""),")",""),"&gt;",""),"&lt;",""),"---","-"),".","-"),"--","-"),"&amp;","-and-")</f>
        <v>striped-tasmanian-devil</v>
      </c>
      <c r="C56" s="70" t="str">
        <f>if('source-upstream'!C56="",'schema-frequency'!$B$11,vlookup('source-upstream'!C56,FREQUENCY_MAP, 3, FALSE))</f>
        <v>ad-hoc</v>
      </c>
      <c r="D56" s="89" t="str">
        <f>'source-upstream'!D56</f>
        <v>Emergency repairs</v>
      </c>
      <c r="E56" s="70" t="str">
        <f>if('source-upstream'!E56="",'schema-yn'!$A$5,vlookup('source-upstream'!E56,YN_MAP,3,FALSE))</f>
        <v>not-provided</v>
      </c>
      <c r="F56" s="70" t="str">
        <f>if('source-upstream'!F56="",'schema-yn'!$A$5,vlookup('source-upstream'!F56,YN_MAP,3,FALSE))</f>
        <v>not-provided</v>
      </c>
      <c r="G56" s="70" t="str">
        <f>if('source-upstream'!G56="",'schema-yn'!$A$5,vlookup('source-upstream'!G56,YN_MAP,3,FALSE))</f>
        <v>not-provided</v>
      </c>
      <c r="H56" s="70" t="str">
        <f>if('source-upstream'!H56="",'schema-yn'!$A$5,vlookup('source-upstream'!H56,RESILIENCE_OPTION_MAP,3,FALSE))</f>
        <v>not-provided</v>
      </c>
      <c r="I56" s="70" t="str">
        <f>if(iserror(vlookup('source-upstream'!I56,'data-cleansing-maps'!N$5:N$10,1,FALSE)),'source-upstream'!I56,"")</f>
        <v/>
      </c>
      <c r="J56" s="89" t="str">
        <f>'source-upstream'!J56</f>
        <v>No comments provided</v>
      </c>
      <c r="K56" s="70" t="str">
        <f>if('source-upstream'!K56="",'schema-yn'!$A$5,vlookup('source-upstream'!K56,YN_MAP,3,FALSE))</f>
        <v>not-provided</v>
      </c>
      <c r="L56" s="89" t="str">
        <f>if('source-upstream'!L56="Not provided","",'source-upstream'!L56)</f>
        <v/>
      </c>
      <c r="M56" s="65" t="str">
        <f>if('source-upstream'!M56="",'schema-rv-services'!$B$26,vlookup(vlookup('source-upstream'!$M56,'analysis-rv-services'!$C:$E,3,FALSE),'schema-rv-services'!$A:$B,2, FALSE))</f>
        <v>plant-and-equipment</v>
      </c>
      <c r="N56" s="70"/>
    </row>
    <row r="57" ht="15.0" customHeight="1">
      <c r="A57" s="88" t="str">
        <f>Substitute(SUBSTITUTE(substitute(substitute(substitute(substitute(substitute(substitute(substitute(lower('source-upstream'!A57)," ","-"),"(",""),")",""),"&gt;",""),"&lt;",""),"---","-"),".","-"),"--","-"),"&amp;","-and-")</f>
        <v>fuzzy-perentie</v>
      </c>
      <c r="B57" s="88" t="str">
        <f>Substitute(SUBSTITUTE(substitute(substitute(substitute(substitute(substitute(substitute(substitute(lower('source-upstream'!B57)," ","-"),"(",""),")",""),"&gt;",""),"&lt;",""),"---","-"),".","-"),"--","-"),"&amp;","-and-")</f>
        <v>lazy-blue-tongue-skink</v>
      </c>
      <c r="C57" s="70" t="str">
        <f>if('source-upstream'!C57="",'schema-frequency'!$B$11,vlookup('source-upstream'!C57,FREQUENCY_MAP, 3, FALSE))</f>
        <v>daily</v>
      </c>
      <c r="D57" s="89" t="str">
        <f>'source-upstream'!D57</f>
        <v>Water supply</v>
      </c>
      <c r="E57" s="70" t="str">
        <f>if('source-upstream'!E57="",'schema-yn'!$A$5,vlookup('source-upstream'!E57,YN_MAP,3,FALSE))</f>
        <v>not-provided</v>
      </c>
      <c r="F57" s="70" t="str">
        <f>if('source-upstream'!F57="",'schema-yn'!$A$5,vlookup('source-upstream'!F57,YN_MAP,3,FALSE))</f>
        <v>not-provided</v>
      </c>
      <c r="G57" s="70" t="str">
        <f>if('source-upstream'!G57="",'schema-yn'!$A$5,vlookup('source-upstream'!G57,YN_MAP,3,FALSE))</f>
        <v>not-provided</v>
      </c>
      <c r="H57" s="70" t="str">
        <f>if('source-upstream'!H57="",'schema-yn'!$A$5,vlookup('source-upstream'!H57,RESILIENCE_OPTION_MAP,3,FALSE))</f>
        <v>not-provided</v>
      </c>
      <c r="I57" s="70" t="str">
        <f>if(iserror(vlookup('source-upstream'!I57,'data-cleansing-maps'!N$5:N$10,1,FALSE)),'source-upstream'!I57,"")</f>
        <v/>
      </c>
      <c r="J57" s="89" t="str">
        <f>'source-upstream'!J57</f>
        <v>No comments provided</v>
      </c>
      <c r="K57" s="70" t="str">
        <f>if('source-upstream'!K57="",'schema-yn'!$A$5,vlookup('source-upstream'!K57,YN_MAP,3,FALSE))</f>
        <v>not-provided</v>
      </c>
      <c r="L57" s="89" t="str">
        <f>if('source-upstream'!L57="Not provided","",'source-upstream'!L57)</f>
        <v/>
      </c>
      <c r="M57" s="65" t="str">
        <f>if('source-upstream'!M57="",'schema-rv-services'!$B$26,vlookup(vlookup('source-upstream'!$M57,'analysis-rv-services'!$C:$E,3,FALSE),'schema-rv-services'!$A:$B,2, FALSE))</f>
        <v>water</v>
      </c>
      <c r="N57" s="70"/>
    </row>
    <row r="58" ht="15.0" customHeight="1">
      <c r="A58" s="88" t="str">
        <f>Substitute(SUBSTITUTE(substitute(substitute(substitute(substitute(substitute(substitute(substitute(lower('source-upstream'!A58)," ","-"),"(",""),")",""),"&gt;",""),"&lt;",""),"---","-"),".","-"),"--","-"),"&amp;","-and-")</f>
        <v>fuzzy-perentie</v>
      </c>
      <c r="B58" s="88" t="str">
        <f>Substitute(SUBSTITUTE(substitute(substitute(substitute(substitute(substitute(substitute(substitute(lower('source-upstream'!B58)," ","-"),"(",""),")",""),"&gt;",""),"&lt;",""),"---","-"),".","-"),"--","-"),"&amp;","-and-")</f>
        <v>sleepy-cassowary</v>
      </c>
      <c r="C58" s="70" t="str">
        <f>if('source-upstream'!C58="",'schema-frequency'!$B$11,vlookup('source-upstream'!C58,FREQUENCY_MAP, 3, FALSE))</f>
        <v>daily</v>
      </c>
      <c r="D58" s="89" t="str">
        <f>'source-upstream'!D58</f>
        <v>Electricity</v>
      </c>
      <c r="E58" s="70" t="str">
        <f>if('source-upstream'!E58="",'schema-yn'!$A$5,vlookup('source-upstream'!E58,YN_MAP,3,FALSE))</f>
        <v>not-provided</v>
      </c>
      <c r="F58" s="70" t="str">
        <f>if('source-upstream'!F58="",'schema-yn'!$A$5,vlookup('source-upstream'!F58,YN_MAP,3,FALSE))</f>
        <v>not-provided</v>
      </c>
      <c r="G58" s="70" t="str">
        <f>if('source-upstream'!G58="",'schema-yn'!$A$5,vlookup('source-upstream'!G58,YN_MAP,3,FALSE))</f>
        <v>not-provided</v>
      </c>
      <c r="H58" s="70" t="str">
        <f>if('source-upstream'!H58="",'schema-yn'!$A$5,vlookup('source-upstream'!H58,RESILIENCE_OPTION_MAP,3,FALSE))</f>
        <v>not-provided</v>
      </c>
      <c r="I58" s="70" t="str">
        <f>if(iserror(vlookup('source-upstream'!I58,'data-cleansing-maps'!N$5:N$10,1,FALSE)),'source-upstream'!I58,"")</f>
        <v/>
      </c>
      <c r="J58" s="89" t="str">
        <f>'source-upstream'!J58</f>
        <v>No comments provided</v>
      </c>
      <c r="K58" s="70" t="str">
        <f>if('source-upstream'!K58="",'schema-yn'!$A$5,vlookup('source-upstream'!K58,YN_MAP,3,FALSE))</f>
        <v>not-provided</v>
      </c>
      <c r="L58" s="89" t="str">
        <f>if('source-upstream'!L58="Not provided","",'source-upstream'!L58)</f>
        <v/>
      </c>
      <c r="M58" s="65" t="str">
        <f>if('source-upstream'!M58="",'schema-rv-services'!$B$26,vlookup(vlookup('source-upstream'!$M58,'analysis-rv-services'!$C:$E,3,FALSE),'schema-rv-services'!$A:$B,2, FALSE))</f>
        <v>power</v>
      </c>
      <c r="N58" s="70"/>
    </row>
    <row r="59" ht="15.0" customHeight="1">
      <c r="A59" s="88" t="str">
        <f>Substitute(SUBSTITUTE(substitute(substitute(substitute(substitute(substitute(substitute(substitute(lower('source-upstream'!A59)," ","-"),"(",""),")",""),"&gt;",""),"&lt;",""),"---","-"),".","-"),"--","-"),"&amp;","-and-")</f>
        <v>fuzzy-perentie</v>
      </c>
      <c r="B59" s="88" t="str">
        <f>Substitute(SUBSTITUTE(substitute(substitute(substitute(substitute(substitute(substitute(substitute(lower('source-upstream'!B59)," ","-"),"(",""),")",""),"&gt;",""),"&lt;",""),"---","-"),".","-"),"--","-"),"&amp;","-and-")</f>
        <v>swift-bush-stone-curlew</v>
      </c>
      <c r="C59" s="70" t="str">
        <f>if('source-upstream'!C59="",'schema-frequency'!$B$11,vlookup('source-upstream'!C59,FREQUENCY_MAP, 3, FALSE))</f>
        <v>daily</v>
      </c>
      <c r="D59" s="89" t="str">
        <f>'source-upstream'!D59</f>
        <v>Water supply</v>
      </c>
      <c r="E59" s="70" t="str">
        <f>if('source-upstream'!E59="",'schema-yn'!$A$5,vlookup('source-upstream'!E59,YN_MAP,3,FALSE))</f>
        <v>not-provided</v>
      </c>
      <c r="F59" s="70" t="str">
        <f>if('source-upstream'!F59="",'schema-yn'!$A$5,vlookup('source-upstream'!F59,YN_MAP,3,FALSE))</f>
        <v>not-provided</v>
      </c>
      <c r="G59" s="70" t="str">
        <f>if('source-upstream'!G59="",'schema-yn'!$A$5,vlookup('source-upstream'!G59,YN_MAP,3,FALSE))</f>
        <v>not-provided</v>
      </c>
      <c r="H59" s="70" t="str">
        <f>if('source-upstream'!H59="",'schema-yn'!$A$5,vlookup('source-upstream'!H59,RESILIENCE_OPTION_MAP,3,FALSE))</f>
        <v>not-provided</v>
      </c>
      <c r="I59" s="70" t="str">
        <f>if(iserror(vlookup('source-upstream'!I59,'data-cleansing-maps'!N$5:N$10,1,FALSE)),'source-upstream'!I59,"")</f>
        <v/>
      </c>
      <c r="J59" s="89" t="str">
        <f>'source-upstream'!J59</f>
        <v>No comments provided</v>
      </c>
      <c r="K59" s="70" t="str">
        <f>if('source-upstream'!K59="",'schema-yn'!$A$5,vlookup('source-upstream'!K59,YN_MAP,3,FALSE))</f>
        <v>not-provided</v>
      </c>
      <c r="L59" s="89" t="str">
        <f>if('source-upstream'!L59="Not provided","",'source-upstream'!L59)</f>
        <v/>
      </c>
      <c r="M59" s="65" t="str">
        <f>if('source-upstream'!M59="",'schema-rv-services'!$B$26,vlookup(vlookup('source-upstream'!$M59,'analysis-rv-services'!$C:$E,3,FALSE),'schema-rv-services'!$A:$B,2, FALSE))</f>
        <v>water</v>
      </c>
      <c r="N59" s="70"/>
    </row>
    <row r="60" ht="15.0" customHeight="1">
      <c r="A60" s="88" t="str">
        <f>Substitute(SUBSTITUTE(substitute(substitute(substitute(substitute(substitute(substitute(substitute(lower('source-upstream'!A60)," ","-"),"(",""),")",""),"&gt;",""),"&lt;",""),"---","-"),".","-"),"--","-"),"&amp;","-and-")</f>
        <v>fuzzy-perentie</v>
      </c>
      <c r="B60" s="88" t="str">
        <f>Substitute(SUBSTITUTE(substitute(substitute(substitute(substitute(substitute(substitute(substitute(lower('source-upstream'!B60)," ","-"),"(",""),")",""),"&gt;",""),"&lt;",""),"---","-"),".","-"),"--","-"),"&amp;","-and-")</f>
        <v>fuzzy-lyrebird</v>
      </c>
      <c r="C60" s="70" t="str">
        <f>if('source-upstream'!C60="",'schema-frequency'!$B$11,vlookup('source-upstream'!C60,FREQUENCY_MAP, 3, FALSE))</f>
        <v>daily</v>
      </c>
      <c r="D60" s="89" t="str">
        <f>'source-upstream'!D60</f>
        <v>Disposal of masonry, brick, concrete, steel and asphalt materials</v>
      </c>
      <c r="E60" s="70" t="str">
        <f>if('source-upstream'!E60="",'schema-yn'!$A$5,vlookup('source-upstream'!E60,YN_MAP,3,FALSE))</f>
        <v>not-provided</v>
      </c>
      <c r="F60" s="70" t="str">
        <f>if('source-upstream'!F60="",'schema-yn'!$A$5,vlookup('source-upstream'!F60,YN_MAP,3,FALSE))</f>
        <v>not-provided</v>
      </c>
      <c r="G60" s="70" t="str">
        <f>if('source-upstream'!G60="",'schema-yn'!$A$5,vlookup('source-upstream'!G60,YN_MAP,3,FALSE))</f>
        <v>not-provided</v>
      </c>
      <c r="H60" s="70" t="str">
        <f>if('source-upstream'!H60="",'schema-yn'!$A$5,vlookup('source-upstream'!H60,RESILIENCE_OPTION_MAP,3,FALSE))</f>
        <v>not-provided</v>
      </c>
      <c r="I60" s="70" t="str">
        <f>if(iserror(vlookup('source-upstream'!I60,'data-cleansing-maps'!N$5:N$10,1,FALSE)),'source-upstream'!I60,"")</f>
        <v/>
      </c>
      <c r="J60" s="89" t="str">
        <f>'source-upstream'!J60</f>
        <v>No comments provided</v>
      </c>
      <c r="K60" s="70" t="str">
        <f>if('source-upstream'!K60="",'schema-yn'!$A$5,vlookup('source-upstream'!K60,YN_MAP,3,FALSE))</f>
        <v>not-provided</v>
      </c>
      <c r="L60" s="89" t="str">
        <f>if('source-upstream'!L60="Not provided","",'source-upstream'!L60)</f>
        <v/>
      </c>
      <c r="M60" s="65" t="str">
        <f>if('source-upstream'!M60="",'schema-rv-services'!$B$26,vlookup(vlookup('source-upstream'!$M60,'analysis-rv-services'!$C:$E,3,FALSE),'schema-rv-services'!$A:$B,2, FALSE))</f>
        <v>feedstock</v>
      </c>
      <c r="N60" s="70"/>
    </row>
    <row r="61" ht="15.0" customHeight="1">
      <c r="A61" s="88" t="str">
        <f>Substitute(SUBSTITUTE(substitute(substitute(substitute(substitute(substitute(substitute(substitute(lower('source-upstream'!A61)," ","-"),"(",""),")",""),"&gt;",""),"&lt;",""),"---","-"),".","-"),"--","-"),"&amp;","-and-")</f>
        <v>fuzzy-sugar-glider</v>
      </c>
      <c r="B61" s="88" t="str">
        <f>Substitute(SUBSTITUTE(substitute(substitute(substitute(substitute(substitute(substitute(substitute(lower('source-upstream'!B61)," ","-"),"(",""),")",""),"&gt;",""),"&lt;",""),"---","-"),".","-"),"--","-"),"&amp;","-and-")</f>
        <v>shy-quokka</v>
      </c>
      <c r="C61" s="70" t="str">
        <f>if('source-upstream'!C61="",'schema-frequency'!$B$11,vlookup('source-upstream'!C61,FREQUENCY_MAP, 3, FALSE))</f>
        <v>unknown</v>
      </c>
      <c r="D61" s="89" t="str">
        <f>'source-upstream'!D61</f>
        <v>Not Provided</v>
      </c>
      <c r="E61" s="70" t="str">
        <f>if('source-upstream'!E61="",'schema-yn'!$A$5,vlookup('source-upstream'!E61,YN_MAP,3,FALSE))</f>
        <v>not-provided</v>
      </c>
      <c r="F61" s="70" t="str">
        <f>if('source-upstream'!F61="",'schema-yn'!$A$5,vlookup('source-upstream'!F61,YN_MAP,3,FALSE))</f>
        <v>not-provided</v>
      </c>
      <c r="G61" s="70" t="str">
        <f>if('source-upstream'!G61="",'schema-yn'!$A$5,vlookup('source-upstream'!G61,YN_MAP,3,FALSE))</f>
        <v>not-provided</v>
      </c>
      <c r="H61" s="70" t="str">
        <f>if('source-upstream'!H61="",'schema-yn'!$A$5,vlookup('source-upstream'!H61,RESILIENCE_OPTION_MAP,3,FALSE))</f>
        <v>not-provided</v>
      </c>
      <c r="I61" s="70" t="str">
        <f>if(iserror(vlookup('source-upstream'!I61,'data-cleansing-maps'!N$5:N$10,1,FALSE)),'source-upstream'!I61,"")</f>
        <v/>
      </c>
      <c r="J61" s="89" t="str">
        <f>'source-upstream'!J61</f>
        <v/>
      </c>
      <c r="K61" s="70" t="str">
        <f>if('source-upstream'!K61="",'schema-yn'!$A$5,vlookup('source-upstream'!K61,YN_MAP,3,FALSE))</f>
        <v>not-provided</v>
      </c>
      <c r="L61" s="89" t="str">
        <f>if('source-upstream'!L61="Not provided","",'source-upstream'!L61)</f>
        <v/>
      </c>
      <c r="M61" s="65" t="str">
        <f>if('source-upstream'!M61="",'schema-rv-services'!$B$26,vlookup(vlookup('source-upstream'!$M61,'analysis-rv-services'!$C:$E,3,FALSE),'schema-rv-services'!$A:$B,2, FALSE))</f>
        <v>not-provided</v>
      </c>
      <c r="N61" s="70"/>
    </row>
    <row r="62" ht="15.0" customHeight="1">
      <c r="A62" s="88" t="str">
        <f>Substitute(SUBSTITUTE(substitute(substitute(substitute(substitute(substitute(substitute(substitute(lower('source-upstream'!A62)," ","-"),"(",""),")",""),"&gt;",""),"&lt;",""),"---","-"),".","-"),"--","-"),"&amp;","-and-")</f>
        <v>golden-possum</v>
      </c>
      <c r="B62" s="88" t="str">
        <f>Substitute(SUBSTITUTE(substitute(substitute(substitute(substitute(substitute(substitute(substitute(lower('source-upstream'!B62)," ","-"),"(",""),")",""),"&gt;",""),"&lt;",""),"---","-"),".","-"),"--","-"),"&amp;","-and-")</f>
        <v>yellow-fairy-penguin</v>
      </c>
      <c r="C62" s="70" t="str">
        <f>if('source-upstream'!C62="",'schema-frequency'!$B$11,vlookup('source-upstream'!C62,FREQUENCY_MAP, 3, FALSE))</f>
        <v>not-provided</v>
      </c>
      <c r="D62" s="89" t="str">
        <f>'source-upstream'!D62</f>
        <v>Public drop off location</v>
      </c>
      <c r="E62" s="70" t="str">
        <f>if('source-upstream'!E62="",'schema-yn'!$A$5,vlookup('source-upstream'!E62,YN_MAP,3,FALSE))</f>
        <v>no</v>
      </c>
      <c r="F62" s="70" t="str">
        <f>if('source-upstream'!F62="",'schema-yn'!$A$5,vlookup('source-upstream'!F62,YN_MAP,3,FALSE))</f>
        <v>no</v>
      </c>
      <c r="G62" s="70" t="str">
        <f>if('source-upstream'!G62="",'schema-yn'!$A$5,vlookup('source-upstream'!G62,YN_MAP,3,FALSE))</f>
        <v>yes</v>
      </c>
      <c r="H62" s="70" t="str">
        <f>if('source-upstream'!H62="",'schema-yn'!$A$5,vlookup('source-upstream'!H62,RESILIENCE_OPTION_MAP,3,FALSE))</f>
        <v>alternative-supplier</v>
      </c>
      <c r="I62" s="70" t="str">
        <f>if(iserror(vlookup('source-upstream'!I62,'data-cleansing-maps'!N$5:N$10,1,FALSE)),'source-upstream'!I62,"")</f>
        <v/>
      </c>
      <c r="J62" s="89" t="str">
        <f>'source-upstream'!J62</f>
        <v>Possible short term down time. Alternative business processes until supply is resumed</v>
      </c>
      <c r="K62" s="70" t="str">
        <f>if('source-upstream'!K62="",'schema-yn'!$A$5,vlookup('source-upstream'!K62,YN_MAP,3,FALSE))</f>
        <v>not-provided</v>
      </c>
      <c r="L62" s="89" t="str">
        <f>if('source-upstream'!L62="Not provided","",'source-upstream'!L62)</f>
        <v/>
      </c>
      <c r="M62" s="65" t="str">
        <f>if('source-upstream'!M62="",'schema-rv-services'!$B$26,vlookup(vlookup('source-upstream'!$M62,'analysis-rv-services'!$C:$E,3,FALSE),'schema-rv-services'!$A:$B,2, FALSE))</f>
        <v>feedstock</v>
      </c>
      <c r="N62" s="70"/>
    </row>
    <row r="63" ht="15.0" customHeight="1">
      <c r="A63" s="88" t="str">
        <f>Substitute(SUBSTITUTE(substitute(substitute(substitute(substitute(substitute(substitute(substitute(lower('source-upstream'!A63)," ","-"),"(",""),")",""),"&gt;",""),"&lt;",""),"---","-"),".","-"),"--","-"),"&amp;","-and-")</f>
        <v>golden-possum</v>
      </c>
      <c r="B63" s="88" t="str">
        <f>Substitute(SUBSTITUTE(substitute(substitute(substitute(substitute(substitute(substitute(substitute(lower('source-upstream'!B63)," ","-"),"(",""),")",""),"&gt;",""),"&lt;",""),"---","-"),".","-"),"--","-"),"&amp;","-and-")</f>
        <v>fuzzy-wombat</v>
      </c>
      <c r="C63" s="70" t="str">
        <f>if('source-upstream'!C63="",'schema-frequency'!$B$11,vlookup('source-upstream'!C63,FREQUENCY_MAP, 3, FALSE))</f>
        <v>not-provided</v>
      </c>
      <c r="D63" s="89" t="str">
        <f>'source-upstream'!D63</f>
        <v>Public drop off location</v>
      </c>
      <c r="E63" s="70" t="str">
        <f>if('source-upstream'!E63="",'schema-yn'!$A$5,vlookup('source-upstream'!E63,YN_MAP,3,FALSE))</f>
        <v>no</v>
      </c>
      <c r="F63" s="70" t="str">
        <f>if('source-upstream'!F63="",'schema-yn'!$A$5,vlookup('source-upstream'!F63,YN_MAP,3,FALSE))</f>
        <v>no</v>
      </c>
      <c r="G63" s="70" t="str">
        <f>if('source-upstream'!G63="",'schema-yn'!$A$5,vlookup('source-upstream'!G63,YN_MAP,3,FALSE))</f>
        <v>yes</v>
      </c>
      <c r="H63" s="70" t="str">
        <f>if('source-upstream'!H63="",'schema-yn'!$A$5,vlookup('source-upstream'!H63,RESILIENCE_OPTION_MAP,3,FALSE))</f>
        <v>alternative-supplier</v>
      </c>
      <c r="I63" s="70" t="str">
        <f>if(iserror(vlookup('source-upstream'!I63,'data-cleansing-maps'!N$5:N$10,1,FALSE)),'source-upstream'!I63,"")</f>
        <v/>
      </c>
      <c r="J63" s="89" t="str">
        <f>'source-upstream'!J63</f>
        <v>Possible short term down time. Alternative business processes until supply is resumed</v>
      </c>
      <c r="K63" s="70" t="str">
        <f>if('source-upstream'!K63="",'schema-yn'!$A$5,vlookup('source-upstream'!K63,YN_MAP,3,FALSE))</f>
        <v>not-provided</v>
      </c>
      <c r="L63" s="89" t="str">
        <f>if('source-upstream'!L63="Not provided","",'source-upstream'!L63)</f>
        <v/>
      </c>
      <c r="M63" s="65" t="str">
        <f>if('source-upstream'!M63="",'schema-rv-services'!$B$26,vlookup(vlookup('source-upstream'!$M63,'analysis-rv-services'!$C:$E,3,FALSE),'schema-rv-services'!$A:$B,2, FALSE))</f>
        <v>feedstock</v>
      </c>
      <c r="N63" s="70"/>
    </row>
    <row r="64" ht="15.0" customHeight="1">
      <c r="A64" s="88" t="str">
        <f>Substitute(SUBSTITUTE(substitute(substitute(substitute(substitute(substitute(substitute(substitute(lower('source-upstream'!A64)," ","-"),"(",""),")",""),"&gt;",""),"&lt;",""),"---","-"),".","-"),"--","-"),"&amp;","-and-")</f>
        <v>golden-possum</v>
      </c>
      <c r="B64" s="88" t="str">
        <f>Substitute(SUBSTITUTE(substitute(substitute(substitute(substitute(substitute(substitute(substitute(lower('source-upstream'!B64)," ","-"),"(",""),")",""),"&gt;",""),"&lt;",""),"---","-"),".","-"),"--","-"),"&amp;","-and-")</f>
        <v>noisy-bilby</v>
      </c>
      <c r="C64" s="70" t="str">
        <f>if('source-upstream'!C64="",'schema-frequency'!$B$11,vlookup('source-upstream'!C64,FREQUENCY_MAP, 3, FALSE))</f>
        <v>not-provided</v>
      </c>
      <c r="D64" s="89" t="str">
        <f>'source-upstream'!D64</f>
        <v>Public drop off location</v>
      </c>
      <c r="E64" s="70" t="str">
        <f>if('source-upstream'!E64="",'schema-yn'!$A$5,vlookup('source-upstream'!E64,YN_MAP,3,FALSE))</f>
        <v>no</v>
      </c>
      <c r="F64" s="70" t="str">
        <f>if('source-upstream'!F64="",'schema-yn'!$A$5,vlookup('source-upstream'!F64,YN_MAP,3,FALSE))</f>
        <v>no</v>
      </c>
      <c r="G64" s="70" t="str">
        <f>if('source-upstream'!G64="",'schema-yn'!$A$5,vlookup('source-upstream'!G64,YN_MAP,3,FALSE))</f>
        <v>yes</v>
      </c>
      <c r="H64" s="70" t="str">
        <f>if('source-upstream'!H64="",'schema-yn'!$A$5,vlookup('source-upstream'!H64,RESILIENCE_OPTION_MAP,3,FALSE))</f>
        <v>alternative-supplier</v>
      </c>
      <c r="I64" s="70" t="str">
        <f>if(iserror(vlookup('source-upstream'!I64,'data-cleansing-maps'!N$5:N$10,1,FALSE)),'source-upstream'!I64,"")</f>
        <v/>
      </c>
      <c r="J64" s="89" t="str">
        <f>'source-upstream'!J64</f>
        <v>Possible short term down time. Alternative business processes until supply is resumed</v>
      </c>
      <c r="K64" s="70" t="str">
        <f>if('source-upstream'!K64="",'schema-yn'!$A$5,vlookup('source-upstream'!K64,YN_MAP,3,FALSE))</f>
        <v>not-provided</v>
      </c>
      <c r="L64" s="89" t="str">
        <f>if('source-upstream'!L64="Not provided","",'source-upstream'!L64)</f>
        <v/>
      </c>
      <c r="M64" s="65" t="str">
        <f>if('source-upstream'!M64="",'schema-rv-services'!$B$26,vlookup(vlookup('source-upstream'!$M64,'analysis-rv-services'!$C:$E,3,FALSE),'schema-rv-services'!$A:$B,2, FALSE))</f>
        <v>feedstock</v>
      </c>
      <c r="N64" s="70"/>
    </row>
    <row r="65" ht="15.0" customHeight="1">
      <c r="A65" s="88" t="str">
        <f>Substitute(SUBSTITUTE(substitute(substitute(substitute(substitute(substitute(substitute(substitute(lower('source-upstream'!A65)," ","-"),"(",""),")",""),"&gt;",""),"&lt;",""),"---","-"),".","-"),"--","-"),"&amp;","-and-")</f>
        <v>golden-possum</v>
      </c>
      <c r="B65" s="88" t="str">
        <f>Substitute(SUBSTITUTE(substitute(substitute(substitute(substitute(substitute(substitute(substitute(lower('source-upstream'!B65)," ","-"),"(",""),")",""),"&gt;",""),"&lt;",""),"---","-"),".","-"),"--","-"),"&amp;","-and-")</f>
        <v>clever-sugar-glider</v>
      </c>
      <c r="C65" s="70" t="str">
        <f>if('source-upstream'!C65="",'schema-frequency'!$B$11,vlookup('source-upstream'!C65,FREQUENCY_MAP, 3, FALSE))</f>
        <v>not-provided</v>
      </c>
      <c r="D65" s="89" t="str">
        <f>'source-upstream'!D65</f>
        <v>Public drop off location</v>
      </c>
      <c r="E65" s="70" t="str">
        <f>if('source-upstream'!E65="",'schema-yn'!$A$5,vlookup('source-upstream'!E65,YN_MAP,3,FALSE))</f>
        <v>no</v>
      </c>
      <c r="F65" s="70" t="str">
        <f>if('source-upstream'!F65="",'schema-yn'!$A$5,vlookup('source-upstream'!F65,YN_MAP,3,FALSE))</f>
        <v>no</v>
      </c>
      <c r="G65" s="70" t="str">
        <f>if('source-upstream'!G65="",'schema-yn'!$A$5,vlookup('source-upstream'!G65,YN_MAP,3,FALSE))</f>
        <v>yes</v>
      </c>
      <c r="H65" s="70" t="str">
        <f>if('source-upstream'!H65="",'schema-yn'!$A$5,vlookup('source-upstream'!H65,RESILIENCE_OPTION_MAP,3,FALSE))</f>
        <v>alternative-supplier</v>
      </c>
      <c r="I65" s="70" t="str">
        <f>if(iserror(vlookup('source-upstream'!I65,'data-cleansing-maps'!N$5:N$10,1,FALSE)),'source-upstream'!I65,"")</f>
        <v/>
      </c>
      <c r="J65" s="89" t="str">
        <f>'source-upstream'!J65</f>
        <v>Possible short term down time. Alternative business processes until supply is resumed</v>
      </c>
      <c r="K65" s="70" t="str">
        <f>if('source-upstream'!K65="",'schema-yn'!$A$5,vlookup('source-upstream'!K65,YN_MAP,3,FALSE))</f>
        <v>not-provided</v>
      </c>
      <c r="L65" s="89" t="str">
        <f>if('source-upstream'!L65="Not provided","",'source-upstream'!L65)</f>
        <v/>
      </c>
      <c r="M65" s="65" t="str">
        <f>if('source-upstream'!M65="",'schema-rv-services'!$B$26,vlookup(vlookup('source-upstream'!$M65,'analysis-rv-services'!$C:$E,3,FALSE),'schema-rv-services'!$A:$B,2, FALSE))</f>
        <v>feedstock</v>
      </c>
      <c r="N65" s="70"/>
    </row>
    <row r="66" ht="15.0" customHeight="1">
      <c r="A66" s="88" t="str">
        <f>Substitute(SUBSTITUTE(substitute(substitute(substitute(substitute(substitute(substitute(substitute(lower('source-upstream'!A66)," ","-"),"(",""),")",""),"&gt;",""),"&lt;",""),"---","-"),".","-"),"--","-"),"&amp;","-and-")</f>
        <v>golden-possum</v>
      </c>
      <c r="B66" s="88" t="str">
        <f>Substitute(SUBSTITUTE(substitute(substitute(substitute(substitute(substitute(substitute(substitute(lower('source-upstream'!B66)," ","-"),"(",""),")",""),"&gt;",""),"&lt;",""),"---","-"),".","-"),"--","-"),"&amp;","-and-")</f>
        <v>tiny-numbat</v>
      </c>
      <c r="C66" s="70" t="str">
        <f>if('source-upstream'!C66="",'schema-frequency'!$B$11,vlookup('source-upstream'!C66,FREQUENCY_MAP, 3, FALSE))</f>
        <v>not-provided</v>
      </c>
      <c r="D66" s="89" t="str">
        <f>'source-upstream'!D66</f>
        <v>Public drop off location</v>
      </c>
      <c r="E66" s="70" t="str">
        <f>if('source-upstream'!E66="",'schema-yn'!$A$5,vlookup('source-upstream'!E66,YN_MAP,3,FALSE))</f>
        <v>no</v>
      </c>
      <c r="F66" s="70" t="str">
        <f>if('source-upstream'!F66="",'schema-yn'!$A$5,vlookup('source-upstream'!F66,YN_MAP,3,FALSE))</f>
        <v>no</v>
      </c>
      <c r="G66" s="70" t="str">
        <f>if('source-upstream'!G66="",'schema-yn'!$A$5,vlookup('source-upstream'!G66,YN_MAP,3,FALSE))</f>
        <v>yes</v>
      </c>
      <c r="H66" s="70" t="str">
        <f>if('source-upstream'!H66="",'schema-yn'!$A$5,vlookup('source-upstream'!H66,RESILIENCE_OPTION_MAP,3,FALSE))</f>
        <v>alternative-supplier</v>
      </c>
      <c r="I66" s="70" t="str">
        <f>if(iserror(vlookup('source-upstream'!I66,'data-cleansing-maps'!N$5:N$10,1,FALSE)),'source-upstream'!I66,"")</f>
        <v/>
      </c>
      <c r="J66" s="89" t="str">
        <f>'source-upstream'!J66</f>
        <v>Possible short term down time. Alternative business processes until supply is resumed</v>
      </c>
      <c r="K66" s="70" t="str">
        <f>if('source-upstream'!K66="",'schema-yn'!$A$5,vlookup('source-upstream'!K66,YN_MAP,3,FALSE))</f>
        <v>not-provided</v>
      </c>
      <c r="L66" s="89" t="str">
        <f>if('source-upstream'!L66="Not provided","",'source-upstream'!L66)</f>
        <v/>
      </c>
      <c r="M66" s="65" t="str">
        <f>if('source-upstream'!M66="",'schema-rv-services'!$B$26,vlookup(vlookup('source-upstream'!$M66,'analysis-rv-services'!$C:$E,3,FALSE),'schema-rv-services'!$A:$B,2, FALSE))</f>
        <v>feedstock</v>
      </c>
      <c r="N66" s="70"/>
    </row>
    <row r="67" ht="15.0" customHeight="1">
      <c r="A67" s="88" t="str">
        <f>Substitute(SUBSTITUTE(substitute(substitute(substitute(substitute(substitute(substitute(substitute(lower('source-upstream'!A67)," ","-"),"(",""),")",""),"&gt;",""),"&lt;",""),"---","-"),".","-"),"--","-"),"&amp;","-and-")</f>
        <v>golden-possum</v>
      </c>
      <c r="B67" s="88" t="str">
        <f>Substitute(SUBSTITUTE(substitute(substitute(substitute(substitute(substitute(substitute(substitute(lower('source-upstream'!B67)," ","-"),"(",""),")",""),"&gt;",""),"&lt;",""),"---","-"),".","-"),"--","-"),"&amp;","-and-")</f>
        <v>noisy-perentie</v>
      </c>
      <c r="C67" s="70" t="str">
        <f>if('source-upstream'!C67="",'schema-frequency'!$B$11,vlookup('source-upstream'!C67,FREQUENCY_MAP, 3, FALSE))</f>
        <v>not-provided</v>
      </c>
      <c r="D67" s="89" t="str">
        <f>'source-upstream'!D67</f>
        <v>Public drop off location</v>
      </c>
      <c r="E67" s="70" t="str">
        <f>if('source-upstream'!E67="",'schema-yn'!$A$5,vlookup('source-upstream'!E67,YN_MAP,3,FALSE))</f>
        <v>no</v>
      </c>
      <c r="F67" s="70" t="str">
        <f>if('source-upstream'!F67="",'schema-yn'!$A$5,vlookup('source-upstream'!F67,YN_MAP,3,FALSE))</f>
        <v>no</v>
      </c>
      <c r="G67" s="70" t="str">
        <f>if('source-upstream'!G67="",'schema-yn'!$A$5,vlookup('source-upstream'!G67,YN_MAP,3,FALSE))</f>
        <v>yes</v>
      </c>
      <c r="H67" s="70" t="str">
        <f>if('source-upstream'!H67="",'schema-yn'!$A$5,vlookup('source-upstream'!H67,RESILIENCE_OPTION_MAP,3,FALSE))</f>
        <v>alternative-supplier</v>
      </c>
      <c r="I67" s="70" t="str">
        <f>if(iserror(vlookup('source-upstream'!I67,'data-cleansing-maps'!N$5:N$10,1,FALSE)),'source-upstream'!I67,"")</f>
        <v/>
      </c>
      <c r="J67" s="89" t="str">
        <f>'source-upstream'!J67</f>
        <v>Possible short term down time. Alternative business processes until supply is resumed</v>
      </c>
      <c r="K67" s="70" t="str">
        <f>if('source-upstream'!K67="",'schema-yn'!$A$5,vlookup('source-upstream'!K67,YN_MAP,3,FALSE))</f>
        <v>not-provided</v>
      </c>
      <c r="L67" s="89" t="str">
        <f>if('source-upstream'!L67="Not provided","",'source-upstream'!L67)</f>
        <v/>
      </c>
      <c r="M67" s="65" t="str">
        <f>if('source-upstream'!M67="",'schema-rv-services'!$B$26,vlookup(vlookup('source-upstream'!$M67,'analysis-rv-services'!$C:$E,3,FALSE),'schema-rv-services'!$A:$B,2, FALSE))</f>
        <v>feedstock</v>
      </c>
      <c r="N67" s="70"/>
    </row>
    <row r="68" ht="15.0" customHeight="1">
      <c r="A68" s="88" t="str">
        <f>Substitute(SUBSTITUTE(substitute(substitute(substitute(substitute(substitute(substitute(substitute(lower('source-upstream'!A68)," ","-"),"(",""),")",""),"&gt;",""),"&lt;",""),"---","-"),".","-"),"--","-"),"&amp;","-and-")</f>
        <v>golden-possum</v>
      </c>
      <c r="B68" s="88" t="str">
        <f>Substitute(SUBSTITUTE(substitute(substitute(substitute(substitute(substitute(substitute(substitute(lower('source-upstream'!B68)," ","-"),"(",""),")",""),"&gt;",""),"&lt;",""),"---","-"),".","-"),"--","-"),"&amp;","-and-")</f>
        <v>blue-koala</v>
      </c>
      <c r="C68" s="70" t="str">
        <f>if('source-upstream'!C68="",'schema-frequency'!$B$11,vlookup('source-upstream'!C68,FREQUENCY_MAP, 3, FALSE))</f>
        <v>not-provided</v>
      </c>
      <c r="D68" s="89" t="str">
        <f>'source-upstream'!D68</f>
        <v>Public drop off location</v>
      </c>
      <c r="E68" s="70" t="str">
        <f>if('source-upstream'!E68="",'schema-yn'!$A$5,vlookup('source-upstream'!E68,YN_MAP,3,FALSE))</f>
        <v>no</v>
      </c>
      <c r="F68" s="70" t="str">
        <f>if('source-upstream'!F68="",'schema-yn'!$A$5,vlookup('source-upstream'!F68,YN_MAP,3,FALSE))</f>
        <v>no</v>
      </c>
      <c r="G68" s="70" t="str">
        <f>if('source-upstream'!G68="",'schema-yn'!$A$5,vlookup('source-upstream'!G68,YN_MAP,3,FALSE))</f>
        <v>yes</v>
      </c>
      <c r="H68" s="70" t="str">
        <f>if('source-upstream'!H68="",'schema-yn'!$A$5,vlookup('source-upstream'!H68,RESILIENCE_OPTION_MAP,3,FALSE))</f>
        <v>alternative-supplier</v>
      </c>
      <c r="I68" s="70" t="str">
        <f>if(iserror(vlookup('source-upstream'!I68,'data-cleansing-maps'!N$5:N$10,1,FALSE)),'source-upstream'!I68,"")</f>
        <v/>
      </c>
      <c r="J68" s="89" t="str">
        <f>'source-upstream'!J68</f>
        <v>Possible short term down time. Alternative business processes until supply is resumed</v>
      </c>
      <c r="K68" s="70" t="str">
        <f>if('source-upstream'!K68="",'schema-yn'!$A$5,vlookup('source-upstream'!K68,YN_MAP,3,FALSE))</f>
        <v>not-provided</v>
      </c>
      <c r="L68" s="89" t="str">
        <f>if('source-upstream'!L68="Not provided","",'source-upstream'!L68)</f>
        <v/>
      </c>
      <c r="M68" s="65" t="str">
        <f>if('source-upstream'!M68="",'schema-rv-services'!$B$26,vlookup(vlookup('source-upstream'!$M68,'analysis-rv-services'!$C:$E,3,FALSE),'schema-rv-services'!$A:$B,2, FALSE))</f>
        <v>feedstock</v>
      </c>
      <c r="N68" s="70"/>
    </row>
    <row r="69" ht="15.0" customHeight="1">
      <c r="A69" s="88" t="str">
        <f>Substitute(SUBSTITUTE(substitute(substitute(substitute(substitute(substitute(substitute(substitute(lower('source-upstream'!A69)," ","-"),"(",""),")",""),"&gt;",""),"&lt;",""),"---","-"),".","-"),"--","-"),"&amp;","-and-")</f>
        <v>golden-possum</v>
      </c>
      <c r="B69" s="88" t="str">
        <f>Substitute(SUBSTITUTE(substitute(substitute(substitute(substitute(substitute(substitute(substitute(lower('source-upstream'!B69)," ","-"),"(",""),")",""),"&gt;",""),"&lt;",""),"---","-"),".","-"),"--","-"),"&amp;","-and-")</f>
        <v>clever-blue-tongue-skink</v>
      </c>
      <c r="C69" s="70" t="str">
        <f>if('source-upstream'!C69="",'schema-frequency'!$B$11,vlookup('source-upstream'!C69,FREQUENCY_MAP, 3, FALSE))</f>
        <v>not-provided</v>
      </c>
      <c r="D69" s="89" t="str">
        <f>'source-upstream'!D69</f>
        <v>Public drop off location</v>
      </c>
      <c r="E69" s="70" t="str">
        <f>if('source-upstream'!E69="",'schema-yn'!$A$5,vlookup('source-upstream'!E69,YN_MAP,3,FALSE))</f>
        <v>no</v>
      </c>
      <c r="F69" s="70" t="str">
        <f>if('source-upstream'!F69="",'schema-yn'!$A$5,vlookup('source-upstream'!F69,YN_MAP,3,FALSE))</f>
        <v>no</v>
      </c>
      <c r="G69" s="70" t="str">
        <f>if('source-upstream'!G69="",'schema-yn'!$A$5,vlookup('source-upstream'!G69,YN_MAP,3,FALSE))</f>
        <v>yes</v>
      </c>
      <c r="H69" s="70" t="str">
        <f>if('source-upstream'!H69="",'schema-yn'!$A$5,vlookup('source-upstream'!H69,RESILIENCE_OPTION_MAP,3,FALSE))</f>
        <v>alternative-supplier</v>
      </c>
      <c r="I69" s="70" t="str">
        <f>if(iserror(vlookup('source-upstream'!I69,'data-cleansing-maps'!N$5:N$10,1,FALSE)),'source-upstream'!I69,"")</f>
        <v/>
      </c>
      <c r="J69" s="89" t="str">
        <f>'source-upstream'!J69</f>
        <v>Possible short term down time. Alternative business processes until supply is resumed</v>
      </c>
      <c r="K69" s="70" t="str">
        <f>if('source-upstream'!K69="",'schema-yn'!$A$5,vlookup('source-upstream'!K69,YN_MAP,3,FALSE))</f>
        <v>not-provided</v>
      </c>
      <c r="L69" s="89" t="str">
        <f>if('source-upstream'!L69="Not provided","",'source-upstream'!L69)</f>
        <v/>
      </c>
      <c r="M69" s="65" t="str">
        <f>if('source-upstream'!M69="",'schema-rv-services'!$B$26,vlookup(vlookup('source-upstream'!$M69,'analysis-rv-services'!$C:$E,3,FALSE),'schema-rv-services'!$A:$B,2, FALSE))</f>
        <v>feedstock</v>
      </c>
      <c r="N69" s="70"/>
    </row>
    <row r="70" ht="15.0" customHeight="1">
      <c r="A70" s="88" t="str">
        <f>Substitute(SUBSTITUTE(substitute(substitute(substitute(substitute(substitute(substitute(substitute(lower('source-upstream'!A70)," ","-"),"(",""),")",""),"&gt;",""),"&lt;",""),"---","-"),".","-"),"--","-"),"&amp;","-and-")</f>
        <v>golden-possum</v>
      </c>
      <c r="B70" s="88" t="str">
        <f>Substitute(SUBSTITUTE(substitute(substitute(substitute(substitute(substitute(substitute(substitute(lower('source-upstream'!B70)," ","-"),"(",""),")",""),"&gt;",""),"&lt;",""),"---","-"),".","-"),"--","-"),"&amp;","-and-")</f>
        <v>red-numbat</v>
      </c>
      <c r="C70" s="70" t="str">
        <f>if('source-upstream'!C70="",'schema-frequency'!$B$11,vlookup('source-upstream'!C70,FREQUENCY_MAP, 3, FALSE))</f>
        <v>not-provided</v>
      </c>
      <c r="D70" s="89" t="str">
        <f>'source-upstream'!D70</f>
        <v>Public drop off location</v>
      </c>
      <c r="E70" s="70" t="str">
        <f>if('source-upstream'!E70="",'schema-yn'!$A$5,vlookup('source-upstream'!E70,YN_MAP,3,FALSE))</f>
        <v>no</v>
      </c>
      <c r="F70" s="70" t="str">
        <f>if('source-upstream'!F70="",'schema-yn'!$A$5,vlookup('source-upstream'!F70,YN_MAP,3,FALSE))</f>
        <v>no</v>
      </c>
      <c r="G70" s="70" t="str">
        <f>if('source-upstream'!G70="",'schema-yn'!$A$5,vlookup('source-upstream'!G70,YN_MAP,3,FALSE))</f>
        <v>yes</v>
      </c>
      <c r="H70" s="70" t="str">
        <f>if('source-upstream'!H70="",'schema-yn'!$A$5,vlookup('source-upstream'!H70,RESILIENCE_OPTION_MAP,3,FALSE))</f>
        <v>alternative-supplier</v>
      </c>
      <c r="I70" s="70" t="str">
        <f>if(iserror(vlookup('source-upstream'!I70,'data-cleansing-maps'!N$5:N$10,1,FALSE)),'source-upstream'!I70,"")</f>
        <v/>
      </c>
      <c r="J70" s="89" t="str">
        <f>'source-upstream'!J70</f>
        <v>Possible short term down time. Alternative business processes until supply is resumed</v>
      </c>
      <c r="K70" s="70" t="str">
        <f>if('source-upstream'!K70="",'schema-yn'!$A$5,vlookup('source-upstream'!K70,YN_MAP,3,FALSE))</f>
        <v>not-provided</v>
      </c>
      <c r="L70" s="89" t="str">
        <f>if('source-upstream'!L70="Not provided","",'source-upstream'!L70)</f>
        <v/>
      </c>
      <c r="M70" s="65" t="str">
        <f>if('source-upstream'!M70="",'schema-rv-services'!$B$26,vlookup(vlookup('source-upstream'!$M70,'analysis-rv-services'!$C:$E,3,FALSE),'schema-rv-services'!$A:$B,2, FALSE))</f>
        <v>feedstock</v>
      </c>
      <c r="N70" s="70"/>
    </row>
    <row r="71" ht="15.0" customHeight="1">
      <c r="A71" s="88" t="str">
        <f>Substitute(SUBSTITUTE(substitute(substitute(substitute(substitute(substitute(substitute(substitute(lower('source-upstream'!A71)," ","-"),"(",""),")",""),"&gt;",""),"&lt;",""),"---","-"),".","-"),"--","-"),"&amp;","-and-")</f>
        <v>golden-possum</v>
      </c>
      <c r="B71" s="88" t="str">
        <f>Substitute(SUBSTITUTE(substitute(substitute(substitute(substitute(substitute(substitute(substitute(lower('source-upstream'!B71)," ","-"),"(",""),")",""),"&gt;",""),"&lt;",""),"---","-"),".","-"),"--","-"),"&amp;","-and-")</f>
        <v>red-numbat</v>
      </c>
      <c r="C71" s="70" t="str">
        <f>if('source-upstream'!C71="",'schema-frequency'!$B$11,vlookup('source-upstream'!C71,FREQUENCY_MAP, 3, FALSE))</f>
        <v>not-provided</v>
      </c>
      <c r="D71" s="89" t="str">
        <f>'source-upstream'!D71</f>
        <v>Public drop off location</v>
      </c>
      <c r="E71" s="70" t="str">
        <f>if('source-upstream'!E71="",'schema-yn'!$A$5,vlookup('source-upstream'!E71,YN_MAP,3,FALSE))</f>
        <v>no</v>
      </c>
      <c r="F71" s="70" t="str">
        <f>if('source-upstream'!F71="",'schema-yn'!$A$5,vlookup('source-upstream'!F71,YN_MAP,3,FALSE))</f>
        <v>no</v>
      </c>
      <c r="G71" s="70" t="str">
        <f>if('source-upstream'!G71="",'schema-yn'!$A$5,vlookup('source-upstream'!G71,YN_MAP,3,FALSE))</f>
        <v>yes</v>
      </c>
      <c r="H71" s="70" t="str">
        <f>if('source-upstream'!H71="",'schema-yn'!$A$5,vlookup('source-upstream'!H71,RESILIENCE_OPTION_MAP,3,FALSE))</f>
        <v>alternative-supplier</v>
      </c>
      <c r="I71" s="70" t="str">
        <f>if(iserror(vlookup('source-upstream'!I71,'data-cleansing-maps'!N$5:N$10,1,FALSE)),'source-upstream'!I71,"")</f>
        <v/>
      </c>
      <c r="J71" s="89" t="str">
        <f>'source-upstream'!J71</f>
        <v>Possible short term down time. Alternative business processes until supply is resumed</v>
      </c>
      <c r="K71" s="70" t="str">
        <f>if('source-upstream'!K71="",'schema-yn'!$A$5,vlookup('source-upstream'!K71,YN_MAP,3,FALSE))</f>
        <v>not-provided</v>
      </c>
      <c r="L71" s="89" t="str">
        <f>if('source-upstream'!L71="Not provided","",'source-upstream'!L71)</f>
        <v/>
      </c>
      <c r="M71" s="65" t="str">
        <f>if('source-upstream'!M71="",'schema-rv-services'!$B$26,vlookup(vlookup('source-upstream'!$M71,'analysis-rv-services'!$C:$E,3,FALSE),'schema-rv-services'!$A:$B,2, FALSE))</f>
        <v>feedstock</v>
      </c>
      <c r="N71" s="70"/>
    </row>
    <row r="72" ht="15.0" customHeight="1">
      <c r="A72" s="88" t="str">
        <f>Substitute(SUBSTITUTE(substitute(substitute(substitute(substitute(substitute(substitute(substitute(lower('source-upstream'!A72)," ","-"),"(",""),")",""),"&gt;",""),"&lt;",""),"---","-"),".","-"),"--","-"),"&amp;","-and-")</f>
        <v>golden-possum</v>
      </c>
      <c r="B72" s="88" t="str">
        <f>Substitute(SUBSTITUTE(substitute(substitute(substitute(substitute(substitute(substitute(substitute(lower('source-upstream'!B72)," ","-"),"(",""),")",""),"&gt;",""),"&lt;",""),"---","-"),".","-"),"--","-"),"&amp;","-and-")</f>
        <v>red-numbat</v>
      </c>
      <c r="C72" s="70" t="str">
        <f>if('source-upstream'!C72="",'schema-frequency'!$B$11,vlookup('source-upstream'!C72,FREQUENCY_MAP, 3, FALSE))</f>
        <v>not-provided</v>
      </c>
      <c r="D72" s="89" t="str">
        <f>'source-upstream'!D72</f>
        <v>Public drop off location</v>
      </c>
      <c r="E72" s="70" t="str">
        <f>if('source-upstream'!E72="",'schema-yn'!$A$5,vlookup('source-upstream'!E72,YN_MAP,3,FALSE))</f>
        <v>no</v>
      </c>
      <c r="F72" s="70" t="str">
        <f>if('source-upstream'!F72="",'schema-yn'!$A$5,vlookup('source-upstream'!F72,YN_MAP,3,FALSE))</f>
        <v>no</v>
      </c>
      <c r="G72" s="70" t="str">
        <f>if('source-upstream'!G72="",'schema-yn'!$A$5,vlookup('source-upstream'!G72,YN_MAP,3,FALSE))</f>
        <v>yes</v>
      </c>
      <c r="H72" s="70" t="str">
        <f>if('source-upstream'!H72="",'schema-yn'!$A$5,vlookup('source-upstream'!H72,RESILIENCE_OPTION_MAP,3,FALSE))</f>
        <v>alternative-supplier</v>
      </c>
      <c r="I72" s="70" t="str">
        <f>if(iserror(vlookup('source-upstream'!I72,'data-cleansing-maps'!N$5:N$10,1,FALSE)),'source-upstream'!I72,"")</f>
        <v/>
      </c>
      <c r="J72" s="89" t="str">
        <f>'source-upstream'!J72</f>
        <v>Possible short term down time. Alternative business processes until supply is resumed</v>
      </c>
      <c r="K72" s="70" t="str">
        <f>if('source-upstream'!K72="",'schema-yn'!$A$5,vlookup('source-upstream'!K72,YN_MAP,3,FALSE))</f>
        <v>not-provided</v>
      </c>
      <c r="L72" s="89" t="str">
        <f>if('source-upstream'!L72="Not provided","",'source-upstream'!L72)</f>
        <v/>
      </c>
      <c r="M72" s="65" t="str">
        <f>if('source-upstream'!M72="",'schema-rv-services'!$B$26,vlookup(vlookup('source-upstream'!$M72,'analysis-rv-services'!$C:$E,3,FALSE),'schema-rv-services'!$A:$B,2, FALSE))</f>
        <v>feedstock</v>
      </c>
      <c r="N72" s="70"/>
    </row>
    <row r="73" ht="15.0" customHeight="1">
      <c r="A73" s="88" t="str">
        <f>Substitute(SUBSTITUTE(substitute(substitute(substitute(substitute(substitute(substitute(substitute(lower('source-upstream'!A73)," ","-"),"(",""),")",""),"&gt;",""),"&lt;",""),"---","-"),".","-"),"--","-"),"&amp;","-and-")</f>
        <v>golden-possum</v>
      </c>
      <c r="B73" s="88" t="str">
        <f>Substitute(SUBSTITUTE(substitute(substitute(substitute(substitute(substitute(substitute(substitute(lower('source-upstream'!B73)," ","-"),"(",""),")",""),"&gt;",""),"&lt;",""),"---","-"),".","-"),"--","-"),"&amp;","-and-")</f>
        <v>red-numbat</v>
      </c>
      <c r="C73" s="70" t="str">
        <f>if('source-upstream'!C73="",'schema-frequency'!$B$11,vlookup('source-upstream'!C73,FREQUENCY_MAP, 3, FALSE))</f>
        <v>not-provided</v>
      </c>
      <c r="D73" s="89" t="str">
        <f>'source-upstream'!D73</f>
        <v>Public drop off location</v>
      </c>
      <c r="E73" s="70" t="str">
        <f>if('source-upstream'!E73="",'schema-yn'!$A$5,vlookup('source-upstream'!E73,YN_MAP,3,FALSE))</f>
        <v>no</v>
      </c>
      <c r="F73" s="70" t="str">
        <f>if('source-upstream'!F73="",'schema-yn'!$A$5,vlookup('source-upstream'!F73,YN_MAP,3,FALSE))</f>
        <v>no</v>
      </c>
      <c r="G73" s="70" t="str">
        <f>if('source-upstream'!G73="",'schema-yn'!$A$5,vlookup('source-upstream'!G73,YN_MAP,3,FALSE))</f>
        <v>yes</v>
      </c>
      <c r="H73" s="70" t="str">
        <f>if('source-upstream'!H73="",'schema-yn'!$A$5,vlookup('source-upstream'!H73,RESILIENCE_OPTION_MAP,3,FALSE))</f>
        <v>alternative-supplier</v>
      </c>
      <c r="I73" s="70" t="str">
        <f>if(iserror(vlookup('source-upstream'!I73,'data-cleansing-maps'!N$5:N$10,1,FALSE)),'source-upstream'!I73,"")</f>
        <v/>
      </c>
      <c r="J73" s="89" t="str">
        <f>'source-upstream'!J73</f>
        <v>Possible short term down time. Alternative business processes until supply is resumed</v>
      </c>
      <c r="K73" s="70" t="str">
        <f>if('source-upstream'!K73="",'schema-yn'!$A$5,vlookup('source-upstream'!K73,YN_MAP,3,FALSE))</f>
        <v>not-provided</v>
      </c>
      <c r="L73" s="89" t="str">
        <f>if('source-upstream'!L73="Not provided","",'source-upstream'!L73)</f>
        <v/>
      </c>
      <c r="M73" s="65" t="str">
        <f>if('source-upstream'!M73="",'schema-rv-services'!$B$26,vlookup(vlookup('source-upstream'!$M73,'analysis-rv-services'!$C:$E,3,FALSE),'schema-rv-services'!$A:$B,2, FALSE))</f>
        <v>feedstock</v>
      </c>
      <c r="N73" s="70"/>
    </row>
    <row r="74" ht="15.0" customHeight="1">
      <c r="A74" s="88" t="str">
        <f>Substitute(SUBSTITUTE(substitute(substitute(substitute(substitute(substitute(substitute(substitute(lower('source-upstream'!A74)," ","-"),"(",""),")",""),"&gt;",""),"&lt;",""),"---","-"),".","-"),"--","-"),"&amp;","-and-")</f>
        <v>golden-possum</v>
      </c>
      <c r="B74" s="88" t="str">
        <f>Substitute(SUBSTITUTE(substitute(substitute(substitute(substitute(substitute(substitute(substitute(lower('source-upstream'!B74)," ","-"),"(",""),")",""),"&gt;",""),"&lt;",""),"---","-"),".","-"),"--","-"),"&amp;","-and-")</f>
        <v>red-numbat</v>
      </c>
      <c r="C74" s="70" t="str">
        <f>if('source-upstream'!C74="",'schema-frequency'!$B$11,vlookup('source-upstream'!C74,FREQUENCY_MAP, 3, FALSE))</f>
        <v>not-provided</v>
      </c>
      <c r="D74" s="89" t="str">
        <f>'source-upstream'!D74</f>
        <v>Public drop off location</v>
      </c>
      <c r="E74" s="70" t="str">
        <f>if('source-upstream'!E74="",'schema-yn'!$A$5,vlookup('source-upstream'!E74,YN_MAP,3,FALSE))</f>
        <v>no</v>
      </c>
      <c r="F74" s="70" t="str">
        <f>if('source-upstream'!F74="",'schema-yn'!$A$5,vlookup('source-upstream'!F74,YN_MAP,3,FALSE))</f>
        <v>no</v>
      </c>
      <c r="G74" s="70" t="str">
        <f>if('source-upstream'!G74="",'schema-yn'!$A$5,vlookup('source-upstream'!G74,YN_MAP,3,FALSE))</f>
        <v>yes</v>
      </c>
      <c r="H74" s="70" t="str">
        <f>if('source-upstream'!H74="",'schema-yn'!$A$5,vlookup('source-upstream'!H74,RESILIENCE_OPTION_MAP,3,FALSE))</f>
        <v>alternative-supplier</v>
      </c>
      <c r="I74" s="70" t="str">
        <f>if(iserror(vlookup('source-upstream'!I74,'data-cleansing-maps'!N$5:N$10,1,FALSE)),'source-upstream'!I74,"")</f>
        <v/>
      </c>
      <c r="J74" s="89" t="str">
        <f>'source-upstream'!J74</f>
        <v>Possible short term down time. Alternative business processes until supply is resumed</v>
      </c>
      <c r="K74" s="70" t="str">
        <f>if('source-upstream'!K74="",'schema-yn'!$A$5,vlookup('source-upstream'!K74,YN_MAP,3,FALSE))</f>
        <v>not-provided</v>
      </c>
      <c r="L74" s="89" t="str">
        <f>if('source-upstream'!L74="Not provided","",'source-upstream'!L74)</f>
        <v/>
      </c>
      <c r="M74" s="65" t="str">
        <f>if('source-upstream'!M74="",'schema-rv-services'!$B$26,vlookup(vlookup('source-upstream'!$M74,'analysis-rv-services'!$C:$E,3,FALSE),'schema-rv-services'!$A:$B,2, FALSE))</f>
        <v>feedstock</v>
      </c>
      <c r="N74" s="70"/>
    </row>
    <row r="75" ht="15.0" customHeight="1">
      <c r="A75" s="88" t="str">
        <f>Substitute(SUBSTITUTE(substitute(substitute(substitute(substitute(substitute(substitute(substitute(lower('source-upstream'!A75)," ","-"),"(",""),")",""),"&gt;",""),"&lt;",""),"---","-"),".","-"),"--","-"),"&amp;","-and-")</f>
        <v>golden-possum</v>
      </c>
      <c r="B75" s="88" t="str">
        <f>Substitute(SUBSTITUTE(substitute(substitute(substitute(substitute(substitute(substitute(substitute(lower('source-upstream'!B75)," ","-"),"(",""),")",""),"&gt;",""),"&lt;",""),"---","-"),".","-"),"--","-"),"&amp;","-and-")</f>
        <v>red-numbat</v>
      </c>
      <c r="C75" s="70" t="str">
        <f>if('source-upstream'!C75="",'schema-frequency'!$B$11,vlookup('source-upstream'!C75,FREQUENCY_MAP, 3, FALSE))</f>
        <v>not-provided</v>
      </c>
      <c r="D75" s="89" t="str">
        <f>'source-upstream'!D75</f>
        <v>Public drop off location</v>
      </c>
      <c r="E75" s="70" t="str">
        <f>if('source-upstream'!E75="",'schema-yn'!$A$5,vlookup('source-upstream'!E75,YN_MAP,3,FALSE))</f>
        <v>no</v>
      </c>
      <c r="F75" s="70" t="str">
        <f>if('source-upstream'!F75="",'schema-yn'!$A$5,vlookup('source-upstream'!F75,YN_MAP,3,FALSE))</f>
        <v>no</v>
      </c>
      <c r="G75" s="70" t="str">
        <f>if('source-upstream'!G75="",'schema-yn'!$A$5,vlookup('source-upstream'!G75,YN_MAP,3,FALSE))</f>
        <v>yes</v>
      </c>
      <c r="H75" s="70" t="str">
        <f>if('source-upstream'!H75="",'schema-yn'!$A$5,vlookup('source-upstream'!H75,RESILIENCE_OPTION_MAP,3,FALSE))</f>
        <v>alternative-supplier</v>
      </c>
      <c r="I75" s="70" t="str">
        <f>if(iserror(vlookup('source-upstream'!I75,'data-cleansing-maps'!N$5:N$10,1,FALSE)),'source-upstream'!I75,"")</f>
        <v/>
      </c>
      <c r="J75" s="89" t="str">
        <f>'source-upstream'!J75</f>
        <v>Possible short term down time. Alternative business processes until supply is resumed</v>
      </c>
      <c r="K75" s="70" t="str">
        <f>if('source-upstream'!K75="",'schema-yn'!$A$5,vlookup('source-upstream'!K75,YN_MAP,3,FALSE))</f>
        <v>not-provided</v>
      </c>
      <c r="L75" s="89" t="str">
        <f>if('source-upstream'!L75="Not provided","",'source-upstream'!L75)</f>
        <v/>
      </c>
      <c r="M75" s="65" t="str">
        <f>if('source-upstream'!M75="",'schema-rv-services'!$B$26,vlookup(vlookup('source-upstream'!$M75,'analysis-rv-services'!$C:$E,3,FALSE),'schema-rv-services'!$A:$B,2, FALSE))</f>
        <v>feedstock</v>
      </c>
      <c r="N75" s="70"/>
    </row>
    <row r="76" ht="15.0" customHeight="1">
      <c r="A76" s="88" t="str">
        <f>Substitute(SUBSTITUTE(substitute(substitute(substitute(substitute(substitute(substitute(substitute(lower('source-upstream'!A76)," ","-"),"(",""),")",""),"&gt;",""),"&lt;",""),"---","-"),".","-"),"--","-"),"&amp;","-and-")</f>
        <v>golden-possum</v>
      </c>
      <c r="B76" s="88" t="str">
        <f>Substitute(SUBSTITUTE(substitute(substitute(substitute(substitute(substitute(substitute(substitute(lower('source-upstream'!B76)," ","-"),"(",""),")",""),"&gt;",""),"&lt;",""),"---","-"),".","-"),"--","-"),"&amp;","-and-")</f>
        <v>red-numbat</v>
      </c>
      <c r="C76" s="70" t="str">
        <f>if('source-upstream'!C76="",'schema-frequency'!$B$11,vlookup('source-upstream'!C76,FREQUENCY_MAP, 3, FALSE))</f>
        <v>not-provided</v>
      </c>
      <c r="D76" s="89" t="str">
        <f>'source-upstream'!D76</f>
        <v>Public drop off location</v>
      </c>
      <c r="E76" s="70" t="str">
        <f>if('source-upstream'!E76="",'schema-yn'!$A$5,vlookup('source-upstream'!E76,YN_MAP,3,FALSE))</f>
        <v>no</v>
      </c>
      <c r="F76" s="70" t="str">
        <f>if('source-upstream'!F76="",'schema-yn'!$A$5,vlookup('source-upstream'!F76,YN_MAP,3,FALSE))</f>
        <v>no</v>
      </c>
      <c r="G76" s="70" t="str">
        <f>if('source-upstream'!G76="",'schema-yn'!$A$5,vlookup('source-upstream'!G76,YN_MAP,3,FALSE))</f>
        <v>yes</v>
      </c>
      <c r="H76" s="70" t="str">
        <f>if('source-upstream'!H76="",'schema-yn'!$A$5,vlookup('source-upstream'!H76,RESILIENCE_OPTION_MAP,3,FALSE))</f>
        <v>alternative-supplier</v>
      </c>
      <c r="I76" s="70" t="str">
        <f>if(iserror(vlookup('source-upstream'!I76,'data-cleansing-maps'!N$5:N$10,1,FALSE)),'source-upstream'!I76,"")</f>
        <v/>
      </c>
      <c r="J76" s="89" t="str">
        <f>'source-upstream'!J76</f>
        <v>Possible short term down time. Alternative business processes until supply is resumed</v>
      </c>
      <c r="K76" s="70" t="str">
        <f>if('source-upstream'!K76="",'schema-yn'!$A$5,vlookup('source-upstream'!K76,YN_MAP,3,FALSE))</f>
        <v>not-provided</v>
      </c>
      <c r="L76" s="89" t="str">
        <f>if('source-upstream'!L76="Not provided","",'source-upstream'!L76)</f>
        <v/>
      </c>
      <c r="M76" s="65" t="str">
        <f>if('source-upstream'!M76="",'schema-rv-services'!$B$26,vlookup(vlookup('source-upstream'!$M76,'analysis-rv-services'!$C:$E,3,FALSE),'schema-rv-services'!$A:$B,2, FALSE))</f>
        <v>feedstock</v>
      </c>
      <c r="N76" s="70"/>
    </row>
    <row r="77" ht="15.0" customHeight="1">
      <c r="A77" s="88" t="str">
        <f>Substitute(SUBSTITUTE(substitute(substitute(substitute(substitute(substitute(substitute(substitute(lower('source-upstream'!A77)," ","-"),"(",""),")",""),"&gt;",""),"&lt;",""),"---","-"),".","-"),"--","-"),"&amp;","-and-")</f>
        <v>golden-possum</v>
      </c>
      <c r="B77" s="88" t="str">
        <f>Substitute(SUBSTITUTE(substitute(substitute(substitute(substitute(substitute(substitute(substitute(lower('source-upstream'!B77)," ","-"),"(",""),")",""),"&gt;",""),"&lt;",""),"---","-"),".","-"),"--","-"),"&amp;","-and-")</f>
        <v>red-numbat</v>
      </c>
      <c r="C77" s="70" t="str">
        <f>if('source-upstream'!C77="",'schema-frequency'!$B$11,vlookup('source-upstream'!C77,FREQUENCY_MAP, 3, FALSE))</f>
        <v>not-provided</v>
      </c>
      <c r="D77" s="89" t="str">
        <f>'source-upstream'!D77</f>
        <v>Public drop off location</v>
      </c>
      <c r="E77" s="70" t="str">
        <f>if('source-upstream'!E77="",'schema-yn'!$A$5,vlookup('source-upstream'!E77,YN_MAP,3,FALSE))</f>
        <v>no</v>
      </c>
      <c r="F77" s="70" t="str">
        <f>if('source-upstream'!F77="",'schema-yn'!$A$5,vlookup('source-upstream'!F77,YN_MAP,3,FALSE))</f>
        <v>no</v>
      </c>
      <c r="G77" s="70" t="str">
        <f>if('source-upstream'!G77="",'schema-yn'!$A$5,vlookup('source-upstream'!G77,YN_MAP,3,FALSE))</f>
        <v>yes</v>
      </c>
      <c r="H77" s="70" t="str">
        <f>if('source-upstream'!H77="",'schema-yn'!$A$5,vlookup('source-upstream'!H77,RESILIENCE_OPTION_MAP,3,FALSE))</f>
        <v>alternative-supplier</v>
      </c>
      <c r="I77" s="70" t="str">
        <f>if(iserror(vlookup('source-upstream'!I77,'data-cleansing-maps'!N$5:N$10,1,FALSE)),'source-upstream'!I77,"")</f>
        <v/>
      </c>
      <c r="J77" s="89" t="str">
        <f>'source-upstream'!J77</f>
        <v>Possible short term down time. Alternative business processes until supply is resumed</v>
      </c>
      <c r="K77" s="70" t="str">
        <f>if('source-upstream'!K77="",'schema-yn'!$A$5,vlookup('source-upstream'!K77,YN_MAP,3,FALSE))</f>
        <v>not-provided</v>
      </c>
      <c r="L77" s="89" t="str">
        <f>if('source-upstream'!L77="Not provided","",'source-upstream'!L77)</f>
        <v/>
      </c>
      <c r="M77" s="65" t="str">
        <f>if('source-upstream'!M77="",'schema-rv-services'!$B$26,vlookup(vlookup('source-upstream'!$M77,'analysis-rv-services'!$C:$E,3,FALSE),'schema-rv-services'!$A:$B,2, FALSE))</f>
        <v>feedstock</v>
      </c>
      <c r="N77" s="70"/>
    </row>
    <row r="78" ht="15.0" customHeight="1">
      <c r="A78" s="88" t="str">
        <f>Substitute(SUBSTITUTE(substitute(substitute(substitute(substitute(substitute(substitute(substitute(lower('source-upstream'!A78)," ","-"),"(",""),")",""),"&gt;",""),"&lt;",""),"---","-"),".","-"),"--","-"),"&amp;","-and-")</f>
        <v>golden-possum</v>
      </c>
      <c r="B78" s="88" t="str">
        <f>Substitute(SUBSTITUTE(substitute(substitute(substitute(substitute(substitute(substitute(substitute(lower('source-upstream'!B78)," ","-"),"(",""),")",""),"&gt;",""),"&lt;",""),"---","-"),".","-"),"--","-"),"&amp;","-and-")</f>
        <v>red-numbat</v>
      </c>
      <c r="C78" s="70" t="str">
        <f>if('source-upstream'!C78="",'schema-frequency'!$B$11,vlookup('source-upstream'!C78,FREQUENCY_MAP, 3, FALSE))</f>
        <v>not-provided</v>
      </c>
      <c r="D78" s="89" t="str">
        <f>'source-upstream'!D78</f>
        <v>Public drop off location</v>
      </c>
      <c r="E78" s="70" t="str">
        <f>if('source-upstream'!E78="",'schema-yn'!$A$5,vlookup('source-upstream'!E78,YN_MAP,3,FALSE))</f>
        <v>no</v>
      </c>
      <c r="F78" s="70" t="str">
        <f>if('source-upstream'!F78="",'schema-yn'!$A$5,vlookup('source-upstream'!F78,YN_MAP,3,FALSE))</f>
        <v>no</v>
      </c>
      <c r="G78" s="70" t="str">
        <f>if('source-upstream'!G78="",'schema-yn'!$A$5,vlookup('source-upstream'!G78,YN_MAP,3,FALSE))</f>
        <v>yes</v>
      </c>
      <c r="H78" s="70" t="str">
        <f>if('source-upstream'!H78="",'schema-yn'!$A$5,vlookup('source-upstream'!H78,RESILIENCE_OPTION_MAP,3,FALSE))</f>
        <v>alternative-supplier</v>
      </c>
      <c r="I78" s="70" t="str">
        <f>if(iserror(vlookup('source-upstream'!I78,'data-cleansing-maps'!N$5:N$10,1,FALSE)),'source-upstream'!I78,"")</f>
        <v/>
      </c>
      <c r="J78" s="89" t="str">
        <f>'source-upstream'!J78</f>
        <v>Possible short term down time. Alternative business processes until supply is resumed</v>
      </c>
      <c r="K78" s="70" t="str">
        <f>if('source-upstream'!K78="",'schema-yn'!$A$5,vlookup('source-upstream'!K78,YN_MAP,3,FALSE))</f>
        <v>not-provided</v>
      </c>
      <c r="L78" s="89" t="str">
        <f>if('source-upstream'!L78="Not provided","",'source-upstream'!L78)</f>
        <v/>
      </c>
      <c r="M78" s="65" t="str">
        <f>if('source-upstream'!M78="",'schema-rv-services'!$B$26,vlookup(vlookup('source-upstream'!$M78,'analysis-rv-services'!$C:$E,3,FALSE),'schema-rv-services'!$A:$B,2, FALSE))</f>
        <v>feedstock</v>
      </c>
      <c r="N78" s="70"/>
    </row>
    <row r="79" ht="15.0" customHeight="1">
      <c r="A79" s="88" t="str">
        <f>Substitute(SUBSTITUTE(substitute(substitute(substitute(substitute(substitute(substitute(substitute(lower('source-upstream'!A79)," ","-"),"(",""),")",""),"&gt;",""),"&lt;",""),"---","-"),".","-"),"--","-"),"&amp;","-and-")</f>
        <v>golden-possum</v>
      </c>
      <c r="B79" s="88" t="str">
        <f>Substitute(SUBSTITUTE(substitute(substitute(substitute(substitute(substitute(substitute(substitute(lower('source-upstream'!B79)," ","-"),"(",""),")",""),"&gt;",""),"&lt;",""),"---","-"),".","-"),"--","-"),"&amp;","-and-")</f>
        <v>red-numbat</v>
      </c>
      <c r="C79" s="70" t="str">
        <f>if('source-upstream'!C79="",'schema-frequency'!$B$11,vlookup('source-upstream'!C79,FREQUENCY_MAP, 3, FALSE))</f>
        <v>not-provided</v>
      </c>
      <c r="D79" s="89" t="str">
        <f>'source-upstream'!D79</f>
        <v>Public drop off location</v>
      </c>
      <c r="E79" s="70" t="str">
        <f>if('source-upstream'!E79="",'schema-yn'!$A$5,vlookup('source-upstream'!E79,YN_MAP,3,FALSE))</f>
        <v>no</v>
      </c>
      <c r="F79" s="70" t="str">
        <f>if('source-upstream'!F79="",'schema-yn'!$A$5,vlookup('source-upstream'!F79,YN_MAP,3,FALSE))</f>
        <v>no</v>
      </c>
      <c r="G79" s="70" t="str">
        <f>if('source-upstream'!G79="",'schema-yn'!$A$5,vlookup('source-upstream'!G79,YN_MAP,3,FALSE))</f>
        <v>yes</v>
      </c>
      <c r="H79" s="70" t="str">
        <f>if('source-upstream'!H79="",'schema-yn'!$A$5,vlookup('source-upstream'!H79,RESILIENCE_OPTION_MAP,3,FALSE))</f>
        <v>alternative-supplier</v>
      </c>
      <c r="I79" s="70" t="str">
        <f>if(iserror(vlookup('source-upstream'!I79,'data-cleansing-maps'!N$5:N$10,1,FALSE)),'source-upstream'!I79,"")</f>
        <v/>
      </c>
      <c r="J79" s="89" t="str">
        <f>'source-upstream'!J79</f>
        <v>Possible short term down time. Alternative business processes until supply is resumed</v>
      </c>
      <c r="K79" s="70" t="str">
        <f>if('source-upstream'!K79="",'schema-yn'!$A$5,vlookup('source-upstream'!K79,YN_MAP,3,FALSE))</f>
        <v>not-provided</v>
      </c>
      <c r="L79" s="89" t="str">
        <f>if('source-upstream'!L79="Not provided","",'source-upstream'!L79)</f>
        <v/>
      </c>
      <c r="M79" s="65" t="str">
        <f>if('source-upstream'!M79="",'schema-rv-services'!$B$26,vlookup(vlookup('source-upstream'!$M79,'analysis-rv-services'!$C:$E,3,FALSE),'schema-rv-services'!$A:$B,2, FALSE))</f>
        <v>feedstock</v>
      </c>
      <c r="N79" s="70"/>
    </row>
    <row r="80" ht="15.0" customHeight="1">
      <c r="A80" s="88" t="str">
        <f>Substitute(SUBSTITUTE(substitute(substitute(substitute(substitute(substitute(substitute(substitute(lower('source-upstream'!A80)," ","-"),"(",""),")",""),"&gt;",""),"&lt;",""),"---","-"),".","-"),"--","-"),"&amp;","-and-")</f>
        <v>golden-possum</v>
      </c>
      <c r="B80" s="88" t="str">
        <f>Substitute(SUBSTITUTE(substitute(substitute(substitute(substitute(substitute(substitute(substitute(lower('source-upstream'!B80)," ","-"),"(",""),")",""),"&gt;",""),"&lt;",""),"---","-"),".","-"),"--","-"),"&amp;","-and-")</f>
        <v>red-numbat</v>
      </c>
      <c r="C80" s="70" t="str">
        <f>if('source-upstream'!C80="",'schema-frequency'!$B$11,vlookup('source-upstream'!C80,FREQUENCY_MAP, 3, FALSE))</f>
        <v>not-provided</v>
      </c>
      <c r="D80" s="89" t="str">
        <f>'source-upstream'!D80</f>
        <v>Public drop off location</v>
      </c>
      <c r="E80" s="70" t="str">
        <f>if('source-upstream'!E80="",'schema-yn'!$A$5,vlookup('source-upstream'!E80,YN_MAP,3,FALSE))</f>
        <v>no</v>
      </c>
      <c r="F80" s="70" t="str">
        <f>if('source-upstream'!F80="",'schema-yn'!$A$5,vlookup('source-upstream'!F80,YN_MAP,3,FALSE))</f>
        <v>no</v>
      </c>
      <c r="G80" s="70" t="str">
        <f>if('source-upstream'!G80="",'schema-yn'!$A$5,vlookup('source-upstream'!G80,YN_MAP,3,FALSE))</f>
        <v>yes</v>
      </c>
      <c r="H80" s="70" t="str">
        <f>if('source-upstream'!H80="",'schema-yn'!$A$5,vlookup('source-upstream'!H80,RESILIENCE_OPTION_MAP,3,FALSE))</f>
        <v>alternative-supplier</v>
      </c>
      <c r="I80" s="70" t="str">
        <f>if(iserror(vlookup('source-upstream'!I80,'data-cleansing-maps'!N$5:N$10,1,FALSE)),'source-upstream'!I80,"")</f>
        <v/>
      </c>
      <c r="J80" s="89" t="str">
        <f>'source-upstream'!J80</f>
        <v>Possible short term down time. Alternative business processes until supply is resumed</v>
      </c>
      <c r="K80" s="70" t="str">
        <f>if('source-upstream'!K80="",'schema-yn'!$A$5,vlookup('source-upstream'!K80,YN_MAP,3,FALSE))</f>
        <v>not-provided</v>
      </c>
      <c r="L80" s="89" t="str">
        <f>if('source-upstream'!L80="Not provided","",'source-upstream'!L80)</f>
        <v/>
      </c>
      <c r="M80" s="65" t="str">
        <f>if('source-upstream'!M80="",'schema-rv-services'!$B$26,vlookup(vlookup('source-upstream'!$M80,'analysis-rv-services'!$C:$E,3,FALSE),'schema-rv-services'!$A:$B,2, FALSE))</f>
        <v>feedstock</v>
      </c>
      <c r="N80" s="70"/>
    </row>
    <row r="81" ht="15.0" customHeight="1">
      <c r="A81" s="88" t="str">
        <f>Substitute(SUBSTITUTE(substitute(substitute(substitute(substitute(substitute(substitute(substitute(lower('source-upstream'!A81)," ","-"),"(",""),")",""),"&gt;",""),"&lt;",""),"---","-"),".","-"),"--","-"),"&amp;","-and-")</f>
        <v>golden-possum</v>
      </c>
      <c r="B81" s="88" t="str">
        <f>Substitute(SUBSTITUTE(substitute(substitute(substitute(substitute(substitute(substitute(substitute(lower('source-upstream'!B81)," ","-"),"(",""),")",""),"&gt;",""),"&lt;",""),"---","-"),".","-"),"--","-"),"&amp;","-and-")</f>
        <v>red-numbat</v>
      </c>
      <c r="C81" s="70" t="str">
        <f>if('source-upstream'!C81="",'schema-frequency'!$B$11,vlookup('source-upstream'!C81,FREQUENCY_MAP, 3, FALSE))</f>
        <v>not-provided</v>
      </c>
      <c r="D81" s="89" t="str">
        <f>'source-upstream'!D81</f>
        <v>Public drop off location</v>
      </c>
      <c r="E81" s="70" t="str">
        <f>if('source-upstream'!E81="",'schema-yn'!$A$5,vlookup('source-upstream'!E81,YN_MAP,3,FALSE))</f>
        <v>no</v>
      </c>
      <c r="F81" s="70" t="str">
        <f>if('source-upstream'!F81="",'schema-yn'!$A$5,vlookup('source-upstream'!F81,YN_MAP,3,FALSE))</f>
        <v>no</v>
      </c>
      <c r="G81" s="70" t="str">
        <f>if('source-upstream'!G81="",'schema-yn'!$A$5,vlookup('source-upstream'!G81,YN_MAP,3,FALSE))</f>
        <v>yes</v>
      </c>
      <c r="H81" s="70" t="str">
        <f>if('source-upstream'!H81="",'schema-yn'!$A$5,vlookup('source-upstream'!H81,RESILIENCE_OPTION_MAP,3,FALSE))</f>
        <v>alternative-supplier</v>
      </c>
      <c r="I81" s="70" t="str">
        <f>if(iserror(vlookup('source-upstream'!I81,'data-cleansing-maps'!N$5:N$10,1,FALSE)),'source-upstream'!I81,"")</f>
        <v/>
      </c>
      <c r="J81" s="89" t="str">
        <f>'source-upstream'!J81</f>
        <v>Possible short term down time. Alternative business processes until supply is resumed</v>
      </c>
      <c r="K81" s="70" t="str">
        <f>if('source-upstream'!K81="",'schema-yn'!$A$5,vlookup('source-upstream'!K81,YN_MAP,3,FALSE))</f>
        <v>not-provided</v>
      </c>
      <c r="L81" s="89" t="str">
        <f>if('source-upstream'!L81="Not provided","",'source-upstream'!L81)</f>
        <v/>
      </c>
      <c r="M81" s="65" t="str">
        <f>if('source-upstream'!M81="",'schema-rv-services'!$B$26,vlookup(vlookup('source-upstream'!$M81,'analysis-rv-services'!$C:$E,3,FALSE),'schema-rv-services'!$A:$B,2, FALSE))</f>
        <v>feedstock</v>
      </c>
      <c r="N81" s="70"/>
    </row>
    <row r="82" ht="15.0" customHeight="1">
      <c r="A82" s="88" t="str">
        <f>Substitute(SUBSTITUTE(substitute(substitute(substitute(substitute(substitute(substitute(substitute(lower('source-upstream'!A82)," ","-"),"(",""),")",""),"&gt;",""),"&lt;",""),"---","-"),".","-"),"--","-"),"&amp;","-and-")</f>
        <v>lazy-lyrebird</v>
      </c>
      <c r="B82" s="88" t="str">
        <f>Substitute(SUBSTITUTE(substitute(substitute(substitute(substitute(substitute(substitute(substitute(lower('source-upstream'!B82)," ","-"),"(",""),")",""),"&gt;",""),"&lt;",""),"---","-"),".","-"),"--","-"),"&amp;","-and-")</f>
        <v>spotted-possum</v>
      </c>
      <c r="C82" s="70" t="str">
        <f>if('source-upstream'!C82="",'schema-frequency'!$B$11,vlookup('source-upstream'!C82,FREQUENCY_MAP, 3, FALSE))</f>
        <v>daily</v>
      </c>
      <c r="D82" s="89" t="str">
        <f>'source-upstream'!D82</f>
        <v>Transport - feedstock</v>
      </c>
      <c r="E82" s="70" t="str">
        <f>if('source-upstream'!E82="",'schema-yn'!$A$5,vlookup('source-upstream'!E82,YN_MAP,3,FALSE))</f>
        <v>not-provided</v>
      </c>
      <c r="F82" s="70" t="str">
        <f>if('source-upstream'!F82="",'schema-yn'!$A$5,vlookup('source-upstream'!F82,YN_MAP,3,FALSE))</f>
        <v>not-provided</v>
      </c>
      <c r="G82" s="70" t="str">
        <f>if('source-upstream'!G82="",'schema-yn'!$A$5,vlookup('source-upstream'!G82,YN_MAP,3,FALSE))</f>
        <v>not-provided</v>
      </c>
      <c r="H82" s="70" t="str">
        <f>if('source-upstream'!H82="",'schema-yn'!$A$5,vlookup('source-upstream'!H82,RESILIENCE_OPTION_MAP,3,FALSE))</f>
        <v>not-provided</v>
      </c>
      <c r="I82" s="70" t="str">
        <f>if(iserror(vlookup('source-upstream'!I82,'data-cleansing-maps'!N$5:N$10,1,FALSE)),'source-upstream'!I82,"")</f>
        <v/>
      </c>
      <c r="J82" s="89" t="str">
        <f>'source-upstream'!J82</f>
        <v>Impact of disruption - Materials cannot be received on site</v>
      </c>
      <c r="K82" s="70" t="str">
        <f>if('source-upstream'!K82="",'schema-yn'!$A$5,vlookup('source-upstream'!K82,YN_MAP,3,FALSE))</f>
        <v>not-provided</v>
      </c>
      <c r="L82" s="89" t="str">
        <f>if('source-upstream'!L82="Not provided","",'source-upstream'!L82)</f>
        <v/>
      </c>
      <c r="M82" s="65" t="str">
        <f>if('source-upstream'!M82="",'schema-rv-services'!$B$26,vlookup(vlookup('source-upstream'!$M82,'analysis-rv-services'!$C:$E,3,FALSE),'schema-rv-services'!$A:$B,2, FALSE))</f>
        <v>transport</v>
      </c>
      <c r="N82" s="70"/>
    </row>
    <row r="83" ht="15.0" customHeight="1">
      <c r="A83" s="88" t="str">
        <f>Substitute(SUBSTITUTE(substitute(substitute(substitute(substitute(substitute(substitute(substitute(lower('source-upstream'!A83)," ","-"),"(",""),")",""),"&gt;",""),"&lt;",""),"---","-"),".","-"),"--","-"),"&amp;","-and-")</f>
        <v>lazy-lyrebird</v>
      </c>
      <c r="B83" s="88" t="str">
        <f>Substitute(SUBSTITUTE(substitute(substitute(substitute(substitute(substitute(substitute(substitute(lower('source-upstream'!B83)," ","-"),"(",""),")",""),"&gt;",""),"&lt;",""),"---","-"),".","-"),"--","-"),"&amp;","-and-")</f>
        <v>golden-kookaburra</v>
      </c>
      <c r="C83" s="70" t="str">
        <f>if('source-upstream'!C83="",'schema-frequency'!$B$11,vlookup('source-upstream'!C83,FREQUENCY_MAP, 3, FALSE))</f>
        <v>daily</v>
      </c>
      <c r="D83" s="89" t="str">
        <f>'source-upstream'!D83</f>
        <v>Transport - feedstock</v>
      </c>
      <c r="E83" s="70" t="str">
        <f>if('source-upstream'!E83="",'schema-yn'!$A$5,vlookup('source-upstream'!E83,YN_MAP,3,FALSE))</f>
        <v>not-provided</v>
      </c>
      <c r="F83" s="70" t="str">
        <f>if('source-upstream'!F83="",'schema-yn'!$A$5,vlookup('source-upstream'!F83,YN_MAP,3,FALSE))</f>
        <v>not-provided</v>
      </c>
      <c r="G83" s="70" t="str">
        <f>if('source-upstream'!G83="",'schema-yn'!$A$5,vlookup('source-upstream'!G83,YN_MAP,3,FALSE))</f>
        <v>not-provided</v>
      </c>
      <c r="H83" s="70" t="str">
        <f>if('source-upstream'!H83="",'schema-yn'!$A$5,vlookup('source-upstream'!H83,RESILIENCE_OPTION_MAP,3,FALSE))</f>
        <v>not-provided</v>
      </c>
      <c r="I83" s="70" t="str">
        <f>if(iserror(vlookup('source-upstream'!I83,'data-cleansing-maps'!N$5:N$10,1,FALSE)),'source-upstream'!I83,"")</f>
        <v/>
      </c>
      <c r="J83" s="89" t="str">
        <f>'source-upstream'!J83</f>
        <v>Impact of disruption - Materials cannot be received on site</v>
      </c>
      <c r="K83" s="70" t="str">
        <f>if('source-upstream'!K83="",'schema-yn'!$A$5,vlookup('source-upstream'!K83,YN_MAP,3,FALSE))</f>
        <v>not-provided</v>
      </c>
      <c r="L83" s="89" t="str">
        <f>if('source-upstream'!L83="Not provided","",'source-upstream'!L83)</f>
        <v/>
      </c>
      <c r="M83" s="65" t="str">
        <f>if('source-upstream'!M83="",'schema-rv-services'!$B$26,vlookup(vlookup('source-upstream'!$M83,'analysis-rv-services'!$C:$E,3,FALSE),'schema-rv-services'!$A:$B,2, FALSE))</f>
        <v>transport</v>
      </c>
      <c r="N83" s="70"/>
    </row>
    <row r="84" ht="15.0" customHeight="1">
      <c r="A84" s="88" t="str">
        <f>Substitute(SUBSTITUTE(substitute(substitute(substitute(substitute(substitute(substitute(substitute(lower('source-upstream'!A84)," ","-"),"(",""),")",""),"&gt;",""),"&lt;",""),"---","-"),".","-"),"--","-"),"&amp;","-and-")</f>
        <v>lazy-lyrebird</v>
      </c>
      <c r="B84" s="88" t="str">
        <f>Substitute(SUBSTITUTE(substitute(substitute(substitute(substitute(substitute(substitute(substitute(lower('source-upstream'!B84)," ","-"),"(",""),")",""),"&gt;",""),"&lt;",""),"---","-"),".","-"),"--","-"),"&amp;","-and-")</f>
        <v>sleepy-tree-kangaroo</v>
      </c>
      <c r="C84" s="70" t="str">
        <f>if('source-upstream'!C84="",'schema-frequency'!$B$11,vlookup('source-upstream'!C84,FREQUENCY_MAP, 3, FALSE))</f>
        <v>daily</v>
      </c>
      <c r="D84" s="89" t="str">
        <f>'source-upstream'!D84</f>
        <v>Transport - feedstock</v>
      </c>
      <c r="E84" s="70" t="str">
        <f>if('source-upstream'!E84="",'schema-yn'!$A$5,vlookup('source-upstream'!E84,YN_MAP,3,FALSE))</f>
        <v>not-provided</v>
      </c>
      <c r="F84" s="70" t="str">
        <f>if('source-upstream'!F84="",'schema-yn'!$A$5,vlookup('source-upstream'!F84,YN_MAP,3,FALSE))</f>
        <v>not-provided</v>
      </c>
      <c r="G84" s="70" t="str">
        <f>if('source-upstream'!G84="",'schema-yn'!$A$5,vlookup('source-upstream'!G84,YN_MAP,3,FALSE))</f>
        <v>not-provided</v>
      </c>
      <c r="H84" s="70" t="str">
        <f>if('source-upstream'!H84="",'schema-yn'!$A$5,vlookup('source-upstream'!H84,RESILIENCE_OPTION_MAP,3,FALSE))</f>
        <v>not-provided</v>
      </c>
      <c r="I84" s="70" t="str">
        <f>if(iserror(vlookup('source-upstream'!I84,'data-cleansing-maps'!N$5:N$10,1,FALSE)),'source-upstream'!I84,"")</f>
        <v/>
      </c>
      <c r="J84" s="89" t="str">
        <f>'source-upstream'!J84</f>
        <v>Impact of disruption - Materials cannot be received on site</v>
      </c>
      <c r="K84" s="70" t="str">
        <f>if('source-upstream'!K84="",'schema-yn'!$A$5,vlookup('source-upstream'!K84,YN_MAP,3,FALSE))</f>
        <v>not-provided</v>
      </c>
      <c r="L84" s="89" t="str">
        <f>if('source-upstream'!L84="Not provided","",'source-upstream'!L84)</f>
        <v/>
      </c>
      <c r="M84" s="65" t="str">
        <f>if('source-upstream'!M84="",'schema-rv-services'!$B$26,vlookup(vlookup('source-upstream'!$M84,'analysis-rv-services'!$C:$E,3,FALSE),'schema-rv-services'!$A:$B,2, FALSE))</f>
        <v>transport</v>
      </c>
      <c r="N84" s="70"/>
    </row>
    <row r="85" ht="15.0" customHeight="1">
      <c r="A85" s="88" t="str">
        <f>Substitute(SUBSTITUTE(substitute(substitute(substitute(substitute(substitute(substitute(substitute(lower('source-upstream'!A85)," ","-"),"(",""),")",""),"&gt;",""),"&lt;",""),"---","-"),".","-"),"--","-"),"&amp;","-and-")</f>
        <v>lazy-lyrebird</v>
      </c>
      <c r="B85" s="88" t="str">
        <f>Substitute(SUBSTITUTE(substitute(substitute(substitute(substitute(substitute(substitute(substitute(lower('source-upstream'!B85)," ","-"),"(",""),")",""),"&gt;",""),"&lt;",""),"---","-"),".","-"),"--","-"),"&amp;","-and-")</f>
        <v>swift-lyrebird</v>
      </c>
      <c r="C85" s="70" t="str">
        <f>if('source-upstream'!C85="",'schema-frequency'!$B$11,vlookup('source-upstream'!C85,FREQUENCY_MAP, 3, FALSE))</f>
        <v>daily</v>
      </c>
      <c r="D85" s="89" t="str">
        <f>'source-upstream'!D85</f>
        <v>Transport - feedstock</v>
      </c>
      <c r="E85" s="70" t="str">
        <f>if('source-upstream'!E85="",'schema-yn'!$A$5,vlookup('source-upstream'!E85,YN_MAP,3,FALSE))</f>
        <v>not-provided</v>
      </c>
      <c r="F85" s="70" t="str">
        <f>if('source-upstream'!F85="",'schema-yn'!$A$5,vlookup('source-upstream'!F85,YN_MAP,3,FALSE))</f>
        <v>not-provided</v>
      </c>
      <c r="G85" s="70" t="str">
        <f>if('source-upstream'!G85="",'schema-yn'!$A$5,vlookup('source-upstream'!G85,YN_MAP,3,FALSE))</f>
        <v>not-provided</v>
      </c>
      <c r="H85" s="70" t="str">
        <f>if('source-upstream'!H85="",'schema-yn'!$A$5,vlookup('source-upstream'!H85,RESILIENCE_OPTION_MAP,3,FALSE))</f>
        <v>not-provided</v>
      </c>
      <c r="I85" s="70" t="str">
        <f>if(iserror(vlookup('source-upstream'!I85,'data-cleansing-maps'!N$5:N$10,1,FALSE)),'source-upstream'!I85,"")</f>
        <v/>
      </c>
      <c r="J85" s="89" t="str">
        <f>'source-upstream'!J85</f>
        <v>Impact of disruption - cessation of major volumes of hazardous waste on site</v>
      </c>
      <c r="K85" s="70" t="str">
        <f>if('source-upstream'!K85="",'schema-yn'!$A$5,vlookup('source-upstream'!K85,YN_MAP,3,FALSE))</f>
        <v>not-provided</v>
      </c>
      <c r="L85" s="89" t="str">
        <f>if('source-upstream'!L85="Not provided","",'source-upstream'!L85)</f>
        <v/>
      </c>
      <c r="M85" s="65" t="str">
        <f>if('source-upstream'!M85="",'schema-rv-services'!$B$26,vlookup(vlookup('source-upstream'!$M85,'analysis-rv-services'!$C:$E,3,FALSE),'schema-rv-services'!$A:$B,2, FALSE))</f>
        <v>feedstock</v>
      </c>
      <c r="N85" s="70"/>
    </row>
    <row r="86" ht="15.0" customHeight="1">
      <c r="A86" s="88" t="str">
        <f>Substitute(SUBSTITUTE(substitute(substitute(substitute(substitute(substitute(substitute(substitute(lower('source-upstream'!A86)," ","-"),"(",""),")",""),"&gt;",""),"&lt;",""),"---","-"),".","-"),"--","-"),"&amp;","-and-")</f>
        <v>lazy-lyrebird</v>
      </c>
      <c r="B86" s="88" t="str">
        <f>Substitute(SUBSTITUTE(substitute(substitute(substitute(substitute(substitute(substitute(substitute(lower('source-upstream'!B86)," ","-"),"(",""),")",""),"&gt;",""),"&lt;",""),"---","-"),".","-"),"--","-"),"&amp;","-and-")</f>
        <v>lazy-fairy-penguin</v>
      </c>
      <c r="C86" s="70" t="str">
        <f>if('source-upstream'!C86="",'schema-frequency'!$B$11,vlookup('source-upstream'!C86,FREQUENCY_MAP, 3, FALSE))</f>
        <v>daily</v>
      </c>
      <c r="D86" s="89" t="str">
        <f>'source-upstream'!D86</f>
        <v>Landfill operators</v>
      </c>
      <c r="E86" s="70" t="str">
        <f>if('source-upstream'!E86="",'schema-yn'!$A$5,vlookup('source-upstream'!E86,YN_MAP,3,FALSE))</f>
        <v>not-provided</v>
      </c>
      <c r="F86" s="70" t="str">
        <f>if('source-upstream'!F86="",'schema-yn'!$A$5,vlookup('source-upstream'!F86,YN_MAP,3,FALSE))</f>
        <v>not-provided</v>
      </c>
      <c r="G86" s="70" t="str">
        <f>if('source-upstream'!G86="",'schema-yn'!$A$5,vlookup('source-upstream'!G86,YN_MAP,3,FALSE))</f>
        <v>not-provided</v>
      </c>
      <c r="H86" s="70" t="str">
        <f>if('source-upstream'!H86="",'schema-yn'!$A$5,vlookup('source-upstream'!H86,RESILIENCE_OPTION_MAP,3,FALSE))</f>
        <v>not-provided</v>
      </c>
      <c r="I86" s="70" t="str">
        <f>if(iserror(vlookup('source-upstream'!I86,'data-cleansing-maps'!N$5:N$10,1,FALSE)),'source-upstream'!I86,"")</f>
        <v/>
      </c>
      <c r="J86" s="89" t="str">
        <f>'source-upstream'!J86</f>
        <v>Operators of key equipment/activities. Effect of impact or disruption described by RE as: 
 '- Materials cannot be received 
 '- Waste compactors (1) to reach desired compactionon ratio. One spare compactor on site
 '- Bulldozer to push up waste for the compactor to process – one required to operate the tip face. One spare bulldozer on site.
 '- Cover: soil or other material used to cover the waste - all waste needs to be covered by end of day as per the EPA licence conditions.
 '- Requires 2 articulated dump trucks and excavator transporting site derived material each day</v>
      </c>
      <c r="K86" s="70" t="str">
        <f>if('source-upstream'!K86="",'schema-yn'!$A$5,vlookup('source-upstream'!K86,YN_MAP,3,FALSE))</f>
        <v>yes</v>
      </c>
      <c r="L86" s="89" t="str">
        <f>if('source-upstream'!L86="Not provided","",'source-upstream'!L86)</f>
        <v>This sounds like landfill site is owned by one party the operations are outsourced to another party which makes the third party, Grosvenor Lodge, a single point of failure.</v>
      </c>
      <c r="M86" s="65" t="str">
        <f>if('source-upstream'!M86="",'schema-rv-services'!$B$26,vlookup(vlookup('source-upstream'!$M86,'analysis-rv-services'!$C:$E,3,FALSE),'schema-rv-services'!$A:$B,2, FALSE))</f>
        <v>waste-disposal</v>
      </c>
      <c r="N86" s="70"/>
    </row>
    <row r="87" ht="15.0" customHeight="1">
      <c r="A87" s="88" t="str">
        <f>Substitute(SUBSTITUTE(substitute(substitute(substitute(substitute(substitute(substitute(substitute(lower('source-upstream'!A87)," ","-"),"(",""),")",""),"&gt;",""),"&lt;",""),"---","-"),".","-"),"--","-"),"&amp;","-and-")</f>
        <v>lazy-lyrebird</v>
      </c>
      <c r="B87" s="88" t="str">
        <f>Substitute(SUBSTITUTE(substitute(substitute(substitute(substitute(substitute(substitute(substitute(lower('source-upstream'!B87)," ","-"),"(",""),")",""),"&gt;",""),"&lt;",""),"---","-"),".","-"),"--","-"),"&amp;","-and-")</f>
        <v>shy-echidna</v>
      </c>
      <c r="C87" s="70" t="str">
        <f>if('source-upstream'!C87="",'schema-frequency'!$B$11,vlookup('source-upstream'!C87,FREQUENCY_MAP, 3, FALSE))</f>
        <v>annual</v>
      </c>
      <c r="D87" s="89" t="str">
        <f>'source-upstream'!D87</f>
        <v>Weighbridge Callibration</v>
      </c>
      <c r="E87" s="70" t="str">
        <f>if('source-upstream'!E87="",'schema-yn'!$A$5,vlookup('source-upstream'!E87,YN_MAP,3,FALSE))</f>
        <v>not-provided</v>
      </c>
      <c r="F87" s="70" t="str">
        <f>if('source-upstream'!F87="",'schema-yn'!$A$5,vlookup('source-upstream'!F87,YN_MAP,3,FALSE))</f>
        <v>not-provided</v>
      </c>
      <c r="G87" s="70" t="str">
        <f>if('source-upstream'!G87="",'schema-yn'!$A$5,vlookup('source-upstream'!G87,YN_MAP,3,FALSE))</f>
        <v>not-provided</v>
      </c>
      <c r="H87" s="70" t="str">
        <f>if('source-upstream'!H87="",'schema-yn'!$A$5,vlookup('source-upstream'!H87,RESILIENCE_OPTION_MAP,3,FALSE))</f>
        <v>not-provided</v>
      </c>
      <c r="I87" s="70" t="str">
        <f>if(iserror(vlookup('source-upstream'!I87,'data-cleansing-maps'!N$5:N$10,1,FALSE)),'source-upstream'!I87,"")</f>
        <v/>
      </c>
      <c r="J87" s="89" t="str">
        <f>'source-upstream'!J87</f>
        <v>Impact of disruption - Inaccuracies in reading quantities of inbound material (too high or too low)</v>
      </c>
      <c r="K87" s="70" t="str">
        <f>if('source-upstream'!K87="",'schema-yn'!$A$5,vlookup('source-upstream'!K87,YN_MAP,3,FALSE))</f>
        <v>not-provided</v>
      </c>
      <c r="L87" s="90" t="str">
        <f>if('source-upstream'!L87="Not provided","",'source-upstream'!L87)</f>
        <v/>
      </c>
      <c r="M87" s="65" t="str">
        <f>if('source-upstream'!M87="",'schema-rv-services'!$B$26,vlookup(vlookup('source-upstream'!$M87,'analysis-rv-services'!$C:$E,3,FALSE),'schema-rv-services'!$A:$B,2, FALSE))</f>
        <v>repairs-and-maintenance</v>
      </c>
      <c r="N87" s="70"/>
    </row>
    <row r="88" ht="15.0" customHeight="1">
      <c r="A88" s="88" t="str">
        <f>Substitute(SUBSTITUTE(substitute(substitute(substitute(substitute(substitute(substitute(substitute(lower('source-upstream'!A88)," ","-"),"(",""),")",""),"&gt;",""),"&lt;",""),"---","-"),".","-"),"--","-"),"&amp;","-and-")</f>
        <v>lazy-lyrebird</v>
      </c>
      <c r="B88" s="88" t="str">
        <f>Substitute(SUBSTITUTE(substitute(substitute(substitute(substitute(substitute(substitute(substitute(lower('source-upstream'!B88)," ","-"),"(",""),")",""),"&gt;",""),"&lt;",""),"---","-"),".","-"),"--","-"),"&amp;","-and-")</f>
        <v>green-dingo</v>
      </c>
      <c r="C88" s="70" t="str">
        <f>if('source-upstream'!C88="",'schema-frequency'!$B$11,vlookup('source-upstream'!C88,FREQUENCY_MAP, 3, FALSE))</f>
        <v>not-provided</v>
      </c>
      <c r="D88" s="89" t="str">
        <f>'source-upstream'!D88</f>
        <v>Unclear from RERCC Plan</v>
      </c>
      <c r="E88" s="70" t="str">
        <f>if('source-upstream'!E88="",'schema-yn'!$A$5,vlookup('source-upstream'!E88,YN_MAP,3,FALSE))</f>
        <v>not-provided</v>
      </c>
      <c r="F88" s="70" t="str">
        <f>if('source-upstream'!F88="",'schema-yn'!$A$5,vlookup('source-upstream'!F88,YN_MAP,3,FALSE))</f>
        <v>not-provided</v>
      </c>
      <c r="G88" s="70" t="str">
        <f>if('source-upstream'!G88="",'schema-yn'!$A$5,vlookup('source-upstream'!G88,YN_MAP,3,FALSE))</f>
        <v>not-provided</v>
      </c>
      <c r="H88" s="70" t="str">
        <f>if('source-upstream'!H88="",'schema-yn'!$A$5,vlookup('source-upstream'!H88,RESILIENCE_OPTION_MAP,3,FALSE))</f>
        <v>not-provided</v>
      </c>
      <c r="I88" s="70" t="str">
        <f>if(iserror(vlookup('source-upstream'!I88,'data-cleansing-maps'!N$5:N$10,1,FALSE)),'source-upstream'!I88,"")</f>
        <v/>
      </c>
      <c r="J88" s="89" t="str">
        <f>'source-upstream'!J88</f>
        <v>In addiion to financial implicatons, fines and/or other enforcement actviies, can impact relationship with existing and future clients</v>
      </c>
      <c r="K88" s="70" t="str">
        <f>if('source-upstream'!K88="",'schema-yn'!$A$5,vlookup('source-upstream'!K88,YN_MAP,3,FALSE))</f>
        <v>not-provided</v>
      </c>
      <c r="L88" s="90" t="str">
        <f>if('source-upstream'!L88="Not provided","",'source-upstream'!L88)</f>
        <v/>
      </c>
      <c r="M88" s="65" t="str">
        <f>if('source-upstream'!M88="",'schema-rv-services'!$B$26,vlookup(vlookup('source-upstream'!$M88,'analysis-rv-services'!$C:$E,3,FALSE),'schema-rv-services'!$A:$B,2, FALSE))</f>
        <v>regulator</v>
      </c>
      <c r="N88" s="70"/>
    </row>
    <row r="89" ht="15.0" customHeight="1">
      <c r="A89" s="88" t="str">
        <f>Substitute(SUBSTITUTE(substitute(substitute(substitute(substitute(substitute(substitute(substitute(lower('source-upstream'!A89)," ","-"),"(",""),")",""),"&gt;",""),"&lt;",""),"---","-"),".","-"),"--","-"),"&amp;","-and-")</f>
        <v>lazy-lyrebird</v>
      </c>
      <c r="B89" s="88" t="str">
        <f>Substitute(SUBSTITUTE(substitute(substitute(substitute(substitute(substitute(substitute(substitute(lower('source-upstream'!B89)," ","-"),"(",""),")",""),"&gt;",""),"&lt;",""),"---","-"),".","-"),"--","-"),"&amp;","-and-")</f>
        <v>yellow-frilled-neck-lizard</v>
      </c>
      <c r="C89" s="70" t="str">
        <f>if('source-upstream'!C89="",'schema-frequency'!$B$11,vlookup('source-upstream'!C89,FREQUENCY_MAP, 3, FALSE))</f>
        <v>not-provided</v>
      </c>
      <c r="D89" s="89" t="str">
        <f>'source-upstream'!D89</f>
        <v>Unclear from RERCC Plan</v>
      </c>
      <c r="E89" s="70" t="str">
        <f>if('source-upstream'!E89="",'schema-yn'!$A$5,vlookup('source-upstream'!E89,YN_MAP,3,FALSE))</f>
        <v>not-provided</v>
      </c>
      <c r="F89" s="70" t="str">
        <f>if('source-upstream'!F89="",'schema-yn'!$A$5,vlookup('source-upstream'!F89,YN_MAP,3,FALSE))</f>
        <v>not-provided</v>
      </c>
      <c r="G89" s="70" t="str">
        <f>if('source-upstream'!G89="",'schema-yn'!$A$5,vlookup('source-upstream'!G89,YN_MAP,3,FALSE))</f>
        <v>not-provided</v>
      </c>
      <c r="H89" s="70" t="str">
        <f>if('source-upstream'!H89="",'schema-yn'!$A$5,vlookup('source-upstream'!H89,RESILIENCE_OPTION_MAP,3,FALSE))</f>
        <v>not-provided</v>
      </c>
      <c r="I89" s="70" t="str">
        <f>if(iserror(vlookup('source-upstream'!I89,'data-cleansing-maps'!N$5:N$10,1,FALSE)),'source-upstream'!I89,"")</f>
        <v/>
      </c>
      <c r="J89" s="89" t="str">
        <f>'source-upstream'!J89</f>
        <v>In addiion to financial implicatons, fines and/or other enforcement actviies, can impact relationship with existing and future clients</v>
      </c>
      <c r="K89" s="70" t="str">
        <f>if('source-upstream'!K89="",'schema-yn'!$A$5,vlookup('source-upstream'!K89,YN_MAP,3,FALSE))</f>
        <v>not-provided</v>
      </c>
      <c r="L89" s="90" t="str">
        <f>if('source-upstream'!L89="Not provided","",'source-upstream'!L89)</f>
        <v/>
      </c>
      <c r="M89" s="65" t="str">
        <f>if('source-upstream'!M89="",'schema-rv-services'!$B$26,vlookup(vlookup('source-upstream'!$M89,'analysis-rv-services'!$C:$E,3,FALSE),'schema-rv-services'!$A:$B,2, FALSE))</f>
        <v>regulator</v>
      </c>
      <c r="N89" s="70"/>
    </row>
    <row r="90" ht="15.0" customHeight="1">
      <c r="A90" s="88" t="str">
        <f>Substitute(SUBSTITUTE(substitute(substitute(substitute(substitute(substitute(substitute(substitute(lower('source-upstream'!A90)," ","-"),"(",""),")",""),"&gt;",""),"&lt;",""),"---","-"),".","-"),"--","-"),"&amp;","-and-")</f>
        <v>lazy-lyrebird</v>
      </c>
      <c r="B90" s="88" t="str">
        <f>Substitute(SUBSTITUTE(substitute(substitute(substitute(substitute(substitute(substitute(substitute(lower('source-upstream'!B90)," ","-"),"(",""),")",""),"&gt;",""),"&lt;",""),"---","-"),".","-"),"--","-"),"&amp;","-and-")</f>
        <v>golden-frilled-neck-lizard</v>
      </c>
      <c r="C90" s="70" t="str">
        <f>if('source-upstream'!C90="",'schema-frequency'!$B$11,vlookup('source-upstream'!C90,FREQUENCY_MAP, 3, FALSE))</f>
        <v>not-provided</v>
      </c>
      <c r="D90" s="89" t="str">
        <f>'source-upstream'!D90</f>
        <v>Unclear from RERCC Plan</v>
      </c>
      <c r="E90" s="70" t="str">
        <f>if('source-upstream'!E90="",'schema-yn'!$A$5,vlookup('source-upstream'!E90,YN_MAP,3,FALSE))</f>
        <v>not-provided</v>
      </c>
      <c r="F90" s="70" t="str">
        <f>if('source-upstream'!F90="",'schema-yn'!$A$5,vlookup('source-upstream'!F90,YN_MAP,3,FALSE))</f>
        <v>not-provided</v>
      </c>
      <c r="G90" s="70" t="str">
        <f>if('source-upstream'!G90="",'schema-yn'!$A$5,vlookup('source-upstream'!G90,YN_MAP,3,FALSE))</f>
        <v>not-provided</v>
      </c>
      <c r="H90" s="70" t="str">
        <f>if('source-upstream'!H90="",'schema-yn'!$A$5,vlookup('source-upstream'!H90,RESILIENCE_OPTION_MAP,3,FALSE))</f>
        <v>not-provided</v>
      </c>
      <c r="I90" s="70" t="str">
        <f>if(iserror(vlookup('source-upstream'!I90,'data-cleansing-maps'!N$5:N$10,1,FALSE)),'source-upstream'!I90,"")</f>
        <v/>
      </c>
      <c r="J90" s="89" t="str">
        <f>'source-upstream'!J90</f>
        <v>In addiion to financial implicatons, fines and/or other enforcement actviies, can impact relationship with existing and future clients</v>
      </c>
      <c r="K90" s="70" t="str">
        <f>if('source-upstream'!K90="",'schema-yn'!$A$5,vlookup('source-upstream'!K90,YN_MAP,3,FALSE))</f>
        <v>not-provided</v>
      </c>
      <c r="L90" s="90" t="str">
        <f>if('source-upstream'!L90="Not provided","",'source-upstream'!L90)</f>
        <v/>
      </c>
      <c r="M90" s="65" t="str">
        <f>if('source-upstream'!M90="",'schema-rv-services'!$B$26,vlookup(vlookup('source-upstream'!$M90,'analysis-rv-services'!$C:$E,3,FALSE),'schema-rv-services'!$A:$B,2, FALSE))</f>
        <v>regulator</v>
      </c>
      <c r="N90" s="70"/>
    </row>
    <row r="91" ht="15.0" customHeight="1">
      <c r="A91" s="88" t="str">
        <f>Substitute(SUBSTITUTE(substitute(substitute(substitute(substitute(substitute(substitute(substitute(lower('source-upstream'!A91)," ","-"),"(",""),")",""),"&gt;",""),"&lt;",""),"---","-"),".","-"),"--","-"),"&amp;","-and-")</f>
        <v>lazy-lyrebird</v>
      </c>
      <c r="B91" s="88" t="str">
        <f>Substitute(SUBSTITUTE(substitute(substitute(substitute(substitute(substitute(substitute(substitute(lower('source-upstream'!B91)," ","-"),"(",""),")",""),"&gt;",""),"&lt;",""),"---","-"),".","-"),"--","-"),"&amp;","-and-")</f>
        <v>green-dingo</v>
      </c>
      <c r="C91" s="70" t="str">
        <f>if('source-upstream'!C91="",'schema-frequency'!$B$11,vlookup('source-upstream'!C91,FREQUENCY_MAP, 3, FALSE))</f>
        <v>triennial</v>
      </c>
      <c r="D91" s="89" t="str">
        <f>'source-upstream'!D91</f>
        <v>EPA Licence requirement</v>
      </c>
      <c r="E91" s="70" t="str">
        <f>if('source-upstream'!E91="",'schema-yn'!$A$5,vlookup('source-upstream'!E91,YN_MAP,3,FALSE))</f>
        <v>not-provided</v>
      </c>
      <c r="F91" s="70" t="str">
        <f>if('source-upstream'!F91="",'schema-yn'!$A$5,vlookup('source-upstream'!F91,YN_MAP,3,FALSE))</f>
        <v>not-provided</v>
      </c>
      <c r="G91" s="70" t="str">
        <f>if('source-upstream'!G91="",'schema-yn'!$A$5,vlookup('source-upstream'!G91,YN_MAP,3,FALSE))</f>
        <v>not-provided</v>
      </c>
      <c r="H91" s="70" t="str">
        <f>if('source-upstream'!H91="",'schema-yn'!$A$5,vlookup('source-upstream'!H91,RESILIENCE_OPTION_MAP,3,FALSE))</f>
        <v>not-provided</v>
      </c>
      <c r="I91" s="70" t="str">
        <f>if(iserror(vlookup('source-upstream'!I91,'data-cleansing-maps'!N$5:N$10,1,FALSE)),'source-upstream'!I91,"")</f>
        <v/>
      </c>
      <c r="J91" s="89" t="str">
        <f>'source-upstream'!J91</f>
        <v>No comments provided</v>
      </c>
      <c r="K91" s="70" t="str">
        <f>if('source-upstream'!K91="",'schema-yn'!$A$5,vlookup('source-upstream'!K91,YN_MAP,3,FALSE))</f>
        <v>not-provided</v>
      </c>
      <c r="L91" s="90" t="str">
        <f>if('source-upstream'!L91="Not provided","",'source-upstream'!L91)</f>
        <v/>
      </c>
      <c r="M91" s="65" t="str">
        <f>if('source-upstream'!M91="",'schema-rv-services'!$B$26,vlookup(vlookup('source-upstream'!$M91,'analysis-rv-services'!$C:$E,3,FALSE),'schema-rv-services'!$A:$B,2, FALSE))</f>
        <v>consultant-services</v>
      </c>
      <c r="N91" s="70"/>
    </row>
    <row r="92" ht="15.0" customHeight="1">
      <c r="A92" s="88" t="str">
        <f>Substitute(SUBSTITUTE(substitute(substitute(substitute(substitute(substitute(substitute(substitute(lower('source-upstream'!A92)," ","-"),"(",""),")",""),"&gt;",""),"&lt;",""),"---","-"),".","-"),"--","-"),"&amp;","-and-")</f>
        <v>lazy-sugar-glider</v>
      </c>
      <c r="B92" s="88" t="str">
        <f>Substitute(SUBSTITUTE(substitute(substitute(substitute(substitute(substitute(substitute(substitute(lower('source-upstream'!B92)," ","-"),"(",""),")",""),"&gt;",""),"&lt;",""),"---","-"),".","-"),"--","-"),"&amp;","-and-")</f>
        <v>green-dingo</v>
      </c>
      <c r="C92" s="70" t="str">
        <f>if('source-upstream'!C92="",'schema-frequency'!$B$11,vlookup('source-upstream'!C92,FREQUENCY_MAP, 3, FALSE))</f>
        <v>not-provided</v>
      </c>
      <c r="D92" s="89" t="str">
        <f>'source-upstream'!D92</f>
        <v>Operating licence and compliance</v>
      </c>
      <c r="E92" s="70" t="str">
        <f>if('source-upstream'!E92="",'schema-yn'!$A$5,vlookup('source-upstream'!E92,YN_MAP,3,FALSE))</f>
        <v>yes</v>
      </c>
      <c r="F92" s="70" t="str">
        <f>if('source-upstream'!F92="",'schema-yn'!$A$5,vlookup('source-upstream'!F92,YN_MAP,3,FALSE))</f>
        <v>yes</v>
      </c>
      <c r="G92" s="70" t="str">
        <f>if('source-upstream'!G92="",'schema-yn'!$A$5,vlookup('source-upstream'!G92,YN_MAP,3,FALSE))</f>
        <v>not-provided</v>
      </c>
      <c r="H92" s="70" t="str">
        <f>if('source-upstream'!H92="",'schema-yn'!$A$5,vlookup('source-upstream'!H92,RESILIENCE_OPTION_MAP,3,FALSE))</f>
        <v>not-provided</v>
      </c>
      <c r="I92" s="70" t="str">
        <f>if(iserror(vlookup('source-upstream'!I92,'data-cleansing-maps'!N$5:N$10,1,FALSE)),'source-upstream'!I92,"")</f>
        <v/>
      </c>
      <c r="J92" s="89" t="str">
        <f>'source-upstream'!J92</f>
        <v>No comments provided</v>
      </c>
      <c r="K92" s="70" t="str">
        <f>if('source-upstream'!K92="",'schema-yn'!$A$5,vlookup('source-upstream'!K92,YN_MAP,3,FALSE))</f>
        <v>not-provided</v>
      </c>
      <c r="L92" s="90" t="str">
        <f>if('source-upstream'!L92="Not provided","",'source-upstream'!L92)</f>
        <v/>
      </c>
      <c r="M92" s="65" t="str">
        <f>if('source-upstream'!M92="",'schema-rv-services'!$B$26,vlookup(vlookup('source-upstream'!$M92,'analysis-rv-services'!$C:$E,3,FALSE),'schema-rv-services'!$A:$B,2, FALSE))</f>
        <v>regulator</v>
      </c>
      <c r="N92" s="70"/>
    </row>
    <row r="93" ht="15.0" customHeight="1">
      <c r="A93" s="88" t="str">
        <f>Substitute(SUBSTITUTE(substitute(substitute(substitute(substitute(substitute(substitute(substitute(lower('source-upstream'!A93)," ","-"),"(",""),")",""),"&gt;",""),"&lt;",""),"---","-"),".","-"),"--","-"),"&amp;","-and-")</f>
        <v>lazy-sugar-glider</v>
      </c>
      <c r="B93" s="88" t="str">
        <f>Substitute(SUBSTITUTE(substitute(substitute(substitute(substitute(substitute(substitute(substitute(lower('source-upstream'!B93)," ","-"),"(",""),")",""),"&gt;",""),"&lt;",""),"---","-"),".","-"),"--","-"),"&amp;","-and-")</f>
        <v>brave-quokka</v>
      </c>
      <c r="C93" s="70" t="str">
        <f>if('source-upstream'!C93="",'schema-frequency'!$B$11,vlookup('source-upstream'!C93,FREQUENCY_MAP, 3, FALSE))</f>
        <v>monthly</v>
      </c>
      <c r="D93" s="89" t="str">
        <f>'source-upstream'!D93</f>
        <v>Environmental Consulting</v>
      </c>
      <c r="E93" s="70" t="str">
        <f>if('source-upstream'!E93="",'schema-yn'!$A$5,vlookup('source-upstream'!E93,YN_MAP,3,FALSE))</f>
        <v>yes</v>
      </c>
      <c r="F93" s="70" t="str">
        <f>if('source-upstream'!F93="",'schema-yn'!$A$5,vlookup('source-upstream'!F93,YN_MAP,3,FALSE))</f>
        <v>no</v>
      </c>
      <c r="G93" s="70" t="str">
        <f>if('source-upstream'!G93="",'schema-yn'!$A$5,vlookup('source-upstream'!G93,YN_MAP,3,FALSE))</f>
        <v>yes</v>
      </c>
      <c r="H93" s="70" t="str">
        <f>if('source-upstream'!H93="",'schema-yn'!$A$5,vlookup('source-upstream'!H93,RESILIENCE_OPTION_MAP,3,FALSE))</f>
        <v>alternative-supplier</v>
      </c>
      <c r="I93" s="70" t="str">
        <f>if(iserror(vlookup('source-upstream'!I93,'data-cleansing-maps'!N$5:N$10,1,FALSE)),'source-upstream'!I93,"")</f>
        <v/>
      </c>
      <c r="J93" s="89" t="str">
        <f>'source-upstream'!J93</f>
        <v>Alternative supplier not specified - it may be Core Environmental</v>
      </c>
      <c r="K93" s="70" t="str">
        <f>if('source-upstream'!K93="",'schema-yn'!$A$5,vlookup('source-upstream'!K93,YN_MAP,3,FALSE))</f>
        <v>not-provided</v>
      </c>
      <c r="L93" s="90" t="str">
        <f>if('source-upstream'!L93="Not provided","",'source-upstream'!L93)</f>
        <v/>
      </c>
      <c r="M93" s="65" t="str">
        <f>if('source-upstream'!M93="",'schema-rv-services'!$B$26,vlookup(vlookup('source-upstream'!$M93,'analysis-rv-services'!$C:$E,3,FALSE),'schema-rv-services'!$A:$B,2, FALSE))</f>
        <v>consultant-services</v>
      </c>
      <c r="N93" s="70"/>
    </row>
    <row r="94" ht="15.0" customHeight="1">
      <c r="A94" s="88" t="str">
        <f>Substitute(SUBSTITUTE(substitute(substitute(substitute(substitute(substitute(substitute(substitute(lower('source-upstream'!A94)," ","-"),"(",""),")",""),"&gt;",""),"&lt;",""),"---","-"),".","-"),"--","-"),"&amp;","-and-")</f>
        <v>lazy-sugar-glider</v>
      </c>
      <c r="B94" s="88" t="str">
        <f>Substitute(SUBSTITUTE(substitute(substitute(substitute(substitute(substitute(substitute(substitute(lower('source-upstream'!B94)," ","-"),"(",""),")",""),"&gt;",""),"&lt;",""),"---","-"),".","-"),"--","-"),"&amp;","-and-")</f>
        <v>giant-cockatoo</v>
      </c>
      <c r="C94" s="70" t="str">
        <f>if('source-upstream'!C94="",'schema-frequency'!$B$11,vlookup('source-upstream'!C94,FREQUENCY_MAP, 3, FALSE))</f>
        <v>quarterly</v>
      </c>
      <c r="D94" s="89" t="str">
        <f>'source-upstream'!D94</f>
        <v>Environmental Consulting</v>
      </c>
      <c r="E94" s="70" t="str">
        <f>if('source-upstream'!E94="",'schema-yn'!$A$5,vlookup('source-upstream'!E94,YN_MAP,3,FALSE))</f>
        <v>yes</v>
      </c>
      <c r="F94" s="70" t="str">
        <f>if('source-upstream'!F94="",'schema-yn'!$A$5,vlookup('source-upstream'!F94,YN_MAP,3,FALSE))</f>
        <v>no</v>
      </c>
      <c r="G94" s="70" t="str">
        <f>if('source-upstream'!G94="",'schema-yn'!$A$5,vlookup('source-upstream'!G94,YN_MAP,3,FALSE))</f>
        <v>yes</v>
      </c>
      <c r="H94" s="70" t="str">
        <f>if('source-upstream'!H94="",'schema-yn'!$A$5,vlookup('source-upstream'!H94,RESILIENCE_OPTION_MAP,3,FALSE))</f>
        <v>alternative-supplier</v>
      </c>
      <c r="I94" s="70" t="str">
        <f>if(iserror(vlookup('source-upstream'!I94,'data-cleansing-maps'!N$5:N$10,1,FALSE)),'source-upstream'!I94,"")</f>
        <v/>
      </c>
      <c r="J94" s="89" t="str">
        <f>'source-upstream'!J94</f>
        <v>Alternative supplier not specified - it may be Bajwa Enviro</v>
      </c>
      <c r="K94" s="70" t="str">
        <f>if('source-upstream'!K94="",'schema-yn'!$A$5,vlookup('source-upstream'!K94,YN_MAP,3,FALSE))</f>
        <v>not-provided</v>
      </c>
      <c r="L94" s="90" t="str">
        <f>if('source-upstream'!L94="Not provided","",'source-upstream'!L94)</f>
        <v/>
      </c>
      <c r="M94" s="65" t="str">
        <f>if('source-upstream'!M94="",'schema-rv-services'!$B$26,vlookup(vlookup('source-upstream'!$M94,'analysis-rv-services'!$C:$E,3,FALSE),'schema-rv-services'!$A:$B,2, FALSE))</f>
        <v>consultant-services</v>
      </c>
      <c r="N94" s="70"/>
    </row>
    <row r="95" ht="15.0" customHeight="1">
      <c r="A95" s="88" t="str">
        <f>Substitute(SUBSTITUTE(substitute(substitute(substitute(substitute(substitute(substitute(substitute(lower('source-upstream'!A95)," ","-"),"(",""),")",""),"&gt;",""),"&lt;",""),"---","-"),".","-"),"--","-"),"&amp;","-and-")</f>
        <v>lazy-sugar-glider</v>
      </c>
      <c r="B95" s="88" t="str">
        <f>Substitute(SUBSTITUTE(substitute(substitute(substitute(substitute(substitute(substitute(substitute(lower('source-upstream'!B95)," ","-"),"(",""),")",""),"&gt;",""),"&lt;",""),"---","-"),".","-"),"--","-"),"&amp;","-and-")</f>
        <v>blue-goanna</v>
      </c>
      <c r="C95" s="70" t="str">
        <f>if('source-upstream'!C95="",'schema-frequency'!$B$11,vlookup('source-upstream'!C95,FREQUENCY_MAP, 3, FALSE))</f>
        <v>ad-hoc</v>
      </c>
      <c r="D95" s="89" t="str">
        <f>'source-upstream'!D95</f>
        <v>Environmental Consulting</v>
      </c>
      <c r="E95" s="70" t="str">
        <f>if('source-upstream'!E95="",'schema-yn'!$A$5,vlookup('source-upstream'!E95,YN_MAP,3,FALSE))</f>
        <v>yes</v>
      </c>
      <c r="F95" s="70" t="str">
        <f>if('source-upstream'!F95="",'schema-yn'!$A$5,vlookup('source-upstream'!F95,YN_MAP,3,FALSE))</f>
        <v>no</v>
      </c>
      <c r="G95" s="70" t="str">
        <f>if('source-upstream'!G95="",'schema-yn'!$A$5,vlookup('source-upstream'!G95,YN_MAP,3,FALSE))</f>
        <v>yes</v>
      </c>
      <c r="H95" s="70" t="str">
        <f>if('source-upstream'!H95="",'schema-yn'!$A$5,vlookup('source-upstream'!H95,RESILIENCE_OPTION_MAP,3,FALSE))</f>
        <v>alternative-supplier</v>
      </c>
      <c r="I95" s="70" t="str">
        <f>if(iserror(vlookup('source-upstream'!I95,'data-cleansing-maps'!N$5:N$10,1,FALSE)),'source-upstream'!I95,"")</f>
        <v/>
      </c>
      <c r="J95" s="89" t="str">
        <f>'source-upstream'!J95</f>
        <v>Alternative supplier not specified - it may be Bajwa Enviro or Core Envrionmental</v>
      </c>
      <c r="K95" s="70" t="str">
        <f>if('source-upstream'!K95="",'schema-yn'!$A$5,vlookup('source-upstream'!K95,YN_MAP,3,FALSE))</f>
        <v>not-provided</v>
      </c>
      <c r="L95" s="90" t="str">
        <f>if('source-upstream'!L95="Not provided","",'source-upstream'!L95)</f>
        <v/>
      </c>
      <c r="M95" s="65" t="str">
        <f>if('source-upstream'!M95="",'schema-rv-services'!$B$26,vlookup(vlookup('source-upstream'!$M95,'analysis-rv-services'!$C:$E,3,FALSE),'schema-rv-services'!$A:$B,2, FALSE))</f>
        <v>consultant-services</v>
      </c>
      <c r="N95" s="70"/>
    </row>
    <row r="96" ht="15.0" customHeight="1">
      <c r="A96" s="88" t="str">
        <f>Substitute(SUBSTITUTE(substitute(substitute(substitute(substitute(substitute(substitute(substitute(lower('source-upstream'!A96)," ","-"),"(",""),")",""),"&gt;",""),"&lt;",""),"---","-"),".","-"),"--","-"),"&amp;","-and-")</f>
        <v>lazy-sugar-glider</v>
      </c>
      <c r="B96" s="88" t="str">
        <f>Substitute(SUBSTITUTE(substitute(substitute(substitute(substitute(substitute(substitute(substitute(lower('source-upstream'!B96)," ","-"),"(",""),")",""),"&gt;",""),"&lt;",""),"---","-"),".","-"),"--","-"),"&amp;","-and-")</f>
        <v>green-bandicoot</v>
      </c>
      <c r="C96" s="70" t="str">
        <f>if('source-upstream'!C96="",'schema-frequency'!$B$11,vlookup('source-upstream'!C96,FREQUENCY_MAP, 3, FALSE))</f>
        <v>not-provided</v>
      </c>
      <c r="D96" s="89" t="str">
        <f>'source-upstream'!D96</f>
        <v>IT Services</v>
      </c>
      <c r="E96" s="70" t="str">
        <f>if('source-upstream'!E96="",'schema-yn'!$A$5,vlookup('source-upstream'!E96,YN_MAP,3,FALSE))</f>
        <v>no</v>
      </c>
      <c r="F96" s="70" t="str">
        <f>if('source-upstream'!F96="",'schema-yn'!$A$5,vlookup('source-upstream'!F96,YN_MAP,3,FALSE))</f>
        <v>not-provided</v>
      </c>
      <c r="G96" s="70" t="str">
        <f>if('source-upstream'!G96="",'schema-yn'!$A$5,vlookup('source-upstream'!G96,YN_MAP,3,FALSE))</f>
        <v>yes</v>
      </c>
      <c r="H96" s="70" t="str">
        <f>if('source-upstream'!H96="",'schema-yn'!$A$5,vlookup('source-upstream'!H96,RESILIENCE_OPTION_MAP,3,FALSE))</f>
        <v>alternative-supplier</v>
      </c>
      <c r="I96" s="70" t="str">
        <f>if(iserror(vlookup('source-upstream'!I96,'data-cleansing-maps'!N$5:N$10,1,FALSE)),'source-upstream'!I96,"")</f>
        <v/>
      </c>
      <c r="J96" s="89" t="str">
        <f>'source-upstream'!J96</f>
        <v>Alternative supplier not specified</v>
      </c>
      <c r="K96" s="70" t="str">
        <f>if('source-upstream'!K96="",'schema-yn'!$A$5,vlookup('source-upstream'!K96,YN_MAP,3,FALSE))</f>
        <v>not-provided</v>
      </c>
      <c r="L96" s="90" t="str">
        <f>if('source-upstream'!L96="Not provided","",'source-upstream'!L96)</f>
        <v/>
      </c>
      <c r="M96" s="65" t="str">
        <f>if('source-upstream'!M96="",'schema-rv-services'!$B$26,vlookup(vlookup('source-upstream'!$M96,'analysis-rv-services'!$C:$E,3,FALSE),'schema-rv-services'!$A:$B,2, FALSE))</f>
        <v>techonology</v>
      </c>
      <c r="N96" s="70"/>
    </row>
    <row r="97" ht="15.0" customHeight="1">
      <c r="A97" s="88" t="str">
        <f>Substitute(SUBSTITUTE(substitute(substitute(substitute(substitute(substitute(substitute(substitute(lower('source-upstream'!A97)," ","-"),"(",""),")",""),"&gt;",""),"&lt;",""),"---","-"),".","-"),"--","-"),"&amp;","-and-")</f>
        <v>lazy-sugar-glider</v>
      </c>
      <c r="B97" s="88" t="str">
        <f>Substitute(SUBSTITUTE(substitute(substitute(substitute(substitute(substitute(substitute(substitute(lower('source-upstream'!B97)," ","-"),"(",""),")",""),"&gt;",""),"&lt;",""),"---","-"),".","-"),"--","-"),"&amp;","-and-")</f>
        <v>red-thorny-devil</v>
      </c>
      <c r="C97" s="70" t="str">
        <f>if('source-upstream'!C97="",'schema-frequency'!$B$11,vlookup('source-upstream'!C97,FREQUENCY_MAP, 3, FALSE))</f>
        <v>not-provided</v>
      </c>
      <c r="D97" s="89" t="str">
        <f>'source-upstream'!D97</f>
        <v>Waste Management System</v>
      </c>
      <c r="E97" s="70" t="str">
        <f>if('source-upstream'!E97="",'schema-yn'!$A$5,vlookup('source-upstream'!E97,YN_MAP,3,FALSE))</f>
        <v>yes</v>
      </c>
      <c r="F97" s="70" t="str">
        <f>if('source-upstream'!F97="",'schema-yn'!$A$5,vlookup('source-upstream'!F97,YN_MAP,3,FALSE))</f>
        <v>yes</v>
      </c>
      <c r="G97" s="70" t="str">
        <f>if('source-upstream'!G97="",'schema-yn'!$A$5,vlookup('source-upstream'!G97,YN_MAP,3,FALSE))</f>
        <v>no</v>
      </c>
      <c r="H97" s="70" t="str">
        <f>if('source-upstream'!H97="",'schema-yn'!$A$5,vlookup('source-upstream'!H97,RESILIENCE_OPTION_MAP,3,FALSE))</f>
        <v>manual-processes</v>
      </c>
      <c r="I97" s="70" t="str">
        <f>if(iserror(vlookup('source-upstream'!I97,'data-cleansing-maps'!N$5:N$10,1,FALSE)),'source-upstream'!I97,"")</f>
        <v/>
      </c>
      <c r="J97" s="89" t="str">
        <f>'source-upstream'!J97</f>
        <v>Carry out transactions manually during any downtime.</v>
      </c>
      <c r="K97" s="70" t="str">
        <f>if('source-upstream'!K97="",'schema-yn'!$A$5,vlookup('source-upstream'!K97,YN_MAP,3,FALSE))</f>
        <v>not-provided</v>
      </c>
      <c r="L97" s="90" t="str">
        <f>if('source-upstream'!L97="Not provided","",'source-upstream'!L97)</f>
        <v/>
      </c>
      <c r="M97" s="65" t="str">
        <f>if('source-upstream'!M97="",'schema-rv-services'!$B$26,vlookup(vlookup('source-upstream'!$M97,'analysis-rv-services'!$C:$E,3,FALSE),'schema-rv-services'!$A:$B,2, FALSE))</f>
        <v>techonology</v>
      </c>
      <c r="N97" s="70"/>
    </row>
    <row r="98" ht="15.0" customHeight="1">
      <c r="A98" s="88" t="str">
        <f>Substitute(SUBSTITUTE(substitute(substitute(substitute(substitute(substitute(substitute(substitute(lower('source-upstream'!A98)," ","-"),"(",""),")",""),"&gt;",""),"&lt;",""),"---","-"),".","-"),"--","-"),"&amp;","-and-")</f>
        <v>lazy-sugar-glider</v>
      </c>
      <c r="B98" s="88" t="str">
        <f>Substitute(SUBSTITUTE(substitute(substitute(substitute(substitute(substitute(substitute(substitute(lower('source-upstream'!B98)," ","-"),"(",""),")",""),"&gt;",""),"&lt;",""),"---","-"),".","-"),"--","-"),"&amp;","-and-")</f>
        <v>wild-fairy-penguin</v>
      </c>
      <c r="C98" s="70" t="str">
        <f>if('source-upstream'!C98="",'schema-frequency'!$B$11,vlookup('source-upstream'!C98,FREQUENCY_MAP, 3, FALSE))</f>
        <v>ad-hoc</v>
      </c>
      <c r="D98" s="89" t="str">
        <f>'source-upstream'!D98</f>
        <v>Construction works</v>
      </c>
      <c r="E98" s="70" t="str">
        <f>if('source-upstream'!E98="",'schema-yn'!$A$5,vlookup('source-upstream'!E98,YN_MAP,3,FALSE))</f>
        <v>yes</v>
      </c>
      <c r="F98" s="70" t="str">
        <f>if('source-upstream'!F98="",'schema-yn'!$A$5,vlookup('source-upstream'!F98,YN_MAP,3,FALSE))</f>
        <v>no</v>
      </c>
      <c r="G98" s="70" t="str">
        <f>if('source-upstream'!G98="",'schema-yn'!$A$5,vlookup('source-upstream'!G98,YN_MAP,3,FALSE))</f>
        <v>yes</v>
      </c>
      <c r="H98" s="70" t="str">
        <f>if('source-upstream'!H98="",'schema-yn'!$A$5,vlookup('source-upstream'!H98,RESILIENCE_OPTION_MAP,3,FALSE))</f>
        <v>alternative-supplier</v>
      </c>
      <c r="I98" s="70" t="str">
        <f>if(iserror(vlookup('source-upstream'!I98,'data-cleansing-maps'!N$5:N$10,1,FALSE)),'source-upstream'!I98,"")</f>
        <v/>
      </c>
      <c r="J98" s="89" t="str">
        <f>'source-upstream'!J98</f>
        <v>Alternative contractors in the market</v>
      </c>
      <c r="K98" s="70" t="str">
        <f>if('source-upstream'!K98="",'schema-yn'!$A$5,vlookup('source-upstream'!K98,YN_MAP,3,FALSE))</f>
        <v>not-provided</v>
      </c>
      <c r="L98" s="90" t="str">
        <f>if('source-upstream'!L98="Not provided","",'source-upstream'!L98)</f>
        <v/>
      </c>
      <c r="M98" s="65" t="str">
        <f>if('source-upstream'!M98="",'schema-rv-services'!$B$26,vlookup(vlookup('source-upstream'!$M98,'analysis-rv-services'!$C:$E,3,FALSE),'schema-rv-services'!$A:$B,2, FALSE))</f>
        <v>plant-and-equipment</v>
      </c>
      <c r="N98" s="70"/>
    </row>
    <row r="99" ht="15.0" customHeight="1">
      <c r="A99" s="88" t="str">
        <f>Substitute(SUBSTITUTE(substitute(substitute(substitute(substitute(substitute(substitute(substitute(lower('source-upstream'!A99)," ","-"),"(",""),")",""),"&gt;",""),"&lt;",""),"---","-"),".","-"),"--","-"),"&amp;","-and-")</f>
        <v>lazy-sugar-glider</v>
      </c>
      <c r="B99" s="88" t="str">
        <f>Substitute(SUBSTITUTE(substitute(substitute(substitute(substitute(substitute(substitute(substitute(lower('source-upstream'!B99)," ","-"),"(",""),")",""),"&gt;",""),"&lt;",""),"---","-"),".","-"),"--","-"),"&amp;","-and-")</f>
        <v>noisy-tree-kangaroo</v>
      </c>
      <c r="C99" s="70" t="str">
        <f>if('source-upstream'!C99="",'schema-frequency'!$B$11,vlookup('source-upstream'!C99,FREQUENCY_MAP, 3, FALSE))</f>
        <v>ad-hoc</v>
      </c>
      <c r="D99" s="89" t="str">
        <f>'source-upstream'!D99</f>
        <v>Earthmoving machinery maintenance and repairs</v>
      </c>
      <c r="E99" s="70" t="str">
        <f>if('source-upstream'!E99="",'schema-yn'!$A$5,vlookup('source-upstream'!E99,YN_MAP,3,FALSE))</f>
        <v>yes</v>
      </c>
      <c r="F99" s="70" t="str">
        <f>if('source-upstream'!F99="",'schema-yn'!$A$5,vlookup('source-upstream'!F99,YN_MAP,3,FALSE))</f>
        <v>no</v>
      </c>
      <c r="G99" s="70" t="str">
        <f>if('source-upstream'!G99="",'schema-yn'!$A$5,vlookup('source-upstream'!G99,YN_MAP,3,FALSE))</f>
        <v>yes</v>
      </c>
      <c r="H99" s="70" t="str">
        <f>if('source-upstream'!H99="",'schema-yn'!$A$5,vlookup('source-upstream'!H99,RESILIENCE_OPTION_MAP,3,FALSE))</f>
        <v>alternative-supplier</v>
      </c>
      <c r="I99" s="70" t="str">
        <f>if(iserror(vlookup('source-upstream'!I99,'data-cleansing-maps'!N$5:N$10,1,FALSE)),'source-upstream'!I99,"")</f>
        <v/>
      </c>
      <c r="J99" s="89" t="str">
        <f>'source-upstream'!J99</f>
        <v>Alternative contractors in the market</v>
      </c>
      <c r="K99" s="70" t="str">
        <f>if('source-upstream'!K99="",'schema-yn'!$A$5,vlookup('source-upstream'!K99,YN_MAP,3,FALSE))</f>
        <v>not-provided</v>
      </c>
      <c r="L99" s="90" t="str">
        <f>if('source-upstream'!L99="Not provided","",'source-upstream'!L99)</f>
        <v/>
      </c>
      <c r="M99" s="65" t="str">
        <f>if('source-upstream'!M99="",'schema-rv-services'!$B$26,vlookup(vlookup('source-upstream'!$M99,'analysis-rv-services'!$C:$E,3,FALSE),'schema-rv-services'!$A:$B,2, FALSE))</f>
        <v>plant-and-equipment</v>
      </c>
      <c r="N99" s="70"/>
    </row>
    <row r="100" ht="15.0" customHeight="1">
      <c r="A100" s="88" t="str">
        <f>Substitute(SUBSTITUTE(substitute(substitute(substitute(substitute(substitute(substitute(substitute(lower('source-upstream'!A100)," ","-"),"(",""),")",""),"&gt;",""),"&lt;",""),"---","-"),".","-"),"--","-"),"&amp;","-and-")</f>
        <v>lazy-sugar-glider</v>
      </c>
      <c r="B100" s="88" t="str">
        <f>Substitute(SUBSTITUTE(substitute(substitute(substitute(substitute(substitute(substitute(substitute(lower('source-upstream'!B100)," ","-"),"(",""),")",""),"&gt;",""),"&lt;",""),"---","-"),".","-"),"--","-"),"&amp;","-and-")</f>
        <v>blue-perentie</v>
      </c>
      <c r="C100" s="70" t="str">
        <f>if('source-upstream'!C100="",'schema-frequency'!$B$11,vlookup('source-upstream'!C100,FREQUENCY_MAP, 3, FALSE))</f>
        <v>monthly</v>
      </c>
      <c r="D100" s="89" t="str">
        <f>'source-upstream'!D100</f>
        <v>Laboratory analysis</v>
      </c>
      <c r="E100" s="70" t="str">
        <f>if('source-upstream'!E100="",'schema-yn'!$A$5,vlookup('source-upstream'!E100,YN_MAP,3,FALSE))</f>
        <v>yes</v>
      </c>
      <c r="F100" s="70" t="str">
        <f>if('source-upstream'!F100="",'schema-yn'!$A$5,vlookup('source-upstream'!F100,YN_MAP,3,FALSE))</f>
        <v>no</v>
      </c>
      <c r="G100" s="70" t="str">
        <f>if('source-upstream'!G100="",'schema-yn'!$A$5,vlookup('source-upstream'!G100,YN_MAP,3,FALSE))</f>
        <v>yes</v>
      </c>
      <c r="H100" s="70" t="str">
        <f>if('source-upstream'!H100="",'schema-yn'!$A$5,vlookup('source-upstream'!H100,RESILIENCE_OPTION_MAP,3,FALSE))</f>
        <v>alternative-supplier</v>
      </c>
      <c r="I100" s="70" t="str">
        <f>if(iserror(vlookup('source-upstream'!I100,'data-cleansing-maps'!N$5:N$10,1,FALSE)),'source-upstream'!I100,"")</f>
        <v/>
      </c>
      <c r="J100" s="89" t="str">
        <f>'source-upstream'!J100</f>
        <v>Alternative laboratories</v>
      </c>
      <c r="K100" s="70" t="str">
        <f>if('source-upstream'!K100="",'schema-yn'!$A$5,vlookup('source-upstream'!K100,YN_MAP,3,FALSE))</f>
        <v>not-provided</v>
      </c>
      <c r="L100" s="90" t="str">
        <f>if('source-upstream'!L100="Not provided","",'source-upstream'!L100)</f>
        <v/>
      </c>
      <c r="M100" s="65" t="str">
        <f>if('source-upstream'!M100="",'schema-rv-services'!$B$26,vlookup(vlookup('source-upstream'!$M100,'analysis-rv-services'!$C:$E,3,FALSE),'schema-rv-services'!$A:$B,2, FALSE))</f>
        <v>consultant-services</v>
      </c>
      <c r="N100" s="70"/>
    </row>
    <row r="101" ht="15.0" customHeight="1">
      <c r="A101" s="88" t="str">
        <f>Substitute(SUBSTITUTE(substitute(substitute(substitute(substitute(substitute(substitute(substitute(lower('source-upstream'!A101)," ","-"),"(",""),")",""),"&gt;",""),"&lt;",""),"---","-"),".","-"),"--","-"),"&amp;","-and-")</f>
        <v>lazy-sugar-glider</v>
      </c>
      <c r="B101" s="88" t="str">
        <f>Substitute(SUBSTITUTE(substitute(substitute(substitute(substitute(substitute(substitute(substitute(lower('source-upstream'!B101)," ","-"),"(",""),")",""),"&gt;",""),"&lt;",""),"---","-"),".","-"),"--","-"),"&amp;","-and-")</f>
        <v>swift-lyrebird</v>
      </c>
      <c r="C101" s="70" t="str">
        <f>if('source-upstream'!C101="",'schema-frequency'!$B$11,vlookup('source-upstream'!C101,FREQUENCY_MAP, 3, FALSE))</f>
        <v>weekly</v>
      </c>
      <c r="D101" s="89" t="str">
        <f>'source-upstream'!D101</f>
        <v>Not provided</v>
      </c>
      <c r="E101" s="70" t="str">
        <f>if('source-upstream'!E101="",'schema-yn'!$A$5,vlookup('source-upstream'!E101,YN_MAP,3,FALSE))</f>
        <v>not-provided</v>
      </c>
      <c r="F101" s="70" t="str">
        <f>if('source-upstream'!F101="",'schema-yn'!$A$5,vlookup('source-upstream'!F101,YN_MAP,3,FALSE))</f>
        <v>not-provided</v>
      </c>
      <c r="G101" s="70" t="str">
        <f>if('source-upstream'!G101="",'schema-yn'!$A$5,vlookup('source-upstream'!G101,YN_MAP,3,FALSE))</f>
        <v>not-provided</v>
      </c>
      <c r="H101" s="70" t="str">
        <f>if('source-upstream'!H101="",'schema-yn'!$A$5,vlookup('source-upstream'!H101,RESILIENCE_OPTION_MAP,3,FALSE))</f>
        <v>not-provided</v>
      </c>
      <c r="I101" s="70" t="str">
        <f>if(iserror(vlookup('source-upstream'!I101,'data-cleansing-maps'!N$5:N$10,1,FALSE)),'source-upstream'!I101,"")</f>
        <v/>
      </c>
      <c r="J101" s="89" t="str">
        <f>'source-upstream'!J101</f>
        <v/>
      </c>
      <c r="K101" s="70" t="str">
        <f>if('source-upstream'!K101="",'schema-yn'!$A$5,vlookup('source-upstream'!K101,YN_MAP,3,FALSE))</f>
        <v>not-provided</v>
      </c>
      <c r="L101" s="90" t="str">
        <f>if('source-upstream'!L101="Not provided","",'source-upstream'!L101)</f>
        <v/>
      </c>
      <c r="M101" s="65" t="str">
        <f>if('source-upstream'!M101="",'schema-rv-services'!$B$26,vlookup(vlookup('source-upstream'!$M101,'analysis-rv-services'!$C:$E,3,FALSE),'schema-rv-services'!$A:$B,2, FALSE))</f>
        <v>feedstock</v>
      </c>
      <c r="N101" s="70"/>
    </row>
    <row r="102" ht="15.0" customHeight="1">
      <c r="A102" s="88" t="str">
        <f>Substitute(SUBSTITUTE(substitute(substitute(substitute(substitute(substitute(substitute(substitute(lower('source-upstream'!A102)," ","-"),"(",""),")",""),"&gt;",""),"&lt;",""),"---","-"),".","-"),"--","-"),"&amp;","-and-")</f>
        <v>lazy-sugar-glider</v>
      </c>
      <c r="B102" s="88" t="str">
        <f>Substitute(SUBSTITUTE(substitute(substitute(substitute(substitute(substitute(substitute(substitute(lower('source-upstream'!B102)," ","-"),"(",""),")",""),"&gt;",""),"&lt;",""),"---","-"),".","-"),"--","-"),"&amp;","-and-")</f>
        <v>swift-sugar-glider</v>
      </c>
      <c r="C102" s="70" t="str">
        <f>if('source-upstream'!C102="",'schema-frequency'!$B$11,vlookup('source-upstream'!C102,FREQUENCY_MAP, 3, FALSE))</f>
        <v>weekly</v>
      </c>
      <c r="D102" s="89" t="str">
        <f>'source-upstream'!D102</f>
        <v>Not provided</v>
      </c>
      <c r="E102" s="70" t="str">
        <f>if('source-upstream'!E102="",'schema-yn'!$A$5,vlookup('source-upstream'!E102,YN_MAP,3,FALSE))</f>
        <v>not-provided</v>
      </c>
      <c r="F102" s="70" t="str">
        <f>if('source-upstream'!F102="",'schema-yn'!$A$5,vlookup('source-upstream'!F102,YN_MAP,3,FALSE))</f>
        <v>not-provided</v>
      </c>
      <c r="G102" s="70" t="str">
        <f>if('source-upstream'!G102="",'schema-yn'!$A$5,vlookup('source-upstream'!G102,YN_MAP,3,FALSE))</f>
        <v>not-provided</v>
      </c>
      <c r="H102" s="70" t="str">
        <f>if('source-upstream'!H102="",'schema-yn'!$A$5,vlookup('source-upstream'!H102,RESILIENCE_OPTION_MAP,3,FALSE))</f>
        <v>not-provided</v>
      </c>
      <c r="I102" s="70" t="str">
        <f>if(iserror(vlookup('source-upstream'!I102,'data-cleansing-maps'!N$5:N$10,1,FALSE)),'source-upstream'!I102,"")</f>
        <v/>
      </c>
      <c r="J102" s="89" t="str">
        <f>'source-upstream'!J102</f>
        <v/>
      </c>
      <c r="K102" s="70" t="str">
        <f>if('source-upstream'!K102="",'schema-yn'!$A$5,vlookup('source-upstream'!K102,YN_MAP,3,FALSE))</f>
        <v>not-provided</v>
      </c>
      <c r="L102" s="90" t="str">
        <f>if('source-upstream'!L102="Not provided","",'source-upstream'!L102)</f>
        <v/>
      </c>
      <c r="M102" s="65" t="str">
        <f>if('source-upstream'!M102="",'schema-rv-services'!$B$26,vlookup(vlookup('source-upstream'!$M102,'analysis-rv-services'!$C:$E,3,FALSE),'schema-rv-services'!$A:$B,2, FALSE))</f>
        <v>feedstock</v>
      </c>
      <c r="N102" s="70"/>
    </row>
    <row r="103" ht="15.0" customHeight="1">
      <c r="A103" s="88" t="str">
        <f>Substitute(SUBSTITUTE(substitute(substitute(substitute(substitute(substitute(substitute(substitute(lower('source-upstream'!A103)," ","-"),"(",""),")",""),"&gt;",""),"&lt;",""),"---","-"),".","-"),"--","-"),"&amp;","-and-")</f>
        <v>lazy-sugar-glider</v>
      </c>
      <c r="B103" s="88" t="str">
        <f>Substitute(SUBSTITUTE(substitute(substitute(substitute(substitute(substitute(substitute(substitute(lower('source-upstream'!B103)," ","-"),"(",""),")",""),"&gt;",""),"&lt;",""),"---","-"),".","-"),"--","-"),"&amp;","-and-")</f>
        <v>yellow-blue-tongue-skink</v>
      </c>
      <c r="C103" s="70" t="str">
        <f>if('source-upstream'!C103="",'schema-frequency'!$B$11,vlookup('source-upstream'!C103,FREQUENCY_MAP, 3, FALSE))</f>
        <v>weekly</v>
      </c>
      <c r="D103" s="89" t="str">
        <f>'source-upstream'!D103</f>
        <v>Not provided</v>
      </c>
      <c r="E103" s="70" t="str">
        <f>if('source-upstream'!E103="",'schema-yn'!$A$5,vlookup('source-upstream'!E103,YN_MAP,3,FALSE))</f>
        <v>not-provided</v>
      </c>
      <c r="F103" s="70" t="str">
        <f>if('source-upstream'!F103="",'schema-yn'!$A$5,vlookup('source-upstream'!F103,YN_MAP,3,FALSE))</f>
        <v>not-provided</v>
      </c>
      <c r="G103" s="70" t="str">
        <f>if('source-upstream'!G103="",'schema-yn'!$A$5,vlookup('source-upstream'!G103,YN_MAP,3,FALSE))</f>
        <v>not-provided</v>
      </c>
      <c r="H103" s="70" t="str">
        <f>if('source-upstream'!H103="",'schema-yn'!$A$5,vlookup('source-upstream'!H103,RESILIENCE_OPTION_MAP,3,FALSE))</f>
        <v>not-provided</v>
      </c>
      <c r="I103" s="70" t="str">
        <f>if(iserror(vlookup('source-upstream'!I103,'data-cleansing-maps'!N$5:N$10,1,FALSE)),'source-upstream'!I103,"")</f>
        <v/>
      </c>
      <c r="J103" s="89" t="str">
        <f>'source-upstream'!J103</f>
        <v/>
      </c>
      <c r="K103" s="70" t="str">
        <f>if('source-upstream'!K103="",'schema-yn'!$A$5,vlookup('source-upstream'!K103,YN_MAP,3,FALSE))</f>
        <v>not-provided</v>
      </c>
      <c r="L103" s="90" t="str">
        <f>if('source-upstream'!L103="Not provided","",'source-upstream'!L103)</f>
        <v/>
      </c>
      <c r="M103" s="65" t="str">
        <f>if('source-upstream'!M103="",'schema-rv-services'!$B$26,vlookup(vlookup('source-upstream'!$M103,'analysis-rv-services'!$C:$E,3,FALSE),'schema-rv-services'!$A:$B,2, FALSE))</f>
        <v>feedstock</v>
      </c>
      <c r="N103" s="70"/>
    </row>
    <row r="104" ht="15.0" customHeight="1">
      <c r="A104" s="88" t="str">
        <f>Substitute(SUBSTITUTE(substitute(substitute(substitute(substitute(substitute(substitute(substitute(lower('source-upstream'!A104)," ","-"),"(",""),")",""),"&gt;",""),"&lt;",""),"---","-"),".","-"),"--","-"),"&amp;","-and-")</f>
        <v>lazy-sugar-glider</v>
      </c>
      <c r="B104" s="88" t="str">
        <f>Substitute(SUBSTITUTE(substitute(substitute(substitute(substitute(substitute(substitute(substitute(lower('source-upstream'!B104)," ","-"),"(",""),")",""),"&gt;",""),"&lt;",""),"---","-"),".","-"),"--","-"),"&amp;","-and-")</f>
        <v>red-numbat</v>
      </c>
      <c r="C104" s="70" t="str">
        <f>if('source-upstream'!C104="",'schema-frequency'!$B$11,vlookup('source-upstream'!C104,FREQUENCY_MAP, 3, FALSE))</f>
        <v>weekly</v>
      </c>
      <c r="D104" s="89" t="str">
        <f>'source-upstream'!D104</f>
        <v>Not provided</v>
      </c>
      <c r="E104" s="70" t="str">
        <f>if('source-upstream'!E104="",'schema-yn'!$A$5,vlookup('source-upstream'!E104,YN_MAP,3,FALSE))</f>
        <v>not-provided</v>
      </c>
      <c r="F104" s="70" t="str">
        <f>if('source-upstream'!F104="",'schema-yn'!$A$5,vlookup('source-upstream'!F104,YN_MAP,3,FALSE))</f>
        <v>not-provided</v>
      </c>
      <c r="G104" s="70" t="str">
        <f>if('source-upstream'!G104="",'schema-yn'!$A$5,vlookup('source-upstream'!G104,YN_MAP,3,FALSE))</f>
        <v>not-provided</v>
      </c>
      <c r="H104" s="70" t="str">
        <f>if('source-upstream'!H104="",'schema-yn'!$A$5,vlookup('source-upstream'!H104,RESILIENCE_OPTION_MAP,3,FALSE))</f>
        <v>not-provided</v>
      </c>
      <c r="I104" s="70" t="str">
        <f>if(iserror(vlookup('source-upstream'!I104,'data-cleansing-maps'!N$5:N$10,1,FALSE)),'source-upstream'!I104,"")</f>
        <v/>
      </c>
      <c r="J104" s="89" t="str">
        <f>'source-upstream'!J104</f>
        <v/>
      </c>
      <c r="K104" s="70" t="str">
        <f>if('source-upstream'!K104="",'schema-yn'!$A$5,vlookup('source-upstream'!K104,YN_MAP,3,FALSE))</f>
        <v>not-provided</v>
      </c>
      <c r="L104" s="90" t="str">
        <f>if('source-upstream'!L104="Not provided","",'source-upstream'!L104)</f>
        <v/>
      </c>
      <c r="M104" s="65" t="str">
        <f>if('source-upstream'!M104="",'schema-rv-services'!$B$26,vlookup(vlookup('source-upstream'!$M104,'analysis-rv-services'!$C:$E,3,FALSE),'schema-rv-services'!$A:$B,2, FALSE))</f>
        <v>waste-collection</v>
      </c>
      <c r="N104" s="70"/>
    </row>
    <row r="105" ht="15.0" customHeight="1">
      <c r="A105" s="88" t="str">
        <f>Substitute(SUBSTITUTE(substitute(substitute(substitute(substitute(substitute(substitute(substitute(lower('source-upstream'!A105)," ","-"),"(",""),")",""),"&gt;",""),"&lt;",""),"---","-"),".","-"),"--","-"),"&amp;","-and-")</f>
        <v>lazy-sugar-glider</v>
      </c>
      <c r="B105" s="88" t="str">
        <f>Substitute(SUBSTITUTE(substitute(substitute(substitute(substitute(substitute(substitute(substitute(lower('source-upstream'!B105)," ","-"),"(",""),")",""),"&gt;",""),"&lt;",""),"---","-"),".","-"),"--","-"),"&amp;","-and-")</f>
        <v>noisy-sugar-glider</v>
      </c>
      <c r="C105" s="70" t="str">
        <f>if('source-upstream'!C105="",'schema-frequency'!$B$11,vlookup('source-upstream'!C105,FREQUENCY_MAP, 3, FALSE))</f>
        <v>weekly</v>
      </c>
      <c r="D105" s="89" t="str">
        <f>'source-upstream'!D105</f>
        <v>Not provided</v>
      </c>
      <c r="E105" s="70" t="str">
        <f>if('source-upstream'!E105="",'schema-yn'!$A$5,vlookup('source-upstream'!E105,YN_MAP,3,FALSE))</f>
        <v>not-provided</v>
      </c>
      <c r="F105" s="70" t="str">
        <f>if('source-upstream'!F105="",'schema-yn'!$A$5,vlookup('source-upstream'!F105,YN_MAP,3,FALSE))</f>
        <v>not-provided</v>
      </c>
      <c r="G105" s="70" t="str">
        <f>if('source-upstream'!G105="",'schema-yn'!$A$5,vlookup('source-upstream'!G105,YN_MAP,3,FALSE))</f>
        <v>not-provided</v>
      </c>
      <c r="H105" s="70" t="str">
        <f>if('source-upstream'!H105="",'schema-yn'!$A$5,vlookup('source-upstream'!H105,RESILIENCE_OPTION_MAP,3,FALSE))</f>
        <v>not-provided</v>
      </c>
      <c r="I105" s="70" t="str">
        <f>if(iserror(vlookup('source-upstream'!I105,'data-cleansing-maps'!N$5:N$10,1,FALSE)),'source-upstream'!I105,"")</f>
        <v/>
      </c>
      <c r="J105" s="89" t="str">
        <f>'source-upstream'!J105</f>
        <v/>
      </c>
      <c r="K105" s="70" t="str">
        <f>if('source-upstream'!K105="",'schema-yn'!$A$5,vlookup('source-upstream'!K105,YN_MAP,3,FALSE))</f>
        <v>not-provided</v>
      </c>
      <c r="L105" s="90" t="str">
        <f>if('source-upstream'!L105="Not provided","",'source-upstream'!L105)</f>
        <v/>
      </c>
      <c r="M105" s="65" t="str">
        <f>if('source-upstream'!M105="",'schema-rv-services'!$B$26,vlookup(vlookup('source-upstream'!$M105,'analysis-rv-services'!$C:$E,3,FALSE),'schema-rv-services'!$A:$B,2, FALSE))</f>
        <v>feedstock</v>
      </c>
      <c r="N105" s="70"/>
    </row>
    <row r="106" ht="15.0" customHeight="1">
      <c r="A106" s="88" t="str">
        <f>Substitute(SUBSTITUTE(substitute(substitute(substitute(substitute(substitute(substitute(substitute(lower('source-upstream'!A106)," ","-"),"(",""),")",""),"&gt;",""),"&lt;",""),"---","-"),".","-"),"--","-"),"&amp;","-and-")</f>
        <v>lazy-sugar-glider</v>
      </c>
      <c r="B106" s="88" t="str">
        <f>Substitute(SUBSTITUTE(substitute(substitute(substitute(substitute(substitute(substitute(substitute(lower('source-upstream'!B106)," ","-"),"(",""),")",""),"&gt;",""),"&lt;",""),"---","-"),".","-"),"--","-"),"&amp;","-and-")</f>
        <v>green-wombat</v>
      </c>
      <c r="C106" s="70" t="str">
        <f>if('source-upstream'!C106="",'schema-frequency'!$B$11,vlookup('source-upstream'!C106,FREQUENCY_MAP, 3, FALSE))</f>
        <v>weekly</v>
      </c>
      <c r="D106" s="89" t="str">
        <f>'source-upstream'!D106</f>
        <v>Not provided</v>
      </c>
      <c r="E106" s="70" t="str">
        <f>if('source-upstream'!E106="",'schema-yn'!$A$5,vlookup('source-upstream'!E106,YN_MAP,3,FALSE))</f>
        <v>not-provided</v>
      </c>
      <c r="F106" s="70" t="str">
        <f>if('source-upstream'!F106="",'schema-yn'!$A$5,vlookup('source-upstream'!F106,YN_MAP,3,FALSE))</f>
        <v>not-provided</v>
      </c>
      <c r="G106" s="70" t="str">
        <f>if('source-upstream'!G106="",'schema-yn'!$A$5,vlookup('source-upstream'!G106,YN_MAP,3,FALSE))</f>
        <v>not-provided</v>
      </c>
      <c r="H106" s="70" t="str">
        <f>if('source-upstream'!H106="",'schema-yn'!$A$5,vlookup('source-upstream'!H106,RESILIENCE_OPTION_MAP,3,FALSE))</f>
        <v>not-provided</v>
      </c>
      <c r="I106" s="70" t="str">
        <f>if(iserror(vlookup('source-upstream'!I106,'data-cleansing-maps'!N$5:N$10,1,FALSE)),'source-upstream'!I106,"")</f>
        <v/>
      </c>
      <c r="J106" s="89" t="str">
        <f>'source-upstream'!J106</f>
        <v/>
      </c>
      <c r="K106" s="70" t="str">
        <f>if('source-upstream'!K106="",'schema-yn'!$A$5,vlookup('source-upstream'!K106,YN_MAP,3,FALSE))</f>
        <v>not-provided</v>
      </c>
      <c r="L106" s="90" t="str">
        <f>if('source-upstream'!L106="Not provided","",'source-upstream'!L106)</f>
        <v/>
      </c>
      <c r="M106" s="65" t="str">
        <f>if('source-upstream'!M106="",'schema-rv-services'!$B$26,vlookup(vlookup('source-upstream'!$M106,'analysis-rv-services'!$C:$E,3,FALSE),'schema-rv-services'!$A:$B,2, FALSE))</f>
        <v>feedstock</v>
      </c>
      <c r="N106" s="70"/>
    </row>
    <row r="107" ht="15.0" customHeight="1">
      <c r="A107" s="88" t="str">
        <f>Substitute(SUBSTITUTE(substitute(substitute(substitute(substitute(substitute(substitute(substitute(lower('source-upstream'!A107)," ","-"),"(",""),")",""),"&gt;",""),"&lt;",""),"---","-"),".","-"),"--","-"),"&amp;","-and-")</f>
        <v>lazy-sugar-glider</v>
      </c>
      <c r="B107" s="88" t="str">
        <f>Substitute(SUBSTITUTE(substitute(substitute(substitute(substitute(substitute(substitute(substitute(lower('source-upstream'!B107)," ","-"),"(",""),")",""),"&gt;",""),"&lt;",""),"---","-"),".","-"),"--","-"),"&amp;","-and-")</f>
        <v>spotted-possum</v>
      </c>
      <c r="C107" s="70" t="str">
        <f>if('source-upstream'!C107="",'schema-frequency'!$B$11,vlookup('source-upstream'!C107,FREQUENCY_MAP, 3, FALSE))</f>
        <v>weekly</v>
      </c>
      <c r="D107" s="89" t="str">
        <f>'source-upstream'!D107</f>
        <v>Not provided</v>
      </c>
      <c r="E107" s="70" t="str">
        <f>if('source-upstream'!E107="",'schema-yn'!$A$5,vlookup('source-upstream'!E107,YN_MAP,3,FALSE))</f>
        <v>not-provided</v>
      </c>
      <c r="F107" s="70" t="str">
        <f>if('source-upstream'!F107="",'schema-yn'!$A$5,vlookup('source-upstream'!F107,YN_MAP,3,FALSE))</f>
        <v>not-provided</v>
      </c>
      <c r="G107" s="70" t="str">
        <f>if('source-upstream'!G107="",'schema-yn'!$A$5,vlookup('source-upstream'!G107,YN_MAP,3,FALSE))</f>
        <v>not-provided</v>
      </c>
      <c r="H107" s="70" t="str">
        <f>if('source-upstream'!H107="",'schema-yn'!$A$5,vlookup('source-upstream'!H107,RESILIENCE_OPTION_MAP,3,FALSE))</f>
        <v>not-provided</v>
      </c>
      <c r="I107" s="70" t="str">
        <f>if(iserror(vlookup('source-upstream'!I107,'data-cleansing-maps'!N$5:N$10,1,FALSE)),'source-upstream'!I107,"")</f>
        <v/>
      </c>
      <c r="J107" s="89" t="str">
        <f>'source-upstream'!J107</f>
        <v/>
      </c>
      <c r="K107" s="70" t="str">
        <f>if('source-upstream'!K107="",'schema-yn'!$A$5,vlookup('source-upstream'!K107,YN_MAP,3,FALSE))</f>
        <v>not-provided</v>
      </c>
      <c r="L107" s="90" t="str">
        <f>if('source-upstream'!L107="Not provided","",'source-upstream'!L107)</f>
        <v/>
      </c>
      <c r="M107" s="65" t="str">
        <f>if('source-upstream'!M107="",'schema-rv-services'!$B$26,vlookup(vlookup('source-upstream'!$M107,'analysis-rv-services'!$C:$E,3,FALSE),'schema-rv-services'!$A:$B,2, FALSE))</f>
        <v>feedstock</v>
      </c>
      <c r="N107" s="70"/>
    </row>
    <row r="108" ht="15.0" customHeight="1">
      <c r="A108" s="88" t="str">
        <f>Substitute(SUBSTITUTE(substitute(substitute(substitute(substitute(substitute(substitute(substitute(lower('source-upstream'!A108)," ","-"),"(",""),")",""),"&gt;",""),"&lt;",""),"---","-"),".","-"),"--","-"),"&amp;","-and-")</f>
        <v>lazy-sugar-glider</v>
      </c>
      <c r="B108" s="88" t="str">
        <f>Substitute(SUBSTITUTE(substitute(substitute(substitute(substitute(substitute(substitute(substitute(lower('source-upstream'!B108)," ","-"),"(",""),")",""),"&gt;",""),"&lt;",""),"---","-"),".","-"),"--","-"),"&amp;","-and-")</f>
        <v>red-bush-stone-curlew</v>
      </c>
      <c r="C108" s="70" t="str">
        <f>if('source-upstream'!C108="",'schema-frequency'!$B$11,vlookup('source-upstream'!C108,FREQUENCY_MAP, 3, FALSE))</f>
        <v>weekly</v>
      </c>
      <c r="D108" s="89" t="str">
        <f>'source-upstream'!D108</f>
        <v>Not provided</v>
      </c>
      <c r="E108" s="70" t="str">
        <f>if('source-upstream'!E108="",'schema-yn'!$A$5,vlookup('source-upstream'!E108,YN_MAP,3,FALSE))</f>
        <v>not-provided</v>
      </c>
      <c r="F108" s="70" t="str">
        <f>if('source-upstream'!F108="",'schema-yn'!$A$5,vlookup('source-upstream'!F108,YN_MAP,3,FALSE))</f>
        <v>not-provided</v>
      </c>
      <c r="G108" s="70" t="str">
        <f>if('source-upstream'!G108="",'schema-yn'!$A$5,vlookup('source-upstream'!G108,YN_MAP,3,FALSE))</f>
        <v>not-provided</v>
      </c>
      <c r="H108" s="70" t="str">
        <f>if('source-upstream'!H108="",'schema-yn'!$A$5,vlookup('source-upstream'!H108,RESILIENCE_OPTION_MAP,3,FALSE))</f>
        <v>not-provided</v>
      </c>
      <c r="I108" s="70" t="str">
        <f>if(iserror(vlookup('source-upstream'!I108,'data-cleansing-maps'!N$5:N$10,1,FALSE)),'source-upstream'!I108,"")</f>
        <v/>
      </c>
      <c r="J108" s="89" t="str">
        <f>'source-upstream'!J108</f>
        <v/>
      </c>
      <c r="K108" s="70" t="str">
        <f>if('source-upstream'!K108="",'schema-yn'!$A$5,vlookup('source-upstream'!K108,YN_MAP,3,FALSE))</f>
        <v>not-provided</v>
      </c>
      <c r="L108" s="90" t="str">
        <f>if('source-upstream'!L108="Not provided","",'source-upstream'!L108)</f>
        <v/>
      </c>
      <c r="M108" s="65" t="str">
        <f>if('source-upstream'!M108="",'schema-rv-services'!$B$26,vlookup(vlookup('source-upstream'!$M108,'analysis-rv-services'!$C:$E,3,FALSE),'schema-rv-services'!$A:$B,2, FALSE))</f>
        <v>feedstock</v>
      </c>
      <c r="N108" s="70"/>
    </row>
    <row r="109" ht="15.0" customHeight="1">
      <c r="A109" s="88" t="str">
        <f>Substitute(SUBSTITUTE(substitute(substitute(substitute(substitute(substitute(substitute(substitute(lower('source-upstream'!A109)," ","-"),"(",""),")",""),"&gt;",""),"&lt;",""),"---","-"),".","-"),"--","-"),"&amp;","-and-")</f>
        <v>lazy-sugar-glider</v>
      </c>
      <c r="B109" s="88" t="str">
        <f>Substitute(SUBSTITUTE(substitute(substitute(substitute(substitute(substitute(substitute(substitute(lower('source-upstream'!B109)," ","-"),"(",""),")",""),"&gt;",""),"&lt;",""),"---","-"),".","-"),"--","-"),"&amp;","-and-")</f>
        <v>swift-platypus</v>
      </c>
      <c r="C109" s="70" t="str">
        <f>if('source-upstream'!C109="",'schema-frequency'!$B$11,vlookup('source-upstream'!C109,FREQUENCY_MAP, 3, FALSE))</f>
        <v>weekly</v>
      </c>
      <c r="D109" s="89" t="str">
        <f>'source-upstream'!D109</f>
        <v>Not provided</v>
      </c>
      <c r="E109" s="70" t="str">
        <f>if('source-upstream'!E109="",'schema-yn'!$A$5,vlookup('source-upstream'!E109,YN_MAP,3,FALSE))</f>
        <v>not-provided</v>
      </c>
      <c r="F109" s="70" t="str">
        <f>if('source-upstream'!F109="",'schema-yn'!$A$5,vlookup('source-upstream'!F109,YN_MAP,3,FALSE))</f>
        <v>not-provided</v>
      </c>
      <c r="G109" s="70" t="str">
        <f>if('source-upstream'!G109="",'schema-yn'!$A$5,vlookup('source-upstream'!G109,YN_MAP,3,FALSE))</f>
        <v>not-provided</v>
      </c>
      <c r="H109" s="70" t="str">
        <f>if('source-upstream'!H109="",'schema-yn'!$A$5,vlookup('source-upstream'!H109,RESILIENCE_OPTION_MAP,3,FALSE))</f>
        <v>not-provided</v>
      </c>
      <c r="I109" s="70" t="str">
        <f>if(iserror(vlookup('source-upstream'!I109,'data-cleansing-maps'!N$5:N$10,1,FALSE)),'source-upstream'!I109,"")</f>
        <v/>
      </c>
      <c r="J109" s="89" t="str">
        <f>'source-upstream'!J109</f>
        <v/>
      </c>
      <c r="K109" s="70" t="str">
        <f>if('source-upstream'!K109="",'schema-yn'!$A$5,vlookup('source-upstream'!K109,YN_MAP,3,FALSE))</f>
        <v>not-provided</v>
      </c>
      <c r="L109" s="90" t="str">
        <f>if('source-upstream'!L109="Not provided","",'source-upstream'!L109)</f>
        <v/>
      </c>
      <c r="M109" s="65" t="str">
        <f>if('source-upstream'!M109="",'schema-rv-services'!$B$26,vlookup(vlookup('source-upstream'!$M109,'analysis-rv-services'!$C:$E,3,FALSE),'schema-rv-services'!$A:$B,2, FALSE))</f>
        <v>feedstock</v>
      </c>
      <c r="N109" s="70"/>
    </row>
    <row r="110" ht="15.0" customHeight="1">
      <c r="A110" s="88" t="str">
        <f>Substitute(SUBSTITUTE(substitute(substitute(substitute(substitute(substitute(substitute(substitute(lower('source-upstream'!A110)," ","-"),"(",""),")",""),"&gt;",""),"&lt;",""),"---","-"),".","-"),"--","-"),"&amp;","-and-")</f>
        <v>lazy-sugar-glider</v>
      </c>
      <c r="B110" s="88" t="str">
        <f>Substitute(SUBSTITUTE(substitute(substitute(substitute(substitute(substitute(substitute(substitute(lower('source-upstream'!B110)," ","-"),"(",""),")",""),"&gt;",""),"&lt;",""),"---","-"),".","-"),"--","-"),"&amp;","-and-")</f>
        <v>blue-echidna</v>
      </c>
      <c r="C110" s="70" t="str">
        <f>if('source-upstream'!C110="",'schema-frequency'!$B$11,vlookup('source-upstream'!C110,FREQUENCY_MAP, 3, FALSE))</f>
        <v>weekly</v>
      </c>
      <c r="D110" s="89" t="str">
        <f>'source-upstream'!D110</f>
        <v>Not provided</v>
      </c>
      <c r="E110" s="70" t="str">
        <f>if('source-upstream'!E110="",'schema-yn'!$A$5,vlookup('source-upstream'!E110,YN_MAP,3,FALSE))</f>
        <v>not-provided</v>
      </c>
      <c r="F110" s="70" t="str">
        <f>if('source-upstream'!F110="",'schema-yn'!$A$5,vlookup('source-upstream'!F110,YN_MAP,3,FALSE))</f>
        <v>not-provided</v>
      </c>
      <c r="G110" s="70" t="str">
        <f>if('source-upstream'!G110="",'schema-yn'!$A$5,vlookup('source-upstream'!G110,YN_MAP,3,FALSE))</f>
        <v>not-provided</v>
      </c>
      <c r="H110" s="70" t="str">
        <f>if('source-upstream'!H110="",'schema-yn'!$A$5,vlookup('source-upstream'!H110,RESILIENCE_OPTION_MAP,3,FALSE))</f>
        <v>not-provided</v>
      </c>
      <c r="I110" s="70" t="str">
        <f>if(iserror(vlookup('source-upstream'!I110,'data-cleansing-maps'!N$5:N$10,1,FALSE)),'source-upstream'!I110,"")</f>
        <v/>
      </c>
      <c r="J110" s="89" t="str">
        <f>'source-upstream'!J110</f>
        <v/>
      </c>
      <c r="K110" s="70" t="str">
        <f>if('source-upstream'!K110="",'schema-yn'!$A$5,vlookup('source-upstream'!K110,YN_MAP,3,FALSE))</f>
        <v>not-provided</v>
      </c>
      <c r="L110" s="90" t="str">
        <f>if('source-upstream'!L110="Not provided","",'source-upstream'!L110)</f>
        <v/>
      </c>
      <c r="M110" s="65" t="str">
        <f>if('source-upstream'!M110="",'schema-rv-services'!$B$26,vlookup(vlookup('source-upstream'!$M110,'analysis-rv-services'!$C:$E,3,FALSE),'schema-rv-services'!$A:$B,2, FALSE))</f>
        <v>feedstock</v>
      </c>
      <c r="N110" s="70"/>
    </row>
    <row r="111" ht="15.0" customHeight="1">
      <c r="A111" s="88" t="str">
        <f>Substitute(SUBSTITUTE(substitute(substitute(substitute(substitute(substitute(substitute(substitute(lower('source-upstream'!A111)," ","-"),"(",""),")",""),"&gt;",""),"&lt;",""),"---","-"),".","-"),"--","-"),"&amp;","-and-")</f>
        <v>lazy-sugar-glider</v>
      </c>
      <c r="B111" s="88" t="str">
        <f>Substitute(SUBSTITUTE(substitute(substitute(substitute(substitute(substitute(substitute(substitute(lower('source-upstream'!B111)," ","-"),"(",""),")",""),"&gt;",""),"&lt;",""),"---","-"),".","-"),"--","-"),"&amp;","-and-")</f>
        <v>golden-kookaburra</v>
      </c>
      <c r="C111" s="70" t="str">
        <f>if('source-upstream'!C111="",'schema-frequency'!$B$11,vlookup('source-upstream'!C111,FREQUENCY_MAP, 3, FALSE))</f>
        <v>weekly</v>
      </c>
      <c r="D111" s="89" t="str">
        <f>'source-upstream'!D111</f>
        <v>Not provided</v>
      </c>
      <c r="E111" s="70" t="str">
        <f>if('source-upstream'!E111="",'schema-yn'!$A$5,vlookup('source-upstream'!E111,YN_MAP,3,FALSE))</f>
        <v>not-provided</v>
      </c>
      <c r="F111" s="70" t="str">
        <f>if('source-upstream'!F111="",'schema-yn'!$A$5,vlookup('source-upstream'!F111,YN_MAP,3,FALSE))</f>
        <v>not-provided</v>
      </c>
      <c r="G111" s="70" t="str">
        <f>if('source-upstream'!G111="",'schema-yn'!$A$5,vlookup('source-upstream'!G111,YN_MAP,3,FALSE))</f>
        <v>not-provided</v>
      </c>
      <c r="H111" s="70" t="str">
        <f>if('source-upstream'!H111="",'schema-yn'!$A$5,vlookup('source-upstream'!H111,RESILIENCE_OPTION_MAP,3,FALSE))</f>
        <v>not-provided</v>
      </c>
      <c r="I111" s="70" t="str">
        <f>if(iserror(vlookup('source-upstream'!I111,'data-cleansing-maps'!N$5:N$10,1,FALSE)),'source-upstream'!I111,"")</f>
        <v/>
      </c>
      <c r="J111" s="89" t="str">
        <f>'source-upstream'!J111</f>
        <v/>
      </c>
      <c r="K111" s="70" t="str">
        <f>if('source-upstream'!K111="",'schema-yn'!$A$5,vlookup('source-upstream'!K111,YN_MAP,3,FALSE))</f>
        <v>not-provided</v>
      </c>
      <c r="L111" s="90" t="str">
        <f>if('source-upstream'!L111="Not provided","",'source-upstream'!L111)</f>
        <v/>
      </c>
      <c r="M111" s="65" t="str">
        <f>if('source-upstream'!M111="",'schema-rv-services'!$B$26,vlookup(vlookup('source-upstream'!$M111,'analysis-rv-services'!$C:$E,3,FALSE),'schema-rv-services'!$A:$B,2, FALSE))</f>
        <v>feedstock</v>
      </c>
      <c r="N111" s="70"/>
    </row>
    <row r="112" ht="15.0" customHeight="1">
      <c r="A112" s="88" t="str">
        <f>Substitute(SUBSTITUTE(substitute(substitute(substitute(substitute(substitute(substitute(substitute(lower('source-upstream'!A112)," ","-"),"(",""),")",""),"&gt;",""),"&lt;",""),"---","-"),".","-"),"--","-"),"&amp;","-and-")</f>
        <v>lazy-sugar-glider</v>
      </c>
      <c r="B112" s="88" t="str">
        <f>Substitute(SUBSTITUTE(substitute(substitute(substitute(substitute(substitute(substitute(substitute(lower('source-upstream'!B112)," ","-"),"(",""),")",""),"&gt;",""),"&lt;",""),"---","-"),".","-"),"--","-"),"&amp;","-and-")</f>
        <v>golden-kangaroo</v>
      </c>
      <c r="C112" s="70" t="str">
        <f>if('source-upstream'!C112="",'schema-frequency'!$B$11,vlookup('source-upstream'!C112,FREQUENCY_MAP, 3, FALSE))</f>
        <v>weekly</v>
      </c>
      <c r="D112" s="89" t="str">
        <f>'source-upstream'!D112</f>
        <v>Not provided</v>
      </c>
      <c r="E112" s="70" t="str">
        <f>if('source-upstream'!E112="",'schema-yn'!$A$5,vlookup('source-upstream'!E112,YN_MAP,3,FALSE))</f>
        <v>not-provided</v>
      </c>
      <c r="F112" s="70" t="str">
        <f>if('source-upstream'!F112="",'schema-yn'!$A$5,vlookup('source-upstream'!F112,YN_MAP,3,FALSE))</f>
        <v>not-provided</v>
      </c>
      <c r="G112" s="70" t="str">
        <f>if('source-upstream'!G112="",'schema-yn'!$A$5,vlookup('source-upstream'!G112,YN_MAP,3,FALSE))</f>
        <v>not-provided</v>
      </c>
      <c r="H112" s="70" t="str">
        <f>if('source-upstream'!H112="",'schema-yn'!$A$5,vlookup('source-upstream'!H112,RESILIENCE_OPTION_MAP,3,FALSE))</f>
        <v>not-provided</v>
      </c>
      <c r="I112" s="70" t="str">
        <f>if(iserror(vlookup('source-upstream'!I112,'data-cleansing-maps'!N$5:N$10,1,FALSE)),'source-upstream'!I112,"")</f>
        <v/>
      </c>
      <c r="J112" s="89" t="str">
        <f>'source-upstream'!J112</f>
        <v/>
      </c>
      <c r="K112" s="70" t="str">
        <f>if('source-upstream'!K112="",'schema-yn'!$A$5,vlookup('source-upstream'!K112,YN_MAP,3,FALSE))</f>
        <v>not-provided</v>
      </c>
      <c r="L112" s="90" t="str">
        <f>if('source-upstream'!L112="Not provided","",'source-upstream'!L112)</f>
        <v/>
      </c>
      <c r="M112" s="65" t="str">
        <f>if('source-upstream'!M112="",'schema-rv-services'!$B$26,vlookup(vlookup('source-upstream'!$M112,'analysis-rv-services'!$C:$E,3,FALSE),'schema-rv-services'!$A:$B,2, FALSE))</f>
        <v>feedstock</v>
      </c>
      <c r="N112" s="70"/>
    </row>
    <row r="113" ht="15.0" customHeight="1">
      <c r="A113" s="88" t="str">
        <f>Substitute(SUBSTITUTE(substitute(substitute(substitute(substitute(substitute(substitute(substitute(lower('source-upstream'!A113)," ","-"),"(",""),")",""),"&gt;",""),"&lt;",""),"---","-"),".","-"),"--","-"),"&amp;","-and-")</f>
        <v>lazy-sugar-glider</v>
      </c>
      <c r="B113" s="88" t="str">
        <f>Substitute(SUBSTITUTE(substitute(substitute(substitute(substitute(substitute(substitute(substitute(lower('source-upstream'!B113)," ","-"),"(",""),")",""),"&gt;",""),"&lt;",""),"---","-"),".","-"),"--","-"),"&amp;","-and-")</f>
        <v>blue-numbat</v>
      </c>
      <c r="C113" s="70" t="str">
        <f>if('source-upstream'!C113="",'schema-frequency'!$B$11,vlookup('source-upstream'!C113,FREQUENCY_MAP, 3, FALSE))</f>
        <v>weekly</v>
      </c>
      <c r="D113" s="89" t="str">
        <f>'source-upstream'!D113</f>
        <v>Not provided</v>
      </c>
      <c r="E113" s="70" t="str">
        <f>if('source-upstream'!E113="",'schema-yn'!$A$5,vlookup('source-upstream'!E113,YN_MAP,3,FALSE))</f>
        <v>not-provided</v>
      </c>
      <c r="F113" s="70" t="str">
        <f>if('source-upstream'!F113="",'schema-yn'!$A$5,vlookup('source-upstream'!F113,YN_MAP,3,FALSE))</f>
        <v>not-provided</v>
      </c>
      <c r="G113" s="70" t="str">
        <f>if('source-upstream'!G113="",'schema-yn'!$A$5,vlookup('source-upstream'!G113,YN_MAP,3,FALSE))</f>
        <v>not-provided</v>
      </c>
      <c r="H113" s="70" t="str">
        <f>if('source-upstream'!H113="",'schema-yn'!$A$5,vlookup('source-upstream'!H113,RESILIENCE_OPTION_MAP,3,FALSE))</f>
        <v>not-provided</v>
      </c>
      <c r="I113" s="70" t="str">
        <f>if(iserror(vlookup('source-upstream'!I113,'data-cleansing-maps'!N$5:N$10,1,FALSE)),'source-upstream'!I113,"")</f>
        <v/>
      </c>
      <c r="J113" s="89" t="str">
        <f>'source-upstream'!J113</f>
        <v/>
      </c>
      <c r="K113" s="70" t="str">
        <f>if('source-upstream'!K113="",'schema-yn'!$A$5,vlookup('source-upstream'!K113,YN_MAP,3,FALSE))</f>
        <v>not-provided</v>
      </c>
      <c r="L113" s="90" t="str">
        <f>if('source-upstream'!L113="Not provided","",'source-upstream'!L113)</f>
        <v/>
      </c>
      <c r="M113" s="65" t="str">
        <f>if('source-upstream'!M113="",'schema-rv-services'!$B$26,vlookup(vlookup('source-upstream'!$M113,'analysis-rv-services'!$C:$E,3,FALSE),'schema-rv-services'!$A:$B,2, FALSE))</f>
        <v>feedstock</v>
      </c>
      <c r="N113" s="70"/>
    </row>
    <row r="114" ht="15.0" customHeight="1">
      <c r="A114" s="88" t="str">
        <f>Substitute(SUBSTITUTE(substitute(substitute(substitute(substitute(substitute(substitute(substitute(lower('source-upstream'!A114)," ","-"),"(",""),")",""),"&gt;",""),"&lt;",""),"---","-"),".","-"),"--","-"),"&amp;","-and-")</f>
        <v>lazy-sugar-glider</v>
      </c>
      <c r="B114" s="88" t="str">
        <f>Substitute(SUBSTITUTE(substitute(substitute(substitute(substitute(substitute(substitute(substitute(lower('source-upstream'!B114)," ","-"),"(",""),")",""),"&gt;",""),"&lt;",""),"---","-"),".","-"),"--","-"),"&amp;","-and-")</f>
        <v>wild-numbat</v>
      </c>
      <c r="C114" s="70" t="str">
        <f>if('source-upstream'!C114="",'schema-frequency'!$B$11,vlookup('source-upstream'!C114,FREQUENCY_MAP, 3, FALSE))</f>
        <v>weekly</v>
      </c>
      <c r="D114" s="89" t="str">
        <f>'source-upstream'!D114</f>
        <v>Not provided</v>
      </c>
      <c r="E114" s="70" t="str">
        <f>if('source-upstream'!E114="",'schema-yn'!$A$5,vlookup('source-upstream'!E114,YN_MAP,3,FALSE))</f>
        <v>not-provided</v>
      </c>
      <c r="F114" s="70" t="str">
        <f>if('source-upstream'!F114="",'schema-yn'!$A$5,vlookup('source-upstream'!F114,YN_MAP,3,FALSE))</f>
        <v>not-provided</v>
      </c>
      <c r="G114" s="70" t="str">
        <f>if('source-upstream'!G114="",'schema-yn'!$A$5,vlookup('source-upstream'!G114,YN_MAP,3,FALSE))</f>
        <v>not-provided</v>
      </c>
      <c r="H114" s="70" t="str">
        <f>if('source-upstream'!H114="",'schema-yn'!$A$5,vlookup('source-upstream'!H114,RESILIENCE_OPTION_MAP,3,FALSE))</f>
        <v>not-provided</v>
      </c>
      <c r="I114" s="70" t="str">
        <f>if(iserror(vlookup('source-upstream'!I114,'data-cleansing-maps'!N$5:N$10,1,FALSE)),'source-upstream'!I114,"")</f>
        <v/>
      </c>
      <c r="J114" s="89" t="str">
        <f>'source-upstream'!J114</f>
        <v/>
      </c>
      <c r="K114" s="70" t="str">
        <f>if('source-upstream'!K114="",'schema-yn'!$A$5,vlookup('source-upstream'!K114,YN_MAP,3,FALSE))</f>
        <v>not-provided</v>
      </c>
      <c r="L114" s="90" t="str">
        <f>if('source-upstream'!L114="Not provided","",'source-upstream'!L114)</f>
        <v/>
      </c>
      <c r="M114" s="65" t="str">
        <f>if('source-upstream'!M114="",'schema-rv-services'!$B$26,vlookup(vlookup('source-upstream'!$M114,'analysis-rv-services'!$C:$E,3,FALSE),'schema-rv-services'!$A:$B,2, FALSE))</f>
        <v>feedstock</v>
      </c>
      <c r="N114" s="70"/>
    </row>
    <row r="115" ht="15.0" customHeight="1">
      <c r="A115" s="88" t="str">
        <f>Substitute(SUBSTITUTE(substitute(substitute(substitute(substitute(substitute(substitute(substitute(lower('source-upstream'!A115)," ","-"),"(",""),")",""),"&gt;",""),"&lt;",""),"---","-"),".","-"),"--","-"),"&amp;","-and-")</f>
        <v>lazy-sugar-glider</v>
      </c>
      <c r="B115" s="88" t="str">
        <f>Substitute(SUBSTITUTE(substitute(substitute(substitute(substitute(substitute(substitute(substitute(lower('source-upstream'!B115)," ","-"),"(",""),")",""),"&gt;",""),"&lt;",""),"---","-"),".","-"),"--","-"),"&amp;","-and-")</f>
        <v>swift-emu</v>
      </c>
      <c r="C115" s="70" t="str">
        <f>if('source-upstream'!C115="",'schema-frequency'!$B$11,vlookup('source-upstream'!C115,FREQUENCY_MAP, 3, FALSE))</f>
        <v>weekly</v>
      </c>
      <c r="D115" s="89" t="str">
        <f>'source-upstream'!D115</f>
        <v>Not provided</v>
      </c>
      <c r="E115" s="70" t="str">
        <f>if('source-upstream'!E115="",'schema-yn'!$A$5,vlookup('source-upstream'!E115,YN_MAP,3,FALSE))</f>
        <v>not-provided</v>
      </c>
      <c r="F115" s="70" t="str">
        <f>if('source-upstream'!F115="",'schema-yn'!$A$5,vlookup('source-upstream'!F115,YN_MAP,3,FALSE))</f>
        <v>not-provided</v>
      </c>
      <c r="G115" s="70" t="str">
        <f>if('source-upstream'!G115="",'schema-yn'!$A$5,vlookup('source-upstream'!G115,YN_MAP,3,FALSE))</f>
        <v>not-provided</v>
      </c>
      <c r="H115" s="70" t="str">
        <f>if('source-upstream'!H115="",'schema-yn'!$A$5,vlookup('source-upstream'!H115,RESILIENCE_OPTION_MAP,3,FALSE))</f>
        <v>not-provided</v>
      </c>
      <c r="I115" s="70" t="str">
        <f>if(iserror(vlookup('source-upstream'!I115,'data-cleansing-maps'!N$5:N$10,1,FALSE)),'source-upstream'!I115,"")</f>
        <v/>
      </c>
      <c r="J115" s="89" t="str">
        <f>'source-upstream'!J115</f>
        <v/>
      </c>
      <c r="K115" s="70" t="str">
        <f>if('source-upstream'!K115="",'schema-yn'!$A$5,vlookup('source-upstream'!K115,YN_MAP,3,FALSE))</f>
        <v>not-provided</v>
      </c>
      <c r="L115" s="90" t="str">
        <f>if('source-upstream'!L115="Not provided","",'source-upstream'!L115)</f>
        <v/>
      </c>
      <c r="M115" s="65" t="str">
        <f>if('source-upstream'!M115="",'schema-rv-services'!$B$26,vlookup(vlookup('source-upstream'!$M115,'analysis-rv-services'!$C:$E,3,FALSE),'schema-rv-services'!$A:$B,2, FALSE))</f>
        <v>feedstock</v>
      </c>
      <c r="N115" s="70"/>
    </row>
    <row r="116" ht="15.0" customHeight="1">
      <c r="A116" s="88" t="str">
        <f>Substitute(SUBSTITUTE(substitute(substitute(substitute(substitute(substitute(substitute(substitute(lower('source-upstream'!A116)," ","-"),"(",""),")",""),"&gt;",""),"&lt;",""),"---","-"),".","-"),"--","-"),"&amp;","-and-")</f>
        <v>lazy-sugar-glider</v>
      </c>
      <c r="B116" s="88" t="str">
        <f>Substitute(SUBSTITUTE(substitute(substitute(substitute(substitute(substitute(substitute(substitute(lower('source-upstream'!B116)," ","-"),"(",""),")",""),"&gt;",""),"&lt;",""),"---","-"),".","-"),"--","-"),"&amp;","-and-")</f>
        <v>tiny-dingo</v>
      </c>
      <c r="C116" s="70" t="str">
        <f>if('source-upstream'!C116="",'schema-frequency'!$B$11,vlookup('source-upstream'!C116,FREQUENCY_MAP, 3, FALSE))</f>
        <v>weekly</v>
      </c>
      <c r="D116" s="89" t="str">
        <f>'source-upstream'!D116</f>
        <v>Not provided</v>
      </c>
      <c r="E116" s="70" t="str">
        <f>if('source-upstream'!E116="",'schema-yn'!$A$5,vlookup('source-upstream'!E116,YN_MAP,3,FALSE))</f>
        <v>not-provided</v>
      </c>
      <c r="F116" s="70" t="str">
        <f>if('source-upstream'!F116="",'schema-yn'!$A$5,vlookup('source-upstream'!F116,YN_MAP,3,FALSE))</f>
        <v>not-provided</v>
      </c>
      <c r="G116" s="70" t="str">
        <f>if('source-upstream'!G116="",'schema-yn'!$A$5,vlookup('source-upstream'!G116,YN_MAP,3,FALSE))</f>
        <v>not-provided</v>
      </c>
      <c r="H116" s="70" t="str">
        <f>if('source-upstream'!H116="",'schema-yn'!$A$5,vlookup('source-upstream'!H116,RESILIENCE_OPTION_MAP,3,FALSE))</f>
        <v>not-provided</v>
      </c>
      <c r="I116" s="70" t="str">
        <f>if(iserror(vlookup('source-upstream'!I116,'data-cleansing-maps'!N$5:N$10,1,FALSE)),'source-upstream'!I116,"")</f>
        <v/>
      </c>
      <c r="J116" s="89" t="str">
        <f>'source-upstream'!J116</f>
        <v/>
      </c>
      <c r="K116" s="70" t="str">
        <f>if('source-upstream'!K116="",'schema-yn'!$A$5,vlookup('source-upstream'!K116,YN_MAP,3,FALSE))</f>
        <v>not-provided</v>
      </c>
      <c r="L116" s="90" t="str">
        <f>if('source-upstream'!L116="Not provided","",'source-upstream'!L116)</f>
        <v/>
      </c>
      <c r="M116" s="65" t="str">
        <f>if('source-upstream'!M116="",'schema-rv-services'!$B$26,vlookup(vlookup('source-upstream'!$M116,'analysis-rv-services'!$C:$E,3,FALSE),'schema-rv-services'!$A:$B,2, FALSE))</f>
        <v>feedstock</v>
      </c>
      <c r="N116" s="70"/>
    </row>
    <row r="117" ht="15.0" customHeight="1">
      <c r="A117" s="88" t="str">
        <f>Substitute(SUBSTITUTE(substitute(substitute(substitute(substitute(substitute(substitute(substitute(lower('source-upstream'!A117)," ","-"),"(",""),")",""),"&gt;",""),"&lt;",""),"---","-"),".","-"),"--","-"),"&amp;","-and-")</f>
        <v>lazy-sugar-glider</v>
      </c>
      <c r="B117" s="88" t="str">
        <f>Substitute(SUBSTITUTE(substitute(substitute(substitute(substitute(substitute(substitute(substitute(lower('source-upstream'!B117)," ","-"),"(",""),")",""),"&gt;",""),"&lt;",""),"---","-"),".","-"),"--","-"),"&amp;","-and-")</f>
        <v>brave-sugar-glider</v>
      </c>
      <c r="C117" s="70" t="str">
        <f>if('source-upstream'!C117="",'schema-frequency'!$B$11,vlookup('source-upstream'!C117,FREQUENCY_MAP, 3, FALSE))</f>
        <v>weekly</v>
      </c>
      <c r="D117" s="89" t="str">
        <f>'source-upstream'!D117</f>
        <v>Not provided</v>
      </c>
      <c r="E117" s="70" t="str">
        <f>if('source-upstream'!E117="",'schema-yn'!$A$5,vlookup('source-upstream'!E117,YN_MAP,3,FALSE))</f>
        <v>not-provided</v>
      </c>
      <c r="F117" s="70" t="str">
        <f>if('source-upstream'!F117="",'schema-yn'!$A$5,vlookup('source-upstream'!F117,YN_MAP,3,FALSE))</f>
        <v>not-provided</v>
      </c>
      <c r="G117" s="70" t="str">
        <f>if('source-upstream'!G117="",'schema-yn'!$A$5,vlookup('source-upstream'!G117,YN_MAP,3,FALSE))</f>
        <v>not-provided</v>
      </c>
      <c r="H117" s="70" t="str">
        <f>if('source-upstream'!H117="",'schema-yn'!$A$5,vlookup('source-upstream'!H117,RESILIENCE_OPTION_MAP,3,FALSE))</f>
        <v>not-provided</v>
      </c>
      <c r="I117" s="70" t="str">
        <f>if(iserror(vlookup('source-upstream'!I117,'data-cleansing-maps'!N$5:N$10,1,FALSE)),'source-upstream'!I117,"")</f>
        <v/>
      </c>
      <c r="J117" s="89" t="str">
        <f>'source-upstream'!J117</f>
        <v/>
      </c>
      <c r="K117" s="70" t="str">
        <f>if('source-upstream'!K117="",'schema-yn'!$A$5,vlookup('source-upstream'!K117,YN_MAP,3,FALSE))</f>
        <v>not-provided</v>
      </c>
      <c r="L117" s="90" t="str">
        <f>if('source-upstream'!L117="Not provided","",'source-upstream'!L117)</f>
        <v/>
      </c>
      <c r="M117" s="65" t="str">
        <f>if('source-upstream'!M117="",'schema-rv-services'!$B$26,vlookup(vlookup('source-upstream'!$M117,'analysis-rv-services'!$C:$E,3,FALSE),'schema-rv-services'!$A:$B,2, FALSE))</f>
        <v>feedstock</v>
      </c>
      <c r="N117" s="70"/>
    </row>
    <row r="118" ht="15.0" customHeight="1">
      <c r="A118" s="88" t="str">
        <f>Substitute(SUBSTITUTE(substitute(substitute(substitute(substitute(substitute(substitute(substitute(lower('source-upstream'!A118)," ","-"),"(",""),")",""),"&gt;",""),"&lt;",""),"---","-"),".","-"),"--","-"),"&amp;","-and-")</f>
        <v>lazy-sugar-glider</v>
      </c>
      <c r="B118" s="88" t="str">
        <f>Substitute(SUBSTITUTE(substitute(substitute(substitute(substitute(substitute(substitute(substitute(lower('source-upstream'!B118)," ","-"),"(",""),")",""),"&gt;",""),"&lt;",""),"---","-"),".","-"),"--","-"),"&amp;","-and-")</f>
        <v>golden-echidna</v>
      </c>
      <c r="C118" s="70" t="str">
        <f>if('source-upstream'!C118="",'schema-frequency'!$B$11,vlookup('source-upstream'!C118,FREQUENCY_MAP, 3, FALSE))</f>
        <v>weekly</v>
      </c>
      <c r="D118" s="89" t="str">
        <f>'source-upstream'!D118</f>
        <v>Not provided</v>
      </c>
      <c r="E118" s="70" t="str">
        <f>if('source-upstream'!E118="",'schema-yn'!$A$5,vlookup('source-upstream'!E118,YN_MAP,3,FALSE))</f>
        <v>not-provided</v>
      </c>
      <c r="F118" s="70" t="str">
        <f>if('source-upstream'!F118="",'schema-yn'!$A$5,vlookup('source-upstream'!F118,YN_MAP,3,FALSE))</f>
        <v>not-provided</v>
      </c>
      <c r="G118" s="70" t="str">
        <f>if('source-upstream'!G118="",'schema-yn'!$A$5,vlookup('source-upstream'!G118,YN_MAP,3,FALSE))</f>
        <v>not-provided</v>
      </c>
      <c r="H118" s="70" t="str">
        <f>if('source-upstream'!H118="",'schema-yn'!$A$5,vlookup('source-upstream'!H118,RESILIENCE_OPTION_MAP,3,FALSE))</f>
        <v>not-provided</v>
      </c>
      <c r="I118" s="70" t="str">
        <f>if(iserror(vlookup('source-upstream'!I118,'data-cleansing-maps'!N$5:N$10,1,FALSE)),'source-upstream'!I118,"")</f>
        <v/>
      </c>
      <c r="J118" s="89" t="str">
        <f>'source-upstream'!J118</f>
        <v/>
      </c>
      <c r="K118" s="70" t="str">
        <f>if('source-upstream'!K118="",'schema-yn'!$A$5,vlookup('source-upstream'!K118,YN_MAP,3,FALSE))</f>
        <v>not-provided</v>
      </c>
      <c r="L118" s="90" t="str">
        <f>if('source-upstream'!L118="Not provided","",'source-upstream'!L118)</f>
        <v/>
      </c>
      <c r="M118" s="65" t="str">
        <f>if('source-upstream'!M118="",'schema-rv-services'!$B$26,vlookup(vlookup('source-upstream'!$M118,'analysis-rv-services'!$C:$E,3,FALSE),'schema-rv-services'!$A:$B,2, FALSE))</f>
        <v>feedstock</v>
      </c>
      <c r="N118" s="70"/>
    </row>
    <row r="119" ht="15.0" customHeight="1">
      <c r="A119" s="88" t="str">
        <f>Substitute(SUBSTITUTE(substitute(substitute(substitute(substitute(substitute(substitute(substitute(lower('source-upstream'!A119)," ","-"),"(",""),")",""),"&gt;",""),"&lt;",""),"---","-"),".","-"),"--","-"),"&amp;","-and-")</f>
        <v>lazy-sugar-glider</v>
      </c>
      <c r="B119" s="88" t="str">
        <f>Substitute(SUBSTITUTE(substitute(substitute(substitute(substitute(substitute(substitute(substitute(lower('source-upstream'!B119)," ","-"),"(",""),")",""),"&gt;",""),"&lt;",""),"---","-"),".","-"),"--","-"),"&amp;","-and-")</f>
        <v>shy-bilby</v>
      </c>
      <c r="C119" s="70" t="str">
        <f>if('source-upstream'!C119="",'schema-frequency'!$B$11,vlookup('source-upstream'!C119,FREQUENCY_MAP, 3, FALSE))</f>
        <v>weekly</v>
      </c>
      <c r="D119" s="89" t="str">
        <f>'source-upstream'!D119</f>
        <v>Not provided</v>
      </c>
      <c r="E119" s="70" t="str">
        <f>if('source-upstream'!E119="",'schema-yn'!$A$5,vlookup('source-upstream'!E119,YN_MAP,3,FALSE))</f>
        <v>not-provided</v>
      </c>
      <c r="F119" s="70" t="str">
        <f>if('source-upstream'!F119="",'schema-yn'!$A$5,vlookup('source-upstream'!F119,YN_MAP,3,FALSE))</f>
        <v>not-provided</v>
      </c>
      <c r="G119" s="70" t="str">
        <f>if('source-upstream'!G119="",'schema-yn'!$A$5,vlookup('source-upstream'!G119,YN_MAP,3,FALSE))</f>
        <v>not-provided</v>
      </c>
      <c r="H119" s="70" t="str">
        <f>if('source-upstream'!H119="",'schema-yn'!$A$5,vlookup('source-upstream'!H119,RESILIENCE_OPTION_MAP,3,FALSE))</f>
        <v>not-provided</v>
      </c>
      <c r="I119" s="70" t="str">
        <f>if(iserror(vlookup('source-upstream'!I119,'data-cleansing-maps'!N$5:N$10,1,FALSE)),'source-upstream'!I119,"")</f>
        <v/>
      </c>
      <c r="J119" s="89" t="str">
        <f>'source-upstream'!J119</f>
        <v/>
      </c>
      <c r="K119" s="70" t="str">
        <f>if('source-upstream'!K119="",'schema-yn'!$A$5,vlookup('source-upstream'!K119,YN_MAP,3,FALSE))</f>
        <v>not-provided</v>
      </c>
      <c r="L119" s="90" t="str">
        <f>if('source-upstream'!L119="Not provided","",'source-upstream'!L119)</f>
        <v/>
      </c>
      <c r="M119" s="65" t="str">
        <f>if('source-upstream'!M119="",'schema-rv-services'!$B$26,vlookup(vlookup('source-upstream'!$M119,'analysis-rv-services'!$C:$E,3,FALSE),'schema-rv-services'!$A:$B,2, FALSE))</f>
        <v>feedstock</v>
      </c>
      <c r="N119" s="70"/>
    </row>
    <row r="120" ht="15.0" customHeight="1">
      <c r="A120" s="88" t="str">
        <f>Substitute(SUBSTITUTE(substitute(substitute(substitute(substitute(substitute(substitute(substitute(lower('source-upstream'!A120)," ","-"),"(",""),")",""),"&gt;",""),"&lt;",""),"---","-"),".","-"),"--","-"),"&amp;","-and-")</f>
        <v>noisy-dingo</v>
      </c>
      <c r="B120" s="88" t="str">
        <f>Substitute(SUBSTITUTE(substitute(substitute(substitute(substitute(substitute(substitute(substitute(lower('source-upstream'!B120)," ","-"),"(",""),")",""),"&gt;",""),"&lt;",""),"---","-"),".","-"),"--","-"),"&amp;","-and-")</f>
        <v>fuzzy-cassowary</v>
      </c>
      <c r="C120" s="70" t="str">
        <f>if('source-upstream'!C120="",'schema-frequency'!$B$11,vlookup('source-upstream'!C120,FREQUENCY_MAP, 3, FALSE))</f>
        <v>not-provided</v>
      </c>
      <c r="D120" s="89" t="str">
        <f>'source-upstream'!D120</f>
        <v>Collection</v>
      </c>
      <c r="E120" s="70" t="str">
        <f>if('source-upstream'!E120="",'schema-yn'!$A$5,vlookup('source-upstream'!E120,YN_MAP,3,FALSE))</f>
        <v>yes</v>
      </c>
      <c r="F120" s="70" t="str">
        <f>if('source-upstream'!F120="",'schema-yn'!$A$5,vlookup('source-upstream'!F120,YN_MAP,3,FALSE))</f>
        <v>no</v>
      </c>
      <c r="G120" s="70" t="str">
        <f>if('source-upstream'!G120="",'schema-yn'!$A$5,vlookup('source-upstream'!G120,YN_MAP,3,FALSE))</f>
        <v>yes</v>
      </c>
      <c r="H120" s="70" t="str">
        <f>if('source-upstream'!H120="",'schema-yn'!$A$5,vlookup('source-upstream'!H120,RESILIENCE_OPTION_MAP,3,FALSE))</f>
        <v>alternative-supplier</v>
      </c>
      <c r="I120" s="70" t="str">
        <f>if(iserror(vlookup('source-upstream'!I120,'data-cleansing-maps'!N$5:N$10,1,FALSE)),'source-upstream'!I120,"")</f>
        <v/>
      </c>
      <c r="J120" s="89" t="str">
        <f>'source-upstream'!J120</f>
        <v>Could operate at reduced levels with alternative transport operators. Other vendors available &amp;
 assets may be purchased and towed by others</v>
      </c>
      <c r="K120" s="70" t="str">
        <f>if('source-upstream'!K120="",'schema-yn'!$A$5,vlookup('source-upstream'!K120,YN_MAP,3,FALSE))</f>
        <v>not-provided</v>
      </c>
      <c r="L120" s="90" t="str">
        <f>if('source-upstream'!L120="Not provided","",'source-upstream'!L120)</f>
        <v/>
      </c>
      <c r="M120" s="65" t="str">
        <f>if('source-upstream'!M120="",'schema-rv-services'!$B$26,vlookup(vlookup('source-upstream'!$M120,'analysis-rv-services'!$C:$E,3,FALSE),'schema-rv-services'!$A:$B,2, FALSE))</f>
        <v>transport</v>
      </c>
      <c r="N120" s="70"/>
    </row>
    <row r="121" ht="15.0" customHeight="1">
      <c r="A121" s="88" t="str">
        <f>Substitute(SUBSTITUTE(substitute(substitute(substitute(substitute(substitute(substitute(substitute(lower('source-upstream'!A121)," ","-"),"(",""),")",""),"&gt;",""),"&lt;",""),"---","-"),".","-"),"--","-"),"&amp;","-and-")</f>
        <v>noisy-dingo</v>
      </c>
      <c r="B121" s="88" t="str">
        <f>Substitute(SUBSTITUTE(substitute(substitute(substitute(substitute(substitute(substitute(substitute(lower('source-upstream'!B121)," ","-"),"(",""),")",""),"&gt;",""),"&lt;",""),"---","-"),".","-"),"--","-"),"&amp;","-and-")</f>
        <v>golden-koala</v>
      </c>
      <c r="C121" s="70" t="str">
        <f>if('source-upstream'!C121="",'schema-frequency'!$B$11,vlookup('source-upstream'!C121,FREQUENCY_MAP, 3, FALSE))</f>
        <v>not-provided</v>
      </c>
      <c r="D121" s="89" t="str">
        <f>'source-upstream'!D121</f>
        <v>Collection</v>
      </c>
      <c r="E121" s="70" t="str">
        <f>if('source-upstream'!E121="",'schema-yn'!$A$5,vlookup('source-upstream'!E121,YN_MAP,3,FALSE))</f>
        <v>yes</v>
      </c>
      <c r="F121" s="70" t="str">
        <f>if('source-upstream'!F121="",'schema-yn'!$A$5,vlookup('source-upstream'!F121,YN_MAP,3,FALSE))</f>
        <v>no</v>
      </c>
      <c r="G121" s="70" t="str">
        <f>if('source-upstream'!G121="",'schema-yn'!$A$5,vlookup('source-upstream'!G121,YN_MAP,3,FALSE))</f>
        <v>yes</v>
      </c>
      <c r="H121" s="70" t="str">
        <f>if('source-upstream'!H121="",'schema-yn'!$A$5,vlookup('source-upstream'!H121,RESILIENCE_OPTION_MAP,3,FALSE))</f>
        <v>alternative-supplier</v>
      </c>
      <c r="I121" s="70" t="str">
        <f>if(iserror(vlookup('source-upstream'!I121,'data-cleansing-maps'!N$5:N$10,1,FALSE)),'source-upstream'!I121,"")</f>
        <v>["silent-rosella"]</v>
      </c>
      <c r="J121" s="89" t="str">
        <f>'source-upstream'!J121</f>
        <v>Collects shred/HM from Sims Metal and Norstar</v>
      </c>
      <c r="K121" s="70" t="str">
        <f>if('source-upstream'!K121="",'schema-yn'!$A$5,vlookup('source-upstream'!K121,YN_MAP,3,FALSE))</f>
        <v>not-provided</v>
      </c>
      <c r="L121" s="90" t="str">
        <f>if('source-upstream'!L121="Not provided","",'source-upstream'!L121)</f>
        <v/>
      </c>
      <c r="M121" s="65" t="str">
        <f>if('source-upstream'!M121="",'schema-rv-services'!$B$26,vlookup(vlookup('source-upstream'!$M121,'analysis-rv-services'!$C:$E,3,FALSE),'schema-rv-services'!$A:$B,2, FALSE))</f>
        <v>transport</v>
      </c>
      <c r="N121" s="70"/>
    </row>
    <row r="122" ht="15.0" customHeight="1">
      <c r="A122" s="88" t="str">
        <f>Substitute(SUBSTITUTE(substitute(substitute(substitute(substitute(substitute(substitute(substitute(lower('source-upstream'!A122)," ","-"),"(",""),")",""),"&gt;",""),"&lt;",""),"---","-"),".","-"),"--","-"),"&amp;","-and-")</f>
        <v>noisy-dingo</v>
      </c>
      <c r="B122" s="88" t="str">
        <f>Substitute(SUBSTITUTE(substitute(substitute(substitute(substitute(substitute(substitute(substitute(lower('source-upstream'!B122)," ","-"),"(",""),")",""),"&gt;",""),"&lt;",""),"---","-"),".","-"),"--","-"),"&amp;","-and-")</f>
        <v>golden-koala</v>
      </c>
      <c r="C122" s="70" t="str">
        <f>if('source-upstream'!C122="",'schema-frequency'!$B$11,vlookup('source-upstream'!C122,FREQUENCY_MAP, 3, FALSE))</f>
        <v>not-provided</v>
      </c>
      <c r="D122" s="89" t="str">
        <f>'source-upstream'!D122</f>
        <v>Collection</v>
      </c>
      <c r="E122" s="70" t="str">
        <f>if('source-upstream'!E122="",'schema-yn'!$A$5,vlookup('source-upstream'!E122,YN_MAP,3,FALSE))</f>
        <v>yes</v>
      </c>
      <c r="F122" s="70" t="str">
        <f>if('source-upstream'!F122="",'schema-yn'!$A$5,vlookup('source-upstream'!F122,YN_MAP,3,FALSE))</f>
        <v>no</v>
      </c>
      <c r="G122" s="70" t="str">
        <f>if('source-upstream'!G122="",'schema-yn'!$A$5,vlookup('source-upstream'!G122,YN_MAP,3,FALSE))</f>
        <v>yes</v>
      </c>
      <c r="H122" s="70" t="str">
        <f>if('source-upstream'!H122="",'schema-yn'!$A$5,vlookup('source-upstream'!H122,RESILIENCE_OPTION_MAP,3,FALSE))</f>
        <v>alternative-supplier</v>
      </c>
      <c r="I122" s="70" t="str">
        <f>if(iserror(vlookup('source-upstream'!I122,'data-cleansing-maps'!N$5:N$10,1,FALSE)),'source-upstream'!I122,"")</f>
        <v>["striped-frilled-neck-lizard"]</v>
      </c>
      <c r="J122" s="89" t="str">
        <f>'source-upstream'!J122</f>
        <v>Collects shred/HM from Sims Metal and Norstar</v>
      </c>
      <c r="K122" s="70" t="str">
        <f>if('source-upstream'!K122="",'schema-yn'!$A$5,vlookup('source-upstream'!K122,YN_MAP,3,FALSE))</f>
        <v>not-provided</v>
      </c>
      <c r="L122" s="90" t="str">
        <f>if('source-upstream'!L122="Not provided","",'source-upstream'!L122)</f>
        <v/>
      </c>
      <c r="M122" s="65" t="str">
        <f>if('source-upstream'!M122="",'schema-rv-services'!$B$26,vlookup(vlookup('source-upstream'!$M122,'analysis-rv-services'!$C:$E,3,FALSE),'schema-rv-services'!$A:$B,2, FALSE))</f>
        <v>transport</v>
      </c>
      <c r="N122" s="70"/>
    </row>
    <row r="123" ht="15.0" customHeight="1">
      <c r="A123" s="88" t="str">
        <f>Substitute(SUBSTITUTE(substitute(substitute(substitute(substitute(substitute(substitute(substitute(lower('source-upstream'!A123)," ","-"),"(",""),")",""),"&gt;",""),"&lt;",""),"---","-"),".","-"),"--","-"),"&amp;","-and-")</f>
        <v>noisy-dingo</v>
      </c>
      <c r="B123" s="88" t="str">
        <f>Substitute(SUBSTITUTE(substitute(substitute(substitute(substitute(substitute(substitute(substitute(lower('source-upstream'!B123)," ","-"),"(",""),")",""),"&gt;",""),"&lt;",""),"---","-"),".","-"),"--","-"),"&amp;","-and-")</f>
        <v>striped-frilled-neck-lizard</v>
      </c>
      <c r="C123" s="70" t="str">
        <f>if('source-upstream'!C123="",'schema-frequency'!$B$11,vlookup('source-upstream'!C123,FREQUENCY_MAP, 3, FALSE))</f>
        <v>not-provided</v>
      </c>
      <c r="D123" s="89" t="str">
        <f>'source-upstream'!D123</f>
        <v>Feedstock - shred</v>
      </c>
      <c r="E123" s="70" t="str">
        <f>if('source-upstream'!E123="",'schema-yn'!$A$5,vlookup('source-upstream'!E123,YN_MAP,3,FALSE))</f>
        <v>yes</v>
      </c>
      <c r="F123" s="70" t="str">
        <f>if('source-upstream'!F123="",'schema-yn'!$A$5,vlookup('source-upstream'!F123,YN_MAP,3,FALSE))</f>
        <v>no</v>
      </c>
      <c r="G123" s="70" t="str">
        <f>if('source-upstream'!G123="",'schema-yn'!$A$5,vlookup('source-upstream'!G123,YN_MAP,3,FALSE))</f>
        <v>yes</v>
      </c>
      <c r="H123" s="70" t="str">
        <f>if('source-upstream'!H123="",'schema-yn'!$A$5,vlookup('source-upstream'!H123,RESILIENCE_OPTION_MAP,3,FALSE))</f>
        <v>alternative-supplier</v>
      </c>
      <c r="I123" s="70" t="str">
        <f>if(iserror(vlookup('source-upstream'!I123,'data-cleansing-maps'!N$5:N$10,1,FALSE)),'source-upstream'!I123,"")</f>
        <v>["importers"]</v>
      </c>
      <c r="J123" s="89" t="str">
        <f>'source-upstream'!J123</f>
        <v>No comments provided</v>
      </c>
      <c r="K123" s="70" t="str">
        <f>if('source-upstream'!K123="",'schema-yn'!$A$5,vlookup('source-upstream'!K123,YN_MAP,3,FALSE))</f>
        <v>not-provided</v>
      </c>
      <c r="L123" s="90" t="str">
        <f>if('source-upstream'!L123="Not provided","",'source-upstream'!L123)</f>
        <v/>
      </c>
      <c r="M123" s="65" t="str">
        <f>if('source-upstream'!M123="",'schema-rv-services'!$B$26,vlookup(vlookup('source-upstream'!$M123,'analysis-rv-services'!$C:$E,3,FALSE),'schema-rv-services'!$A:$B,2, FALSE))</f>
        <v>feedstock</v>
      </c>
      <c r="N123" s="70"/>
    </row>
    <row r="124" ht="15.0" customHeight="1">
      <c r="A124" s="88" t="str">
        <f>Substitute(SUBSTITUTE(substitute(substitute(substitute(substitute(substitute(substitute(substitute(lower('source-upstream'!A124)," ","-"),"(",""),")",""),"&gt;",""),"&lt;",""),"---","-"),".","-"),"--","-"),"&amp;","-and-")</f>
        <v>noisy-dingo</v>
      </c>
      <c r="B124" s="88" t="str">
        <f>Substitute(SUBSTITUTE(substitute(substitute(substitute(substitute(substitute(substitute(substitute(lower('source-upstream'!B124)," ","-"),"(",""),")",""),"&gt;",""),"&lt;",""),"---","-"),".","-"),"--","-"),"&amp;","-and-")</f>
        <v>silent-rosella</v>
      </c>
      <c r="C124" s="70" t="str">
        <f>if('source-upstream'!C124="",'schema-frequency'!$B$11,vlookup('source-upstream'!C124,FREQUENCY_MAP, 3, FALSE))</f>
        <v>not-provided</v>
      </c>
      <c r="D124" s="89" t="str">
        <f>'source-upstream'!D124</f>
        <v>Feedstock - shred</v>
      </c>
      <c r="E124" s="70" t="str">
        <f>if('source-upstream'!E124="",'schema-yn'!$A$5,vlookup('source-upstream'!E124,YN_MAP,3,FALSE))</f>
        <v>yes</v>
      </c>
      <c r="F124" s="70" t="str">
        <f>if('source-upstream'!F124="",'schema-yn'!$A$5,vlookup('source-upstream'!F124,YN_MAP,3,FALSE))</f>
        <v>no</v>
      </c>
      <c r="G124" s="70" t="str">
        <f>if('source-upstream'!G124="",'schema-yn'!$A$5,vlookup('source-upstream'!G124,YN_MAP,3,FALSE))</f>
        <v>yes</v>
      </c>
      <c r="H124" s="70" t="str">
        <f>if('source-upstream'!H124="",'schema-yn'!$A$5,vlookup('source-upstream'!H124,RESILIENCE_OPTION_MAP,3,FALSE))</f>
        <v>alternative-supplier</v>
      </c>
      <c r="I124" s="70" t="str">
        <f>if(iserror(vlookup('source-upstream'!I124,'data-cleansing-maps'!N$5:N$10,1,FALSE)),'source-upstream'!I124,"")</f>
        <v>["importers"]</v>
      </c>
      <c r="J124" s="89" t="str">
        <f>'source-upstream'!J124</f>
        <v>No comments provided</v>
      </c>
      <c r="K124" s="70" t="str">
        <f>if('source-upstream'!K124="",'schema-yn'!$A$5,vlookup('source-upstream'!K124,YN_MAP,3,FALSE))</f>
        <v>not-provided</v>
      </c>
      <c r="L124" s="90" t="str">
        <f>if('source-upstream'!L124="Not provided","",'source-upstream'!L124)</f>
        <v/>
      </c>
      <c r="M124" s="65" t="str">
        <f>if('source-upstream'!M124="",'schema-rv-services'!$B$26,vlookup(vlookup('source-upstream'!$M124,'analysis-rv-services'!$C:$E,3,FALSE),'schema-rv-services'!$A:$B,2, FALSE))</f>
        <v>feedstock</v>
      </c>
      <c r="N124" s="70"/>
    </row>
    <row r="125" ht="15.0" customHeight="1">
      <c r="A125" s="88" t="str">
        <f>Substitute(SUBSTITUTE(substitute(substitute(substitute(substitute(substitute(substitute(substitute(lower('source-upstream'!A125)," ","-"),"(",""),")",""),"&gt;",""),"&lt;",""),"---","-"),".","-"),"--","-"),"&amp;","-and-")</f>
        <v>noisy-quokka</v>
      </c>
      <c r="B125" s="88" t="str">
        <f>Substitute(SUBSTITUTE(substitute(substitute(substitute(substitute(substitute(substitute(substitute(lower('source-upstream'!B125)," ","-"),"(",""),")",""),"&gt;",""),"&lt;",""),"---","-"),".","-"),"--","-"),"&amp;","-and-")</f>
        <v>red-koala</v>
      </c>
      <c r="C125" s="70" t="str">
        <f>if('source-upstream'!C125="",'schema-frequency'!$B$11,vlookup('source-upstream'!C125,FREQUENCY_MAP, 3, FALSE))</f>
        <v>not-provided</v>
      </c>
      <c r="D125" s="89" t="str">
        <f>'source-upstream'!D125</f>
        <v>Fuel</v>
      </c>
      <c r="E125" s="70" t="str">
        <f>if('source-upstream'!E125="",'schema-yn'!$A$5,vlookup('source-upstream'!E125,YN_MAP,3,FALSE))</f>
        <v>yes</v>
      </c>
      <c r="F125" s="70" t="str">
        <f>if('source-upstream'!F125="",'schema-yn'!$A$5,vlookup('source-upstream'!F125,YN_MAP,3,FALSE))</f>
        <v>no</v>
      </c>
      <c r="G125" s="70" t="str">
        <f>if('source-upstream'!G125="",'schema-yn'!$A$5,vlookup('source-upstream'!G125,YN_MAP,3,FALSE))</f>
        <v>no</v>
      </c>
      <c r="H125" s="70" t="str">
        <f>if('source-upstream'!H125="",'schema-yn'!$A$5,vlookup('source-upstream'!H125,RESILIENCE_OPTION_MAP,3,FALSE))</f>
        <v>not-provided</v>
      </c>
      <c r="I125" s="70" t="str">
        <f>if(iserror(vlookup('source-upstream'!I125,'data-cleansing-maps'!N$5:N$10,1,FALSE)),'source-upstream'!I125,"")</f>
        <v/>
      </c>
      <c r="J125" s="89" t="str">
        <f>'source-upstream'!J125</f>
        <v>Various Noisy Quokka 
  sites have access to an onsite Transtank of fuel however should the supply be unavailable the Transtank wouldn’t be refilled by the supplier. If all fuel was restricted due to a depletion we are entirely reliant upon the government providing priority access as an essential service.</v>
      </c>
      <c r="K125" s="70" t="str">
        <f>if('source-upstream'!K125="",'schema-yn'!$A$5,vlookup('source-upstream'!K125,YN_MAP,3,FALSE))</f>
        <v>partially</v>
      </c>
      <c r="L125" s="90" t="str">
        <f>if('source-upstream'!L125="Not provided","",'source-upstream'!L125)</f>
        <v/>
      </c>
      <c r="M125" s="65" t="str">
        <f>if('source-upstream'!M125="",'schema-rv-services'!$B$26,vlookup(vlookup('source-upstream'!$M125,'analysis-rv-services'!$C:$E,3,FALSE),'schema-rv-services'!$A:$B,2, FALSE))</f>
        <v>fuel</v>
      </c>
      <c r="N125" s="70"/>
    </row>
    <row r="126" ht="15.0" customHeight="1">
      <c r="A126" s="88" t="str">
        <f>Substitute(SUBSTITUTE(substitute(substitute(substitute(substitute(substitute(substitute(substitute(lower('source-upstream'!A126)," ","-"),"(",""),")",""),"&gt;",""),"&lt;",""),"---","-"),".","-"),"--","-"),"&amp;","-and-")</f>
        <v>noisy-quokka</v>
      </c>
      <c r="B126" s="88" t="str">
        <f>Substitute(SUBSTITUTE(substitute(substitute(substitute(substitute(substitute(substitute(substitute(lower('source-upstream'!B126)," ","-"),"(",""),")",""),"&gt;",""),"&lt;",""),"---","-"),".","-"),"--","-"),"&amp;","-and-")</f>
        <v>golden-perentie</v>
      </c>
      <c r="C126" s="70" t="str">
        <f>if('source-upstream'!C126="",'schema-frequency'!$B$11,vlookup('source-upstream'!C126,FREQUENCY_MAP, 3, FALSE))</f>
        <v>not-provided</v>
      </c>
      <c r="D126" s="89" t="str">
        <f>'source-upstream'!D126</f>
        <v>Vehicle maintenance and repairs</v>
      </c>
      <c r="E126" s="70" t="str">
        <f>if('source-upstream'!E126="",'schema-yn'!$A$5,vlookup('source-upstream'!E126,YN_MAP,3,FALSE))</f>
        <v>yes</v>
      </c>
      <c r="F126" s="70" t="str">
        <f>if('source-upstream'!F126="",'schema-yn'!$A$5,vlookup('source-upstream'!F126,YN_MAP,3,FALSE))</f>
        <v>no</v>
      </c>
      <c r="G126" s="70" t="str">
        <f>if('source-upstream'!G126="",'schema-yn'!$A$5,vlookup('source-upstream'!G126,YN_MAP,3,FALSE))</f>
        <v>yes</v>
      </c>
      <c r="H126" s="70" t="str">
        <f>if('source-upstream'!H126="",'schema-yn'!$A$5,vlookup('source-upstream'!H126,RESILIENCE_OPTION_MAP,3,FALSE))</f>
        <v>alternative-supplier</v>
      </c>
      <c r="I126" s="70" t="str">
        <f>if(iserror(vlookup('source-upstream'!I126,'data-cleansing-maps'!N$5:N$10,1,FALSE)),'source-upstream'!I126,"")</f>
        <v/>
      </c>
      <c r="J126" s="89" t="str">
        <f>'source-upstream'!J126</f>
        <v>Noisy Quokka 
  have access to mechanics employed internally and a network of external mechanics that specialise in heavy vehicles. However for larger repairs and maintenance external mechanics are relied upon. Should there be a decrease in heavy vehicle mechanics available this would have impact upon our ability to operate. 
 Alternate external mechanics and a variety of heavy vehicle mechanics employed across the country.</v>
      </c>
      <c r="K126" s="70" t="str">
        <f>if('source-upstream'!K126="",'schema-yn'!$A$5,vlookup('source-upstream'!K126,YN_MAP,3,FALSE))</f>
        <v>not-provided</v>
      </c>
      <c r="L126" s="90" t="str">
        <f>if('source-upstream'!L126="Not provided","",'source-upstream'!L126)</f>
        <v/>
      </c>
      <c r="M126" s="65" t="str">
        <f>if('source-upstream'!M126="",'schema-rv-services'!$B$26,vlookup(vlookup('source-upstream'!$M126,'analysis-rv-services'!$C:$E,3,FALSE),'schema-rv-services'!$A:$B,2, FALSE))</f>
        <v>fuel</v>
      </c>
      <c r="N126" s="70"/>
    </row>
    <row r="127" ht="15.0" customHeight="1">
      <c r="A127" s="88" t="str">
        <f>Substitute(SUBSTITUTE(substitute(substitute(substitute(substitute(substitute(substitute(substitute(lower('source-upstream'!A127)," ","-"),"(",""),")",""),"&gt;",""),"&lt;",""),"---","-"),".","-"),"--","-"),"&amp;","-and-")</f>
        <v>noisy-quokka</v>
      </c>
      <c r="B127" s="88" t="str">
        <f>Substitute(SUBSTITUTE(substitute(substitute(substitute(substitute(substitute(substitute(substitute(lower('source-upstream'!B127)," ","-"),"(",""),")",""),"&gt;",""),"&lt;",""),"---","-"),".","-"),"--","-"),"&amp;","-and-")</f>
        <v>striped-australian-magpie</v>
      </c>
      <c r="C127" s="70" t="str">
        <f>if('source-upstream'!C127="",'schema-frequency'!$B$11,vlookup('source-upstream'!C127,FREQUENCY_MAP, 3, FALSE))</f>
        <v>not-provided</v>
      </c>
      <c r="D127" s="89" t="str">
        <f>'source-upstream'!D127</f>
        <v>Vehicle maintenance and repairs</v>
      </c>
      <c r="E127" s="70" t="str">
        <f>if('source-upstream'!E127="",'schema-yn'!$A$5,vlookup('source-upstream'!E127,YN_MAP,3,FALSE))</f>
        <v>yes</v>
      </c>
      <c r="F127" s="70" t="str">
        <f>if('source-upstream'!F127="",'schema-yn'!$A$5,vlookup('source-upstream'!F127,YN_MAP,3,FALSE))</f>
        <v>no</v>
      </c>
      <c r="G127" s="70" t="str">
        <f>if('source-upstream'!G127="",'schema-yn'!$A$5,vlookup('source-upstream'!G127,YN_MAP,3,FALSE))</f>
        <v>yes</v>
      </c>
      <c r="H127" s="70" t="str">
        <f>if('source-upstream'!H127="",'schema-yn'!$A$5,vlookup('source-upstream'!H127,RESILIENCE_OPTION_MAP,3,FALSE))</f>
        <v>alternative-supplier</v>
      </c>
      <c r="I127" s="70" t="str">
        <f>if(iserror(vlookup('source-upstream'!I127,'data-cleansing-maps'!N$5:N$10,1,FALSE)),'source-upstream'!I127,"")</f>
        <v/>
      </c>
      <c r="J127" s="89" t="str">
        <f>'source-upstream'!J127</f>
        <v>Alternate external mechanics and a variety of heavy vehicle mechanics employed across the country.</v>
      </c>
      <c r="K127" s="70" t="str">
        <f>if('source-upstream'!K127="",'schema-yn'!$A$5,vlookup('source-upstream'!K127,YN_MAP,3,FALSE))</f>
        <v>not-provided</v>
      </c>
      <c r="L127" s="90" t="str">
        <f>if('source-upstream'!L127="Not provided","",'source-upstream'!L127)</f>
        <v/>
      </c>
      <c r="M127" s="65" t="str">
        <f>if('source-upstream'!M127="",'schema-rv-services'!$B$26,vlookup(vlookup('source-upstream'!$M127,'analysis-rv-services'!$C:$E,3,FALSE),'schema-rv-services'!$A:$B,2, FALSE))</f>
        <v>repairs-and-maintenance</v>
      </c>
      <c r="N127" s="70"/>
    </row>
    <row r="128" ht="15.0" customHeight="1">
      <c r="A128" s="88" t="str">
        <f>Substitute(SUBSTITUTE(substitute(substitute(substitute(substitute(substitute(substitute(substitute(lower('source-upstream'!A128)," ","-"),"(",""),")",""),"&gt;",""),"&lt;",""),"---","-"),".","-"),"--","-"),"&amp;","-and-")</f>
        <v>noisy-quokka</v>
      </c>
      <c r="B128" s="88" t="str">
        <f>Substitute(SUBSTITUTE(substitute(substitute(substitute(substitute(substitute(substitute(substitute(lower('source-upstream'!B128)," ","-"),"(",""),")",""),"&gt;",""),"&lt;",""),"---","-"),".","-"),"--","-"),"&amp;","-and-")</f>
        <v>brave-bilby</v>
      </c>
      <c r="C128" s="70" t="str">
        <f>if('source-upstream'!C128="",'schema-frequency'!$B$11,vlookup('source-upstream'!C128,FREQUENCY_MAP, 3, FALSE))</f>
        <v>not-provided</v>
      </c>
      <c r="D128" s="89" t="str">
        <f>'source-upstream'!D128</f>
        <v>Vehicle consumables i.e. oils, lubricants etc</v>
      </c>
      <c r="E128" s="70" t="str">
        <f>if('source-upstream'!E128="",'schema-yn'!$A$5,vlookup('source-upstream'!E128,YN_MAP,3,FALSE))</f>
        <v>yes</v>
      </c>
      <c r="F128" s="70" t="str">
        <f>if('source-upstream'!F128="",'schema-yn'!$A$5,vlookup('source-upstream'!F128,YN_MAP,3,FALSE))</f>
        <v>no</v>
      </c>
      <c r="G128" s="70" t="str">
        <f>if('source-upstream'!G128="",'schema-yn'!$A$5,vlookup('source-upstream'!G128,YN_MAP,3,FALSE))</f>
        <v>yes</v>
      </c>
      <c r="H128" s="70" t="str">
        <f>if('source-upstream'!H128="",'schema-yn'!$A$5,vlookup('source-upstream'!H128,RESILIENCE_OPTION_MAP,3,FALSE))</f>
        <v>alternative-supplier</v>
      </c>
      <c r="I128" s="70" t="str">
        <f>if(iserror(vlookup('source-upstream'!I128,'data-cleansing-maps'!N$5:N$10,1,FALSE)),'source-upstream'!I128,"")</f>
        <v>["noisy-quokka"]</v>
      </c>
      <c r="J128" s="89" t="str">
        <f>'source-upstream'!J128</f>
        <v>There are a variety of manufacturers and suppliers available to provide the required consumables however if there was a depletion event the fleet would not be able to operate where the consumable levels were low.</v>
      </c>
      <c r="K128" s="70" t="str">
        <f>if('source-upstream'!K128="",'schema-yn'!$A$5,vlookup('source-upstream'!K128,YN_MAP,3,FALSE))</f>
        <v>not-provided</v>
      </c>
      <c r="L128" s="90" t="str">
        <f>if('source-upstream'!L128="Not provided","",'source-upstream'!L128)</f>
        <v/>
      </c>
      <c r="M128" s="65" t="str">
        <f>if('source-upstream'!M128="",'schema-rv-services'!$B$26,vlookup(vlookup('source-upstream'!$M128,'analysis-rv-services'!$C:$E,3,FALSE),'schema-rv-services'!$A:$B,2, FALSE))</f>
        <v>repairs-and-maintenance</v>
      </c>
      <c r="N128" s="70"/>
    </row>
    <row r="129" ht="15.0" customHeight="1">
      <c r="A129" s="88" t="str">
        <f>Substitute(SUBSTITUTE(substitute(substitute(substitute(substitute(substitute(substitute(substitute(lower('source-upstream'!A129)," ","-"),"(",""),")",""),"&gt;",""),"&lt;",""),"---","-"),".","-"),"--","-"),"&amp;","-and-")</f>
        <v>noisy-quokka</v>
      </c>
      <c r="B129" s="88" t="str">
        <f>Substitute(SUBSTITUTE(substitute(substitute(substitute(substitute(substitute(substitute(substitute(lower('source-upstream'!B129)," ","-"),"(",""),")",""),"&gt;",""),"&lt;",""),"---","-"),".","-"),"--","-"),"&amp;","-and-")</f>
        <v>wild-koala</v>
      </c>
      <c r="C129" s="70" t="str">
        <f>if('source-upstream'!C129="",'schema-frequency'!$B$11,vlookup('source-upstream'!C129,FREQUENCY_MAP, 3, FALSE))</f>
        <v>not-provided</v>
      </c>
      <c r="D129" s="89" t="str">
        <f>'source-upstream'!D129</f>
        <v>Vehicle consumables i.e. oils, lubricants etc</v>
      </c>
      <c r="E129" s="70" t="str">
        <f>if('source-upstream'!E129="",'schema-yn'!$A$5,vlookup('source-upstream'!E129,YN_MAP,3,FALSE))</f>
        <v>yes</v>
      </c>
      <c r="F129" s="70" t="str">
        <f>if('source-upstream'!F129="",'schema-yn'!$A$5,vlookup('source-upstream'!F129,YN_MAP,3,FALSE))</f>
        <v>no</v>
      </c>
      <c r="G129" s="70" t="str">
        <f>if('source-upstream'!G129="",'schema-yn'!$A$5,vlookup('source-upstream'!G129,YN_MAP,3,FALSE))</f>
        <v>yes</v>
      </c>
      <c r="H129" s="70" t="str">
        <f>if('source-upstream'!H129="",'schema-yn'!$A$5,vlookup('source-upstream'!H129,RESILIENCE_OPTION_MAP,3,FALSE))</f>
        <v>alternative-supplier</v>
      </c>
      <c r="I129" s="70" t="str">
        <f>if(iserror(vlookup('source-upstream'!I129,'data-cleansing-maps'!N$5:N$10,1,FALSE)),'source-upstream'!I129,"")</f>
        <v>["noisy-quokka"]</v>
      </c>
      <c r="J129" s="89" t="str">
        <f>'source-upstream'!J129</f>
        <v>There are a variety of manufacturers and suppliers available to provide the required consumables however if there was a depletion event the fleet would not be able to operate where the consumable levels were low.</v>
      </c>
      <c r="K129" s="70" t="str">
        <f>if('source-upstream'!K129="",'schema-yn'!$A$5,vlookup('source-upstream'!K129,YN_MAP,3,FALSE))</f>
        <v>not-provided</v>
      </c>
      <c r="L129" s="90" t="str">
        <f>if('source-upstream'!L129="Not provided","",'source-upstream'!L129)</f>
        <v/>
      </c>
      <c r="M129" s="65" t="str">
        <f>if('source-upstream'!M129="",'schema-rv-services'!$B$26,vlookup(vlookup('source-upstream'!$M129,'analysis-rv-services'!$C:$E,3,FALSE),'schema-rv-services'!$A:$B,2, FALSE))</f>
        <v>repairs-and-maintenance</v>
      </c>
      <c r="N129" s="70"/>
    </row>
    <row r="130" ht="15.0" customHeight="1">
      <c r="A130" s="88" t="str">
        <f>Substitute(SUBSTITUTE(substitute(substitute(substitute(substitute(substitute(substitute(substitute(lower('source-upstream'!A130)," ","-"),"(",""),")",""),"&gt;",""),"&lt;",""),"---","-"),".","-"),"--","-"),"&amp;","-and-")</f>
        <v>noisy-quokka</v>
      </c>
      <c r="B130" s="88" t="str">
        <f>Substitute(SUBSTITUTE(substitute(substitute(substitute(substitute(substitute(substitute(substitute(lower('source-upstream'!B130)," ","-"),"(",""),")",""),"&gt;",""),"&lt;",""),"---","-"),".","-"),"--","-"),"&amp;","-and-")</f>
        <v>fuzzy-sugar-glider</v>
      </c>
      <c r="C130" s="70" t="str">
        <f>if('source-upstream'!C130="",'schema-frequency'!$B$11,vlookup('source-upstream'!C130,FREQUENCY_MAP, 3, FALSE))</f>
        <v>not-provided</v>
      </c>
      <c r="D130" s="89" t="str">
        <f>'source-upstream'!D130</f>
        <v>Disposal facilities, subcontractor services</v>
      </c>
      <c r="E130" s="70" t="str">
        <f>if('source-upstream'!E130="",'schema-yn'!$A$5,vlookup('source-upstream'!E130,YN_MAP,3,FALSE))</f>
        <v>yes</v>
      </c>
      <c r="F130" s="70" t="str">
        <f>if('source-upstream'!F130="",'schema-yn'!$A$5,vlookup('source-upstream'!F130,YN_MAP,3,FALSE))</f>
        <v>no</v>
      </c>
      <c r="G130" s="70" t="str">
        <f>if('source-upstream'!G130="",'schema-yn'!$A$5,vlookup('source-upstream'!G130,YN_MAP,3,FALSE))</f>
        <v>yes</v>
      </c>
      <c r="H130" s="70" t="str">
        <f>if('source-upstream'!H130="",'schema-yn'!$A$5,vlookup('source-upstream'!H130,RESILIENCE_OPTION_MAP,3,FALSE))</f>
        <v>alternative-supplier</v>
      </c>
      <c r="I130" s="70" t="str">
        <f>if(iserror(vlookup('source-upstream'!I130,'data-cleansing-maps'!N$5:N$10,1,FALSE)),'source-upstream'!I130,"")</f>
        <v/>
      </c>
      <c r="J130" s="89" t="str">
        <f>'source-upstream'!J130</f>
        <v>Where the major disposalfacilities were permanently closed or closed for a large period of time this would prevent the appropriate disposal of waste and therefore prevent waste collections without appropriate outlet.
 Alternate waste management companies and disposal locations. Interstate disposal locations. Various JJ’s sites have the ability to storage and aggregate certain waste types.</v>
      </c>
      <c r="K130" s="70" t="str">
        <f>if('source-upstream'!K130="",'schema-yn'!$A$5,vlookup('source-upstream'!K130,YN_MAP,3,FALSE))</f>
        <v>not-provided</v>
      </c>
      <c r="L130" s="90" t="str">
        <f>if('source-upstream'!L130="Not provided","",'source-upstream'!L130)</f>
        <v/>
      </c>
      <c r="M130" s="65" t="str">
        <f>if('source-upstream'!M130="",'schema-rv-services'!$B$26,vlookup(vlookup('source-upstream'!$M130,'analysis-rv-services'!$C:$E,3,FALSE),'schema-rv-services'!$A:$B,2, FALSE))</f>
        <v>waste-disposal</v>
      </c>
      <c r="N130" s="70"/>
    </row>
    <row r="131" ht="15.0" customHeight="1">
      <c r="A131" s="88" t="str">
        <f>Substitute(SUBSTITUTE(substitute(substitute(substitute(substitute(substitute(substitute(substitute(lower('source-upstream'!A131)," ","-"),"(",""),")",""),"&gt;",""),"&lt;",""),"---","-"),".","-"),"--","-"),"&amp;","-and-")</f>
        <v>noisy-quokka</v>
      </c>
      <c r="B131" s="88" t="str">
        <f>Substitute(SUBSTITUTE(substitute(substitute(substitute(substitute(substitute(substitute(substitute(lower('source-upstream'!B131)," ","-"),"(",""),")",""),"&gt;",""),"&lt;",""),"---","-"),".","-"),"--","-"),"&amp;","-and-")</f>
        <v>spotted-koala</v>
      </c>
      <c r="C131" s="70" t="str">
        <f>if('source-upstream'!C131="",'schema-frequency'!$B$11,vlookup('source-upstream'!C131,FREQUENCY_MAP, 3, FALSE))</f>
        <v>not-provided</v>
      </c>
      <c r="D131" s="89" t="str">
        <f>'source-upstream'!D131</f>
        <v>Disposal facilities, subcontractor services</v>
      </c>
      <c r="E131" s="70" t="str">
        <f>if('source-upstream'!E131="",'schema-yn'!$A$5,vlookup('source-upstream'!E131,YN_MAP,3,FALSE))</f>
        <v>yes</v>
      </c>
      <c r="F131" s="70" t="str">
        <f>if('source-upstream'!F131="",'schema-yn'!$A$5,vlookup('source-upstream'!F131,YN_MAP,3,FALSE))</f>
        <v>no</v>
      </c>
      <c r="G131" s="70" t="str">
        <f>if('source-upstream'!G131="",'schema-yn'!$A$5,vlookup('source-upstream'!G131,YN_MAP,3,FALSE))</f>
        <v>yes</v>
      </c>
      <c r="H131" s="70" t="str">
        <f>if('source-upstream'!H131="",'schema-yn'!$A$5,vlookup('source-upstream'!H131,RESILIENCE_OPTION_MAP,3,FALSE))</f>
        <v>alternative-supplier</v>
      </c>
      <c r="I131" s="70" t="str">
        <f>if(iserror(vlookup('source-upstream'!I131,'data-cleansing-maps'!N$5:N$10,1,FALSE)),'source-upstream'!I131,"")</f>
        <v/>
      </c>
      <c r="J131" s="89" t="str">
        <f>'source-upstream'!J131</f>
        <v>Where the major disposalfacilities were permanently closed or closed for a large period of time this would prevent the appropriate disposal of waste and therefore prevent waste collections without appropriate outlet.
 Alternate waste management companies and disposal locations. Interstate disposal locations. Various JJ’s sites have the ability to storage and aggregate certain waste types.</v>
      </c>
      <c r="K131" s="70" t="str">
        <f>if('source-upstream'!K131="",'schema-yn'!$A$5,vlookup('source-upstream'!K131,YN_MAP,3,FALSE))</f>
        <v>not-provided</v>
      </c>
      <c r="L131" s="90" t="str">
        <f>if('source-upstream'!L131="Not provided","",'source-upstream'!L131)</f>
        <v/>
      </c>
      <c r="M131" s="65" t="str">
        <f>if('source-upstream'!M131="",'schema-rv-services'!$B$26,vlookup(vlookup('source-upstream'!$M131,'analysis-rv-services'!$C:$E,3,FALSE),'schema-rv-services'!$A:$B,2, FALSE))</f>
        <v>waste-disposal</v>
      </c>
      <c r="N131" s="70"/>
    </row>
    <row r="132" ht="15.0" customHeight="1">
      <c r="A132" s="88" t="str">
        <f>Substitute(SUBSTITUTE(substitute(substitute(substitute(substitute(substitute(substitute(substitute(lower('source-upstream'!A132)," ","-"),"(",""),")",""),"&gt;",""),"&lt;",""),"---","-"),".","-"),"--","-"),"&amp;","-and-")</f>
        <v>noisy-quokka</v>
      </c>
      <c r="B132" s="88" t="str">
        <f>Substitute(SUBSTITUTE(substitute(substitute(substitute(substitute(substitute(substitute(substitute(lower('source-upstream'!B132)," ","-"),"(",""),")",""),"&gt;",""),"&lt;",""),"---","-"),".","-"),"--","-"),"&amp;","-and-")</f>
        <v>wild-possum</v>
      </c>
      <c r="C132" s="70" t="str">
        <f>if('source-upstream'!C132="",'schema-frequency'!$B$11,vlookup('source-upstream'!C132,FREQUENCY_MAP, 3, FALSE))</f>
        <v>not-provided</v>
      </c>
      <c r="D132" s="89" t="str">
        <f>'source-upstream'!D132</f>
        <v>Disposal facilities, subcontractor services</v>
      </c>
      <c r="E132" s="70" t="str">
        <f>if('source-upstream'!E132="",'schema-yn'!$A$5,vlookup('source-upstream'!E132,YN_MAP,3,FALSE))</f>
        <v>yes</v>
      </c>
      <c r="F132" s="70" t="str">
        <f>if('source-upstream'!F132="",'schema-yn'!$A$5,vlookup('source-upstream'!F132,YN_MAP,3,FALSE))</f>
        <v>no</v>
      </c>
      <c r="G132" s="70" t="str">
        <f>if('source-upstream'!G132="",'schema-yn'!$A$5,vlookup('source-upstream'!G132,YN_MAP,3,FALSE))</f>
        <v>yes</v>
      </c>
      <c r="H132" s="70" t="str">
        <f>if('source-upstream'!H132="",'schema-yn'!$A$5,vlookup('source-upstream'!H132,RESILIENCE_OPTION_MAP,3,FALSE))</f>
        <v>alternative-supplier</v>
      </c>
      <c r="I132" s="70" t="str">
        <f>if(iserror(vlookup('source-upstream'!I132,'data-cleansing-maps'!N$5:N$10,1,FALSE)),'source-upstream'!I132,"")</f>
        <v/>
      </c>
      <c r="J132" s="89" t="str">
        <f>'source-upstream'!J132</f>
        <v>Where the major disposalfacilities were permanently closed or closed for a large period of time this would prevent the appropriate disposal of waste and therefore prevent waste collections without appropriate outlet.
 Alternate waste management companies and disposal locations. Interstate disposal locations. Various JJ’s sites have the ability to storage and aggregate certain waste types.</v>
      </c>
      <c r="K132" s="70" t="str">
        <f>if('source-upstream'!K132="",'schema-yn'!$A$5,vlookup('source-upstream'!K132,YN_MAP,3,FALSE))</f>
        <v>not-provided</v>
      </c>
      <c r="L132" s="90" t="str">
        <f>if('source-upstream'!L132="Not provided","",'source-upstream'!L132)</f>
        <v/>
      </c>
      <c r="M132" s="65" t="str">
        <f>if('source-upstream'!M132="",'schema-rv-services'!$B$26,vlookup(vlookup('source-upstream'!$M132,'analysis-rv-services'!$C:$E,3,FALSE),'schema-rv-services'!$A:$B,2, FALSE))</f>
        <v>waste-disposal</v>
      </c>
      <c r="N132" s="70"/>
    </row>
    <row r="133" ht="15.0" customHeight="1">
      <c r="A133" s="88" t="str">
        <f>Substitute(SUBSTITUTE(substitute(substitute(substitute(substitute(substitute(substitute(substitute(lower('source-upstream'!A133)," ","-"),"(",""),")",""),"&gt;",""),"&lt;",""),"---","-"),".","-"),"--","-"),"&amp;","-and-")</f>
        <v>red-lyrebird</v>
      </c>
      <c r="B133" s="88" t="str">
        <f>Substitute(SUBSTITUTE(substitute(substitute(substitute(substitute(substitute(substitute(substitute(lower('source-upstream'!B133)," ","-"),"(",""),")",""),"&gt;",""),"&lt;",""),"---","-"),".","-"),"--","-"),"&amp;","-and-")</f>
        <v>red-numbat</v>
      </c>
      <c r="C133" s="70" t="str">
        <f>if('source-upstream'!C133="",'schema-frequency'!$B$11,vlookup('source-upstream'!C133,FREQUENCY_MAP, 3, FALSE))</f>
        <v>not-provided</v>
      </c>
      <c r="D133" s="89" t="str">
        <f>'source-upstream'!D133</f>
        <v>Landfill gas management</v>
      </c>
      <c r="E133" s="70" t="str">
        <f>if('source-upstream'!E133="",'schema-yn'!$A$5,vlookup('source-upstream'!E133,YN_MAP,3,FALSE))</f>
        <v>not-provided</v>
      </c>
      <c r="F133" s="70" t="str">
        <f>if('source-upstream'!F133="",'schema-yn'!$A$5,vlookup('source-upstream'!F133,YN_MAP,3,FALSE))</f>
        <v>not-provided</v>
      </c>
      <c r="G133" s="70" t="str">
        <f>if('source-upstream'!G133="",'schema-yn'!$A$5,vlookup('source-upstream'!G133,YN_MAP,3,FALSE))</f>
        <v>not-provided</v>
      </c>
      <c r="H133" s="70" t="str">
        <f>if('source-upstream'!H133="",'schema-yn'!$A$5,vlookup('source-upstream'!H133,RESILIENCE_OPTION_MAP,3,FALSE))</f>
        <v>not-provided</v>
      </c>
      <c r="I133" s="70" t="str">
        <f>if(iserror(vlookup('source-upstream'!I133,'data-cleansing-maps'!N$5:N$10,1,FALSE)),'source-upstream'!I133,"")</f>
        <v/>
      </c>
      <c r="J133" s="89" t="str">
        <f>'source-upstream'!J133</f>
        <v>Landfill A</v>
      </c>
      <c r="K133" s="70" t="str">
        <f>if('source-upstream'!K133="",'schema-yn'!$A$5,vlookup('source-upstream'!K133,YN_MAP,3,FALSE))</f>
        <v>not-provided</v>
      </c>
      <c r="L133" s="90" t="str">
        <f>if('source-upstream'!L133="Not provided","",'source-upstream'!L133)</f>
        <v/>
      </c>
      <c r="M133" s="65" t="str">
        <f>if('source-upstream'!M133="",'schema-rv-services'!$B$26,vlookup(vlookup('source-upstream'!$M133,'analysis-rv-services'!$C:$E,3,FALSE),'schema-rv-services'!$A:$B,2, FALSE))</f>
        <v>gas</v>
      </c>
      <c r="N133" s="70"/>
    </row>
    <row r="134" ht="15.0" customHeight="1">
      <c r="A134" s="88" t="str">
        <f>Substitute(SUBSTITUTE(substitute(substitute(substitute(substitute(substitute(substitute(substitute(lower('source-upstream'!A134)," ","-"),"(",""),")",""),"&gt;",""),"&lt;",""),"---","-"),".","-"),"--","-"),"&amp;","-and-")</f>
        <v>red-lyrebird</v>
      </c>
      <c r="B134" s="88" t="str">
        <f>Substitute(SUBSTITUTE(substitute(substitute(substitute(substitute(substitute(substitute(substitute(lower('source-upstream'!B134)," ","-"),"(",""),")",""),"&gt;",""),"&lt;",""),"---","-"),".","-"),"--","-"),"&amp;","-and-")</f>
        <v>red-numbat</v>
      </c>
      <c r="C134" s="70" t="str">
        <f>if('source-upstream'!C134="",'schema-frequency'!$B$11,vlookup('source-upstream'!C134,FREQUENCY_MAP, 3, FALSE))</f>
        <v>not-provided</v>
      </c>
      <c r="D134" s="89" t="str">
        <f>'source-upstream'!D134</f>
        <v>Landfill gas management</v>
      </c>
      <c r="E134" s="70" t="str">
        <f>if('source-upstream'!E134="",'schema-yn'!$A$5,vlookup('source-upstream'!E134,YN_MAP,3,FALSE))</f>
        <v>not-provided</v>
      </c>
      <c r="F134" s="70" t="str">
        <f>if('source-upstream'!F134="",'schema-yn'!$A$5,vlookup('source-upstream'!F134,YN_MAP,3,FALSE))</f>
        <v>not-provided</v>
      </c>
      <c r="G134" s="70" t="str">
        <f>if('source-upstream'!G134="",'schema-yn'!$A$5,vlookup('source-upstream'!G134,YN_MAP,3,FALSE))</f>
        <v>not-provided</v>
      </c>
      <c r="H134" s="70" t="str">
        <f>if('source-upstream'!H134="",'schema-yn'!$A$5,vlookup('source-upstream'!H134,RESILIENCE_OPTION_MAP,3,FALSE))</f>
        <v>not-provided</v>
      </c>
      <c r="I134" s="70" t="str">
        <f>if(iserror(vlookup('source-upstream'!I134,'data-cleansing-maps'!N$5:N$10,1,FALSE)),'source-upstream'!I134,"")</f>
        <v/>
      </c>
      <c r="J134" s="89" t="str">
        <f>'source-upstream'!J134</f>
        <v>Landfill B</v>
      </c>
      <c r="K134" s="70" t="str">
        <f>if('source-upstream'!K134="",'schema-yn'!$A$5,vlookup('source-upstream'!K134,YN_MAP,3,FALSE))</f>
        <v>not-provided</v>
      </c>
      <c r="L134" s="90" t="str">
        <f>if('source-upstream'!L134="Not provided","",'source-upstream'!L134)</f>
        <v/>
      </c>
      <c r="M134" s="65" t="str">
        <f>if('source-upstream'!M134="",'schema-rv-services'!$B$26,vlookup(vlookup('source-upstream'!$M134,'analysis-rv-services'!$C:$E,3,FALSE),'schema-rv-services'!$A:$B,2, FALSE))</f>
        <v>gas</v>
      </c>
      <c r="N134" s="70"/>
    </row>
    <row r="135" ht="15.0" customHeight="1">
      <c r="A135" s="88" t="str">
        <f>Substitute(SUBSTITUTE(substitute(substitute(substitute(substitute(substitute(substitute(substitute(lower('source-upstream'!A135)," ","-"),"(",""),")",""),"&gt;",""),"&lt;",""),"---","-"),".","-"),"--","-"),"&amp;","-and-")</f>
        <v>red-lyrebird</v>
      </c>
      <c r="B135" s="88" t="str">
        <f>Substitute(SUBSTITUTE(substitute(substitute(substitute(substitute(substitute(substitute(substitute(lower('source-upstream'!B135)," ","-"),"(",""),")",""),"&gt;",""),"&lt;",""),"---","-"),".","-"),"--","-"),"&amp;","-and-")</f>
        <v>red-numbat</v>
      </c>
      <c r="C135" s="70" t="str">
        <f>if('source-upstream'!C135="",'schema-frequency'!$B$11,vlookup('source-upstream'!C135,FREQUENCY_MAP, 3, FALSE))</f>
        <v>not-provided</v>
      </c>
      <c r="D135" s="89" t="str">
        <f>'source-upstream'!D135</f>
        <v>Landfill gas management</v>
      </c>
      <c r="E135" s="70" t="str">
        <f>if('source-upstream'!E135="",'schema-yn'!$A$5,vlookup('source-upstream'!E135,YN_MAP,3,FALSE))</f>
        <v>not-provided</v>
      </c>
      <c r="F135" s="70" t="str">
        <f>if('source-upstream'!F135="",'schema-yn'!$A$5,vlookup('source-upstream'!F135,YN_MAP,3,FALSE))</f>
        <v>not-provided</v>
      </c>
      <c r="G135" s="70" t="str">
        <f>if('source-upstream'!G135="",'schema-yn'!$A$5,vlookup('source-upstream'!G135,YN_MAP,3,FALSE))</f>
        <v>not-provided</v>
      </c>
      <c r="H135" s="70" t="str">
        <f>if('source-upstream'!H135="",'schema-yn'!$A$5,vlookup('source-upstream'!H135,RESILIENCE_OPTION_MAP,3,FALSE))</f>
        <v>not-provided</v>
      </c>
      <c r="I135" s="70" t="str">
        <f>if(iserror(vlookup('source-upstream'!I135,'data-cleansing-maps'!N$5:N$10,1,FALSE)),'source-upstream'!I135,"")</f>
        <v/>
      </c>
      <c r="J135" s="89" t="str">
        <f>'source-upstream'!J135</f>
        <v>Landfill C</v>
      </c>
      <c r="K135" s="70" t="str">
        <f>if('source-upstream'!K135="",'schema-yn'!$A$5,vlookup('source-upstream'!K135,YN_MAP,3,FALSE))</f>
        <v>not-provided</v>
      </c>
      <c r="L135" s="90" t="str">
        <f>if('source-upstream'!L135="Not provided","",'source-upstream'!L135)</f>
        <v/>
      </c>
      <c r="M135" s="65" t="str">
        <f>if('source-upstream'!M135="",'schema-rv-services'!$B$26,vlookup(vlookup('source-upstream'!$M135,'analysis-rv-services'!$C:$E,3,FALSE),'schema-rv-services'!$A:$B,2, FALSE))</f>
        <v>gas</v>
      </c>
      <c r="N135" s="70"/>
    </row>
    <row r="136" ht="15.0" customHeight="1">
      <c r="A136" s="88" t="str">
        <f>Substitute(SUBSTITUTE(substitute(substitute(substitute(substitute(substitute(substitute(substitute(lower('source-upstream'!A136)," ","-"),"(",""),")",""),"&gt;",""),"&lt;",""),"---","-"),".","-"),"--","-"),"&amp;","-and-")</f>
        <v>red-lyrebird</v>
      </c>
      <c r="B136" s="88" t="str">
        <f>Substitute(SUBSTITUTE(substitute(substitute(substitute(substitute(substitute(substitute(substitute(lower('source-upstream'!B136)," ","-"),"(",""),")",""),"&gt;",""),"&lt;",""),"---","-"),".","-"),"--","-"),"&amp;","-and-")</f>
        <v>red-numbat</v>
      </c>
      <c r="C136" s="70" t="str">
        <f>if('source-upstream'!C136="",'schema-frequency'!$B$11,vlookup('source-upstream'!C136,FREQUENCY_MAP, 3, FALSE))</f>
        <v>not-provided</v>
      </c>
      <c r="D136" s="89" t="str">
        <f>'source-upstream'!D136</f>
        <v>Landfill gas management</v>
      </c>
      <c r="E136" s="70" t="str">
        <f>if('source-upstream'!E136="",'schema-yn'!$A$5,vlookup('source-upstream'!E136,YN_MAP,3,FALSE))</f>
        <v>not-provided</v>
      </c>
      <c r="F136" s="70" t="str">
        <f>if('source-upstream'!F136="",'schema-yn'!$A$5,vlookup('source-upstream'!F136,YN_MAP,3,FALSE))</f>
        <v>not-provided</v>
      </c>
      <c r="G136" s="70" t="str">
        <f>if('source-upstream'!G136="",'schema-yn'!$A$5,vlookup('source-upstream'!G136,YN_MAP,3,FALSE))</f>
        <v>not-provided</v>
      </c>
      <c r="H136" s="70" t="str">
        <f>if('source-upstream'!H136="",'schema-yn'!$A$5,vlookup('source-upstream'!H136,RESILIENCE_OPTION_MAP,3,FALSE))</f>
        <v>not-provided</v>
      </c>
      <c r="I136" s="70" t="str">
        <f>if(iserror(vlookup('source-upstream'!I136,'data-cleansing-maps'!N$5:N$10,1,FALSE)),'source-upstream'!I136,"")</f>
        <v/>
      </c>
      <c r="J136" s="89" t="str">
        <f>'source-upstream'!J136</f>
        <v>Landfill D</v>
      </c>
      <c r="K136" s="70" t="str">
        <f>if('source-upstream'!K136="",'schema-yn'!$A$5,vlookup('source-upstream'!K136,YN_MAP,3,FALSE))</f>
        <v>not-provided</v>
      </c>
      <c r="L136" s="90" t="str">
        <f>if('source-upstream'!L136="Not provided","",'source-upstream'!L136)</f>
        <v/>
      </c>
      <c r="M136" s="65" t="str">
        <f>if('source-upstream'!M136="",'schema-rv-services'!$B$26,vlookup(vlookup('source-upstream'!$M136,'analysis-rv-services'!$C:$E,3,FALSE),'schema-rv-services'!$A:$B,2, FALSE))</f>
        <v>gas</v>
      </c>
      <c r="N136" s="70"/>
    </row>
    <row r="137" ht="15.0" customHeight="1">
      <c r="A137" s="88" t="str">
        <f>Substitute(SUBSTITUTE(substitute(substitute(substitute(substitute(substitute(substitute(substitute(lower('source-upstream'!A137)," ","-"),"(",""),")",""),"&gt;",""),"&lt;",""),"---","-"),".","-"),"--","-"),"&amp;","-and-")</f>
        <v>red-lyrebird</v>
      </c>
      <c r="B137" s="88" t="str">
        <f>Substitute(SUBSTITUTE(substitute(substitute(substitute(substitute(substitute(substitute(substitute(lower('source-upstream'!B137)," ","-"),"(",""),")",""),"&gt;",""),"&lt;",""),"---","-"),".","-"),"--","-"),"&amp;","-and-")</f>
        <v>red-numbat</v>
      </c>
      <c r="C137" s="70" t="str">
        <f>if('source-upstream'!C137="",'schema-frequency'!$B$11,vlookup('source-upstream'!C137,FREQUENCY_MAP, 3, FALSE))</f>
        <v>not-provided</v>
      </c>
      <c r="D137" s="89" t="str">
        <f>'source-upstream'!D137</f>
        <v>Landfill gas management</v>
      </c>
      <c r="E137" s="70" t="str">
        <f>if('source-upstream'!E137="",'schema-yn'!$A$5,vlookup('source-upstream'!E137,YN_MAP,3,FALSE))</f>
        <v>not-provided</v>
      </c>
      <c r="F137" s="70" t="str">
        <f>if('source-upstream'!F137="",'schema-yn'!$A$5,vlookup('source-upstream'!F137,YN_MAP,3,FALSE))</f>
        <v>not-provided</v>
      </c>
      <c r="G137" s="70" t="str">
        <f>if('source-upstream'!G137="",'schema-yn'!$A$5,vlookup('source-upstream'!G137,YN_MAP,3,FALSE))</f>
        <v>not-provided</v>
      </c>
      <c r="H137" s="70" t="str">
        <f>if('source-upstream'!H137="",'schema-yn'!$A$5,vlookup('source-upstream'!H137,RESILIENCE_OPTION_MAP,3,FALSE))</f>
        <v>not-provided</v>
      </c>
      <c r="I137" s="70" t="str">
        <f>if(iserror(vlookup('source-upstream'!I137,'data-cleansing-maps'!N$5:N$10,1,FALSE)),'source-upstream'!I137,"")</f>
        <v/>
      </c>
      <c r="J137" s="89" t="str">
        <f>'source-upstream'!J137</f>
        <v>Landfill E</v>
      </c>
      <c r="K137" s="70" t="str">
        <f>if('source-upstream'!K137="",'schema-yn'!$A$5,vlookup('source-upstream'!K137,YN_MAP,3,FALSE))</f>
        <v>not-provided</v>
      </c>
      <c r="L137" s="90" t="str">
        <f>if('source-upstream'!L137="Not provided","",'source-upstream'!L137)</f>
        <v/>
      </c>
      <c r="M137" s="65" t="str">
        <f>if('source-upstream'!M137="",'schema-rv-services'!$B$26,vlookup(vlookup('source-upstream'!$M137,'analysis-rv-services'!$C:$E,3,FALSE),'schema-rv-services'!$A:$B,2, FALSE))</f>
        <v>gas</v>
      </c>
      <c r="N137" s="70"/>
    </row>
    <row r="138" ht="15.0" customHeight="1">
      <c r="A138" s="88" t="str">
        <f>Substitute(SUBSTITUTE(substitute(substitute(substitute(substitute(substitute(substitute(substitute(lower('source-upstream'!A138)," ","-"),"(",""),")",""),"&gt;",""),"&lt;",""),"---","-"),".","-"),"--","-"),"&amp;","-and-")</f>
        <v>red-lyrebird</v>
      </c>
      <c r="B138" s="88" t="str">
        <f>Substitute(SUBSTITUTE(substitute(substitute(substitute(substitute(substitute(substitute(substitute(lower('source-upstream'!B138)," ","-"),"(",""),")",""),"&gt;",""),"&lt;",""),"---","-"),".","-"),"--","-"),"&amp;","-and-")</f>
        <v>wild-possum</v>
      </c>
      <c r="C138" s="70" t="str">
        <f>if('source-upstream'!C138="",'schema-frequency'!$B$11,vlookup('source-upstream'!C138,FREQUENCY_MAP, 3, FALSE))</f>
        <v>not-provided</v>
      </c>
      <c r="D138" s="89" t="str">
        <f>'source-upstream'!D138</f>
        <v>Landfill gas management</v>
      </c>
      <c r="E138" s="70" t="str">
        <f>if('source-upstream'!E138="",'schema-yn'!$A$5,vlookup('source-upstream'!E138,YN_MAP,3,FALSE))</f>
        <v>not-provided</v>
      </c>
      <c r="F138" s="70" t="str">
        <f>if('source-upstream'!F138="",'schema-yn'!$A$5,vlookup('source-upstream'!F138,YN_MAP,3,FALSE))</f>
        <v>not-provided</v>
      </c>
      <c r="G138" s="70" t="str">
        <f>if('source-upstream'!G138="",'schema-yn'!$A$5,vlookup('source-upstream'!G138,YN_MAP,3,FALSE))</f>
        <v>not-provided</v>
      </c>
      <c r="H138" s="70" t="str">
        <f>if('source-upstream'!H138="",'schema-yn'!$A$5,vlookup('source-upstream'!H138,RESILIENCE_OPTION_MAP,3,FALSE))</f>
        <v>not-provided</v>
      </c>
      <c r="I138" s="70" t="str">
        <f>if(iserror(vlookup('source-upstream'!I138,'data-cleansing-maps'!N$5:N$10,1,FALSE)),'source-upstream'!I138,"")</f>
        <v/>
      </c>
      <c r="J138" s="89" t="str">
        <f>'source-upstream'!J138</f>
        <v>Landfill F and Landfill H</v>
      </c>
      <c r="K138" s="70" t="str">
        <f>if('source-upstream'!K138="",'schema-yn'!$A$5,vlookup('source-upstream'!K138,YN_MAP,3,FALSE))</f>
        <v>not-provided</v>
      </c>
      <c r="L138" s="90" t="str">
        <f>if('source-upstream'!L138="Not provided","",'source-upstream'!L138)</f>
        <v/>
      </c>
      <c r="M138" s="65" t="str">
        <f>if('source-upstream'!M138="",'schema-rv-services'!$B$26,vlookup(vlookup('source-upstream'!$M138,'analysis-rv-services'!$C:$E,3,FALSE),'schema-rv-services'!$A:$B,2, FALSE))</f>
        <v>gas</v>
      </c>
      <c r="N138" s="70"/>
    </row>
    <row r="139" ht="15.0" customHeight="1">
      <c r="A139" s="88" t="str">
        <f>Substitute(SUBSTITUTE(substitute(substitute(substitute(substitute(substitute(substitute(substitute(lower('source-upstream'!A139)," ","-"),"(",""),")",""),"&gt;",""),"&lt;",""),"---","-"),".","-"),"--","-"),"&amp;","-and-")</f>
        <v>red-lyrebird</v>
      </c>
      <c r="B139" s="88" t="str">
        <f>Substitute(SUBSTITUTE(substitute(substitute(substitute(substitute(substitute(substitute(substitute(lower('source-upstream'!B139)," ","-"),"(",""),")",""),"&gt;",""),"&lt;",""),"---","-"),".","-"),"--","-"),"&amp;","-and-")</f>
        <v>red-numbat</v>
      </c>
      <c r="C139" s="70" t="str">
        <f>if('source-upstream'!C139="",'schema-frequency'!$B$11,vlookup('source-upstream'!C139,FREQUENCY_MAP, 3, FALSE))</f>
        <v>not-provided</v>
      </c>
      <c r="D139" s="89" t="str">
        <f>'source-upstream'!D139</f>
        <v>Landfill gas management</v>
      </c>
      <c r="E139" s="70" t="str">
        <f>if('source-upstream'!E139="",'schema-yn'!$A$5,vlookup('source-upstream'!E139,YN_MAP,3,FALSE))</f>
        <v>not-provided</v>
      </c>
      <c r="F139" s="70" t="str">
        <f>if('source-upstream'!F139="",'schema-yn'!$A$5,vlookup('source-upstream'!F139,YN_MAP,3,FALSE))</f>
        <v>not-provided</v>
      </c>
      <c r="G139" s="70" t="str">
        <f>if('source-upstream'!G139="",'schema-yn'!$A$5,vlookup('source-upstream'!G139,YN_MAP,3,FALSE))</f>
        <v>not-provided</v>
      </c>
      <c r="H139" s="70" t="str">
        <f>if('source-upstream'!H139="",'schema-yn'!$A$5,vlookup('source-upstream'!H139,RESILIENCE_OPTION_MAP,3,FALSE))</f>
        <v>not-provided</v>
      </c>
      <c r="I139" s="70" t="str">
        <f>if(iserror(vlookup('source-upstream'!I139,'data-cleansing-maps'!N$5:N$10,1,FALSE)),'source-upstream'!I139,"")</f>
        <v/>
      </c>
      <c r="J139" s="89" t="str">
        <f>'source-upstream'!J139</f>
        <v>Landfill G and Landfill H</v>
      </c>
      <c r="K139" s="70" t="str">
        <f>if('source-upstream'!K139="",'schema-yn'!$A$5,vlookup('source-upstream'!K139,YN_MAP,3,FALSE))</f>
        <v>not-provided</v>
      </c>
      <c r="L139" s="90" t="str">
        <f>if('source-upstream'!L139="Not provided","",'source-upstream'!L139)</f>
        <v/>
      </c>
      <c r="M139" s="65" t="str">
        <f>if('source-upstream'!M139="",'schema-rv-services'!$B$26,vlookup(vlookup('source-upstream'!$M139,'analysis-rv-services'!$C:$E,3,FALSE),'schema-rv-services'!$A:$B,2, FALSE))</f>
        <v>gas</v>
      </c>
      <c r="N139" s="70"/>
    </row>
    <row r="140" ht="15.0" customHeight="1">
      <c r="A140" s="88" t="str">
        <f>Substitute(SUBSTITUTE(substitute(substitute(substitute(substitute(substitute(substitute(substitute(lower('source-upstream'!A140)," ","-"),"(",""),")",""),"&gt;",""),"&lt;",""),"---","-"),".","-"),"--","-"),"&amp;","-and-")</f>
        <v>red-lyrebird</v>
      </c>
      <c r="B140" s="88" t="str">
        <f>Substitute(SUBSTITUTE(substitute(substitute(substitute(substitute(substitute(substitute(substitute(lower('source-upstream'!B140)," ","-"),"(",""),")",""),"&gt;",""),"&lt;",""),"---","-"),".","-"),"--","-"),"&amp;","-and-")</f>
        <v>lazy-kangaroo</v>
      </c>
      <c r="C140" s="70" t="str">
        <f>if('source-upstream'!C140="",'schema-frequency'!$B$11,vlookup('source-upstream'!C140,FREQUENCY_MAP, 3, FALSE))</f>
        <v>not-provided</v>
      </c>
      <c r="D140" s="89" t="str">
        <f>'source-upstream'!D140</f>
        <v>Landfill gas management</v>
      </c>
      <c r="E140" s="70" t="str">
        <f>if('source-upstream'!E140="",'schema-yn'!$A$5,vlookup('source-upstream'!E140,YN_MAP,3,FALSE))</f>
        <v>not-provided</v>
      </c>
      <c r="F140" s="70" t="str">
        <f>if('source-upstream'!F140="",'schema-yn'!$A$5,vlookup('source-upstream'!F140,YN_MAP,3,FALSE))</f>
        <v>not-provided</v>
      </c>
      <c r="G140" s="70" t="str">
        <f>if('source-upstream'!G140="",'schema-yn'!$A$5,vlookup('source-upstream'!G140,YN_MAP,3,FALSE))</f>
        <v>not-provided</v>
      </c>
      <c r="H140" s="70" t="str">
        <f>if('source-upstream'!H140="",'schema-yn'!$A$5,vlookup('source-upstream'!H140,RESILIENCE_OPTION_MAP,3,FALSE))</f>
        <v>not-provided</v>
      </c>
      <c r="I140" s="70" t="str">
        <f>if(iserror(vlookup('source-upstream'!I140,'data-cleansing-maps'!N$5:N$10,1,FALSE)),'source-upstream'!I140,"")</f>
        <v/>
      </c>
      <c r="J140" s="89" t="str">
        <f>'source-upstream'!J140</f>
        <v>Landfill I</v>
      </c>
      <c r="K140" s="70" t="str">
        <f>if('source-upstream'!K140="",'schema-yn'!$A$5,vlookup('source-upstream'!K140,YN_MAP,3,FALSE))</f>
        <v>not-provided</v>
      </c>
      <c r="L140" s="90" t="str">
        <f>if('source-upstream'!L140="Not provided","",'source-upstream'!L140)</f>
        <v/>
      </c>
      <c r="M140" s="65" t="str">
        <f>if('source-upstream'!M140="",'schema-rv-services'!$B$26,vlookup(vlookup('source-upstream'!$M140,'analysis-rv-services'!$C:$E,3,FALSE),'schema-rv-services'!$A:$B,2, FALSE))</f>
        <v>gas</v>
      </c>
      <c r="N140" s="70"/>
    </row>
    <row r="141" ht="15.0" customHeight="1">
      <c r="A141" s="88" t="str">
        <f>Substitute(SUBSTITUTE(substitute(substitute(substitute(substitute(substitute(substitute(substitute(lower('source-upstream'!A141)," ","-"),"(",""),")",""),"&gt;",""),"&lt;",""),"---","-"),".","-"),"--","-"),"&amp;","-and-")</f>
        <v>red-lyrebird</v>
      </c>
      <c r="B141" s="88" t="str">
        <f>Substitute(SUBSTITUTE(substitute(substitute(substitute(substitute(substitute(substitute(substitute(lower('source-upstream'!B141)," ","-"),"(",""),")",""),"&gt;",""),"&lt;",""),"---","-"),".","-"),"--","-"),"&amp;","-and-")</f>
        <v>red-numbat</v>
      </c>
      <c r="C141" s="70" t="str">
        <f>if('source-upstream'!C141="",'schema-frequency'!$B$11,vlookup('source-upstream'!C141,FREQUENCY_MAP, 3, FALSE))</f>
        <v>not-provided</v>
      </c>
      <c r="D141" s="89" t="str">
        <f>'source-upstream'!D141</f>
        <v>Landfill gas management</v>
      </c>
      <c r="E141" s="70" t="str">
        <f>if('source-upstream'!E141="",'schema-yn'!$A$5,vlookup('source-upstream'!E141,YN_MAP,3,FALSE))</f>
        <v>not-provided</v>
      </c>
      <c r="F141" s="70" t="str">
        <f>if('source-upstream'!F141="",'schema-yn'!$A$5,vlookup('source-upstream'!F141,YN_MAP,3,FALSE))</f>
        <v>not-provided</v>
      </c>
      <c r="G141" s="70" t="str">
        <f>if('source-upstream'!G141="",'schema-yn'!$A$5,vlookup('source-upstream'!G141,YN_MAP,3,FALSE))</f>
        <v>not-provided</v>
      </c>
      <c r="H141" s="70" t="str">
        <f>if('source-upstream'!H141="",'schema-yn'!$A$5,vlookup('source-upstream'!H141,RESILIENCE_OPTION_MAP,3,FALSE))</f>
        <v>not-provided</v>
      </c>
      <c r="I141" s="70" t="str">
        <f>if(iserror(vlookup('source-upstream'!I141,'data-cleansing-maps'!N$5:N$10,1,FALSE)),'source-upstream'!I141,"")</f>
        <v/>
      </c>
      <c r="J141" s="89" t="str">
        <f>'source-upstream'!J141</f>
        <v>Refuse Disposal Facility A</v>
      </c>
      <c r="K141" s="70" t="str">
        <f>if('source-upstream'!K141="",'schema-yn'!$A$5,vlookup('source-upstream'!K141,YN_MAP,3,FALSE))</f>
        <v>not-provided</v>
      </c>
      <c r="L141" s="90" t="str">
        <f>if('source-upstream'!L141="Not provided","",'source-upstream'!L141)</f>
        <v/>
      </c>
      <c r="M141" s="65" t="str">
        <f>if('source-upstream'!M141="",'schema-rv-services'!$B$26,vlookup(vlookup('source-upstream'!$M141,'analysis-rv-services'!$C:$E,3,FALSE),'schema-rv-services'!$A:$B,2, FALSE))</f>
        <v>gas</v>
      </c>
      <c r="N141" s="70"/>
    </row>
    <row r="142" ht="15.0" customHeight="1">
      <c r="A142" s="88" t="str">
        <f>Substitute(SUBSTITUTE(substitute(substitute(substitute(substitute(substitute(substitute(substitute(lower('source-upstream'!A142)," ","-"),"(",""),")",""),"&gt;",""),"&lt;",""),"---","-"),".","-"),"--","-"),"&amp;","-and-")</f>
        <v>red-possum</v>
      </c>
      <c r="B142" s="88" t="str">
        <f>Substitute(SUBSTITUTE(substitute(substitute(substitute(substitute(substitute(substitute(substitute(lower('source-upstream'!B142)," ","-"),"(",""),")",""),"&gt;",""),"&lt;",""),"---","-"),".","-"),"--","-"),"&amp;","-and-")</f>
        <v>fuzzy-cassowary</v>
      </c>
      <c r="C142" s="70" t="str">
        <f>if('source-upstream'!C142="",'schema-frequency'!$B$11,vlookup('source-upstream'!C142,FREQUENCY_MAP, 3, FALSE))</f>
        <v>not-provided</v>
      </c>
      <c r="D142" s="89" t="str">
        <f>'source-upstream'!D142</f>
        <v>Transport</v>
      </c>
      <c r="E142" s="70" t="str">
        <f>if('source-upstream'!E142="",'schema-yn'!$A$5,vlookup('source-upstream'!E142,YN_MAP,3,FALSE))</f>
        <v>yes</v>
      </c>
      <c r="F142" s="70" t="str">
        <f>if('source-upstream'!F142="",'schema-yn'!$A$5,vlookup('source-upstream'!F142,YN_MAP,3,FALSE))</f>
        <v>no</v>
      </c>
      <c r="G142" s="70" t="str">
        <f>if('source-upstream'!G142="",'schema-yn'!$A$5,vlookup('source-upstream'!G142,YN_MAP,3,FALSE))</f>
        <v>yes</v>
      </c>
      <c r="H142" s="70" t="str">
        <f>if('source-upstream'!H142="",'schema-yn'!$A$5,vlookup('source-upstream'!H142,RESILIENCE_OPTION_MAP,3,FALSE))</f>
        <v>alternative-supplier</v>
      </c>
      <c r="I142" s="70" t="str">
        <f>if(iserror(vlookup('source-upstream'!I142,'data-cleansing-maps'!N$5:N$10,1,FALSE)),'source-upstream'!I142,"")</f>
        <v/>
      </c>
      <c r="J142" s="89" t="str">
        <f>'source-upstream'!J142</f>
        <v>Alternative waste transporters</v>
      </c>
      <c r="K142" s="70" t="str">
        <f>if('source-upstream'!K142="",'schema-yn'!$A$5,vlookup('source-upstream'!K142,YN_MAP,3,FALSE))</f>
        <v>not-provided</v>
      </c>
      <c r="L142" s="90" t="str">
        <f>if('source-upstream'!L142="Not provided","",'source-upstream'!L142)</f>
        <v/>
      </c>
      <c r="M142" s="65" t="str">
        <f>if('source-upstream'!M142="",'schema-rv-services'!$B$26,vlookup(vlookup('source-upstream'!$M142,'analysis-rv-services'!$C:$E,3,FALSE),'schema-rv-services'!$A:$B,2, FALSE))</f>
        <v>transport</v>
      </c>
      <c r="N142" s="70"/>
    </row>
    <row r="143" ht="15.0" customHeight="1">
      <c r="A143" s="88" t="str">
        <f>Substitute(SUBSTITUTE(substitute(substitute(substitute(substitute(substitute(substitute(substitute(lower('source-upstream'!A143)," ","-"),"(",""),")",""),"&gt;",""),"&lt;",""),"---","-"),".","-"),"--","-"),"&amp;","-and-")</f>
        <v>red-possum</v>
      </c>
      <c r="B143" s="88" t="str">
        <f>Substitute(SUBSTITUTE(substitute(substitute(substitute(substitute(substitute(substitute(substitute(lower('source-upstream'!B143)," ","-"),"(",""),")",""),"&gt;",""),"&lt;",""),"---","-"),".","-"),"--","-"),"&amp;","-and-")</f>
        <v>blue-sugar-glider</v>
      </c>
      <c r="C143" s="70" t="str">
        <f>if('source-upstream'!C143="",'schema-frequency'!$B$11,vlookup('source-upstream'!C143,FREQUENCY_MAP, 3, FALSE))</f>
        <v>not-provided</v>
      </c>
      <c r="D143" s="89" t="str">
        <f>'source-upstream'!D143</f>
        <v>Transfer station</v>
      </c>
      <c r="E143" s="70" t="str">
        <f>if('source-upstream'!E143="",'schema-yn'!$A$5,vlookup('source-upstream'!E143,YN_MAP,3,FALSE))</f>
        <v>no</v>
      </c>
      <c r="F143" s="70" t="str">
        <f>if('source-upstream'!F143="",'schema-yn'!$A$5,vlookup('source-upstream'!F143,YN_MAP,3,FALSE))</f>
        <v>yes</v>
      </c>
      <c r="G143" s="70" t="str">
        <f>if('source-upstream'!G143="",'schema-yn'!$A$5,vlookup('source-upstream'!G143,YN_MAP,3,FALSE))</f>
        <v>yes</v>
      </c>
      <c r="H143" s="70" t="str">
        <f>if('source-upstream'!H143="",'schema-yn'!$A$5,vlookup('source-upstream'!H143,RESILIENCE_OPTION_MAP,3,FALSE))</f>
        <v>alternative-supplier</v>
      </c>
      <c r="I143" s="70" t="str">
        <f>if(iserror(vlookup('source-upstream'!I143,'data-cleansing-maps'!N$5:N$10,1,FALSE)),'source-upstream'!I143,"")</f>
        <v/>
      </c>
      <c r="J143" s="89" t="str">
        <f>'source-upstream'!J143</f>
        <v>Alternative waste producers</v>
      </c>
      <c r="K143" s="70" t="str">
        <f>if('source-upstream'!K143="",'schema-yn'!$A$5,vlookup('source-upstream'!K143,YN_MAP,3,FALSE))</f>
        <v>not-provided</v>
      </c>
      <c r="L143" s="90" t="str">
        <f>if('source-upstream'!L143="Not provided","",'source-upstream'!L143)</f>
        <v>Red Possum documented supplier as a single point yet noted there are alternatives</v>
      </c>
      <c r="M143" s="65" t="str">
        <f>if('source-upstream'!M143="",'schema-rv-services'!$B$26,vlookup(vlookup('source-upstream'!$M143,'analysis-rv-services'!$C:$E,3,FALSE),'schema-rv-services'!$A:$B,2, FALSE))</f>
        <v>waste-collection</v>
      </c>
      <c r="N143" s="70"/>
    </row>
    <row r="144" ht="15.0" customHeight="1">
      <c r="A144" s="88" t="str">
        <f>Substitute(SUBSTITUTE(substitute(substitute(substitute(substitute(substitute(substitute(substitute(lower('source-upstream'!A144)," ","-"),"(",""),")",""),"&gt;",""),"&lt;",""),"---","-"),".","-"),"--","-"),"&amp;","-and-")</f>
        <v>red-possum</v>
      </c>
      <c r="B144" s="88" t="str">
        <f>Substitute(SUBSTITUTE(substitute(substitute(substitute(substitute(substitute(substitute(substitute(lower('source-upstream'!B144)," ","-"),"(",""),")",""),"&gt;",""),"&lt;",""),"---","-"),".","-"),"--","-"),"&amp;","-and-")</f>
        <v>fuzzy-wallaby</v>
      </c>
      <c r="C144" s="70" t="str">
        <f>if('source-upstream'!C144="",'schema-frequency'!$B$11,vlookup('source-upstream'!C144,FREQUENCY_MAP, 3, FALSE))</f>
        <v>not-provided</v>
      </c>
      <c r="D144" s="89" t="str">
        <f>'source-upstream'!D144</f>
        <v>Transfer station</v>
      </c>
      <c r="E144" s="70" t="str">
        <f>if('source-upstream'!E144="",'schema-yn'!$A$5,vlookup('source-upstream'!E144,YN_MAP,3,FALSE))</f>
        <v>no</v>
      </c>
      <c r="F144" s="70" t="str">
        <f>if('source-upstream'!F144="",'schema-yn'!$A$5,vlookup('source-upstream'!F144,YN_MAP,3,FALSE))</f>
        <v>yes</v>
      </c>
      <c r="G144" s="70" t="str">
        <f>if('source-upstream'!G144="",'schema-yn'!$A$5,vlookup('source-upstream'!G144,YN_MAP,3,FALSE))</f>
        <v>yes</v>
      </c>
      <c r="H144" s="70" t="str">
        <f>if('source-upstream'!H144="",'schema-yn'!$A$5,vlookup('source-upstream'!H144,RESILIENCE_OPTION_MAP,3,FALSE))</f>
        <v>alternative-supplier</v>
      </c>
      <c r="I144" s="70" t="str">
        <f>if(iserror(vlookup('source-upstream'!I144,'data-cleansing-maps'!N$5:N$10,1,FALSE)),'source-upstream'!I144,"")</f>
        <v/>
      </c>
      <c r="J144" s="89" t="str">
        <f>'source-upstream'!J144</f>
        <v>Alternative waste producers</v>
      </c>
      <c r="K144" s="70" t="str">
        <f>if('source-upstream'!K144="",'schema-yn'!$A$5,vlookup('source-upstream'!K144,YN_MAP,3,FALSE))</f>
        <v>not-provided</v>
      </c>
      <c r="L144" s="90" t="str">
        <f>if('source-upstream'!L144="Not provided","",'source-upstream'!L144)</f>
        <v>Red Possum documented supplier as a single point yet noted there are alternatives</v>
      </c>
      <c r="M144" s="65" t="str">
        <f>if('source-upstream'!M144="",'schema-rv-services'!$B$26,vlookup(vlookup('source-upstream'!$M144,'analysis-rv-services'!$C:$E,3,FALSE),'schema-rv-services'!$A:$B,2, FALSE))</f>
        <v>waste-collection</v>
      </c>
      <c r="N144" s="70"/>
    </row>
    <row r="145" ht="15.0" customHeight="1">
      <c r="A145" s="88" t="str">
        <f>Substitute(SUBSTITUTE(substitute(substitute(substitute(substitute(substitute(substitute(substitute(lower('source-upstream'!A145)," ","-"),"(",""),")",""),"&gt;",""),"&lt;",""),"---","-"),".","-"),"--","-"),"&amp;","-and-")</f>
        <v>red-possum</v>
      </c>
      <c r="B145" s="88" t="str">
        <f>Substitute(SUBSTITUTE(substitute(substitute(substitute(substitute(substitute(substitute(substitute(lower('source-upstream'!B145)," ","-"),"(",""),")",""),"&gt;",""),"&lt;",""),"---","-"),".","-"),"--","-"),"&amp;","-and-")</f>
        <v>silent-rosella</v>
      </c>
      <c r="C145" s="70" t="str">
        <f>if('source-upstream'!C145="",'schema-frequency'!$B$11,vlookup('source-upstream'!C145,FREQUENCY_MAP, 3, FALSE))</f>
        <v>not-provided</v>
      </c>
      <c r="D145" s="89" t="str">
        <f>'source-upstream'!D145</f>
        <v>Waste generation</v>
      </c>
      <c r="E145" s="70" t="str">
        <f>if('source-upstream'!E145="",'schema-yn'!$A$5,vlookup('source-upstream'!E145,YN_MAP,3,FALSE))</f>
        <v>yes</v>
      </c>
      <c r="F145" s="70" t="str">
        <f>if('source-upstream'!F145="",'schema-yn'!$A$5,vlookup('source-upstream'!F145,YN_MAP,3,FALSE))</f>
        <v>yes</v>
      </c>
      <c r="G145" s="70" t="str">
        <f>if('source-upstream'!G145="",'schema-yn'!$A$5,vlookup('source-upstream'!G145,YN_MAP,3,FALSE))</f>
        <v>yes</v>
      </c>
      <c r="H145" s="70" t="str">
        <f>if('source-upstream'!H145="",'schema-yn'!$A$5,vlookup('source-upstream'!H145,RESILIENCE_OPTION_MAP,3,FALSE))</f>
        <v>alternative-supplier</v>
      </c>
      <c r="I145" s="70" t="str">
        <f>if(iserror(vlookup('source-upstream'!I145,'data-cleansing-maps'!N$5:N$10,1,FALSE)),'source-upstream'!I145,"")</f>
        <v/>
      </c>
      <c r="J145" s="89" t="str">
        <f>'source-upstream'!J145</f>
        <v>Alternative waste producers</v>
      </c>
      <c r="K145" s="70" t="str">
        <f>if('source-upstream'!K145="",'schema-yn'!$A$5,vlookup('source-upstream'!K145,YN_MAP,3,FALSE))</f>
        <v>not-provided</v>
      </c>
      <c r="L145" s="90" t="str">
        <f>if('source-upstream'!L145="Not provided","",'source-upstream'!L145)</f>
        <v>Red Possum documented supplier as a single point yet noted there are alternatives</v>
      </c>
      <c r="M145" s="65" t="str">
        <f>if('source-upstream'!M145="",'schema-rv-services'!$B$26,vlookup(vlookup('source-upstream'!$M145,'analysis-rv-services'!$C:$E,3,FALSE),'schema-rv-services'!$A:$B,2, FALSE))</f>
        <v>waste-generation</v>
      </c>
      <c r="N145" s="70"/>
    </row>
    <row r="146" ht="15.0" customHeight="1">
      <c r="A146" s="88" t="str">
        <f>Substitute(SUBSTITUTE(substitute(substitute(substitute(substitute(substitute(substitute(substitute(lower('source-upstream'!A146)," ","-"),"(",""),")",""),"&gt;",""),"&lt;",""),"---","-"),".","-"),"--","-"),"&amp;","-and-")</f>
        <v>red-possum</v>
      </c>
      <c r="B146" s="88" t="str">
        <f>Substitute(SUBSTITUTE(substitute(substitute(substitute(substitute(substitute(substitute(substitute(lower('source-upstream'!B146)," ","-"),"(",""),")",""),"&gt;",""),"&lt;",""),"---","-"),".","-"),"--","-"),"&amp;","-and-")</f>
        <v>striped-frilled-neck-lizard</v>
      </c>
      <c r="C146" s="70" t="str">
        <f>if('source-upstream'!C146="",'schema-frequency'!$B$11,vlookup('source-upstream'!C146,FREQUENCY_MAP, 3, FALSE))</f>
        <v>not-provided</v>
      </c>
      <c r="D146" s="89" t="str">
        <f>'source-upstream'!D146</f>
        <v>Waste generation</v>
      </c>
      <c r="E146" s="70" t="str">
        <f>if('source-upstream'!E146="",'schema-yn'!$A$5,vlookup('source-upstream'!E146,YN_MAP,3,FALSE))</f>
        <v>yes</v>
      </c>
      <c r="F146" s="70" t="str">
        <f>if('source-upstream'!F146="",'schema-yn'!$A$5,vlookup('source-upstream'!F146,YN_MAP,3,FALSE))</f>
        <v>no</v>
      </c>
      <c r="G146" s="70" t="str">
        <f>if('source-upstream'!G146="",'schema-yn'!$A$5,vlookup('source-upstream'!G146,YN_MAP,3,FALSE))</f>
        <v>yes</v>
      </c>
      <c r="H146" s="70" t="str">
        <f>if('source-upstream'!H146="",'schema-yn'!$A$5,vlookup('source-upstream'!H146,RESILIENCE_OPTION_MAP,3,FALSE))</f>
        <v>alternative-supplier</v>
      </c>
      <c r="I146" s="70" t="str">
        <f>if(iserror(vlookup('source-upstream'!I146,'data-cleansing-maps'!N$5:N$10,1,FALSE)),'source-upstream'!I146,"")</f>
        <v/>
      </c>
      <c r="J146" s="89" t="str">
        <f>'source-upstream'!J146</f>
        <v>Alternative waste producers</v>
      </c>
      <c r="K146" s="70" t="str">
        <f>if('source-upstream'!K146="",'schema-yn'!$A$5,vlookup('source-upstream'!K146,YN_MAP,3,FALSE))</f>
        <v>not-provided</v>
      </c>
      <c r="L146" s="90" t="str">
        <f>if('source-upstream'!L146="Not provided","",'source-upstream'!L146)</f>
        <v/>
      </c>
      <c r="M146" s="65" t="str">
        <f>if('source-upstream'!M146="",'schema-rv-services'!$B$26,vlookup(vlookup('source-upstream'!$M146,'analysis-rv-services'!$C:$E,3,FALSE),'schema-rv-services'!$A:$B,2, FALSE))</f>
        <v>waste-generation</v>
      </c>
      <c r="N146" s="70"/>
    </row>
    <row r="147" ht="15.0" customHeight="1">
      <c r="A147" s="88" t="str">
        <f>Substitute(SUBSTITUTE(substitute(substitute(substitute(substitute(substitute(substitute(substitute(lower('source-upstream'!A147)," ","-"),"(",""),")",""),"&gt;",""),"&lt;",""),"---","-"),".","-"),"--","-"),"&amp;","-and-")</f>
        <v>red-possum</v>
      </c>
      <c r="B147" s="88" t="str">
        <f>Substitute(SUBSTITUTE(substitute(substitute(substitute(substitute(substitute(substitute(substitute(lower('source-upstream'!B147)," ","-"),"(",""),")",""),"&gt;",""),"&lt;",""),"---","-"),".","-"),"--","-"),"&amp;","-and-")</f>
        <v>yellow-australian-magpie</v>
      </c>
      <c r="C147" s="70" t="str">
        <f>if('source-upstream'!C147="",'schema-frequency'!$B$11,vlookup('source-upstream'!C147,FREQUENCY_MAP, 3, FALSE))</f>
        <v>not-provided</v>
      </c>
      <c r="D147" s="89" t="str">
        <f>'source-upstream'!D147</f>
        <v>Waste generation</v>
      </c>
      <c r="E147" s="70" t="str">
        <f>if('source-upstream'!E147="",'schema-yn'!$A$5,vlookup('source-upstream'!E147,YN_MAP,3,FALSE))</f>
        <v>no</v>
      </c>
      <c r="F147" s="70" t="str">
        <f>if('source-upstream'!F147="",'schema-yn'!$A$5,vlookup('source-upstream'!F147,YN_MAP,3,FALSE))</f>
        <v>no</v>
      </c>
      <c r="G147" s="70" t="str">
        <f>if('source-upstream'!G147="",'schema-yn'!$A$5,vlookup('source-upstream'!G147,YN_MAP,3,FALSE))</f>
        <v>yes</v>
      </c>
      <c r="H147" s="70" t="str">
        <f>if('source-upstream'!H147="",'schema-yn'!$A$5,vlookup('source-upstream'!H147,RESILIENCE_OPTION_MAP,3,FALSE))</f>
        <v>alternative-supplier</v>
      </c>
      <c r="I147" s="70" t="str">
        <f>if(iserror(vlookup('source-upstream'!I147,'data-cleansing-maps'!N$5:N$10,1,FALSE)),'source-upstream'!I147,"")</f>
        <v/>
      </c>
      <c r="J147" s="89" t="str">
        <f>'source-upstream'!J147</f>
        <v>Alternative waste producers</v>
      </c>
      <c r="K147" s="70" t="str">
        <f>if('source-upstream'!K147="",'schema-yn'!$A$5,vlookup('source-upstream'!K147,YN_MAP,3,FALSE))</f>
        <v>not-provided</v>
      </c>
      <c r="L147" s="90" t="str">
        <f>if('source-upstream'!L147="Not provided","",'source-upstream'!L147)</f>
        <v/>
      </c>
      <c r="M147" s="65" t="str">
        <f>if('source-upstream'!M147="",'schema-rv-services'!$B$26,vlookup(vlookup('source-upstream'!$M147,'analysis-rv-services'!$C:$E,3,FALSE),'schema-rv-services'!$A:$B,2, FALSE))</f>
        <v>waste-generation</v>
      </c>
      <c r="N147" s="70"/>
    </row>
    <row r="148" ht="15.0" customHeight="1">
      <c r="A148" s="88" t="str">
        <f>Substitute(SUBSTITUTE(substitute(substitute(substitute(substitute(substitute(substitute(substitute(lower('source-upstream'!A148)," ","-"),"(",""),")",""),"&gt;",""),"&lt;",""),"---","-"),".","-"),"--","-"),"&amp;","-and-")</f>
        <v>red-possum</v>
      </c>
      <c r="B148" s="88" t="str">
        <f>Substitute(SUBSTITUTE(substitute(substitute(substitute(substitute(substitute(substitute(substitute(lower('source-upstream'!B148)," ","-"),"(",""),")",""),"&gt;",""),"&lt;",""),"---","-"),".","-"),"--","-"),"&amp;","-and-")</f>
        <v>noisy-dingo</v>
      </c>
      <c r="C148" s="70" t="str">
        <f>if('source-upstream'!C148="",'schema-frequency'!$B$11,vlookup('source-upstream'!C148,FREQUENCY_MAP, 3, FALSE))</f>
        <v>ceased</v>
      </c>
      <c r="D148" s="89" t="str">
        <f>'source-upstream'!D148</f>
        <v>Waste generation</v>
      </c>
      <c r="E148" s="70" t="str">
        <f>if('source-upstream'!E148="",'schema-yn'!$A$5,vlookup('source-upstream'!E148,YN_MAP,3,FALSE))</f>
        <v>no</v>
      </c>
      <c r="F148" s="70" t="str">
        <f>if('source-upstream'!F148="",'schema-yn'!$A$5,vlookup('source-upstream'!F148,YN_MAP,3,FALSE))</f>
        <v>no</v>
      </c>
      <c r="G148" s="70" t="str">
        <f>if('source-upstream'!G148="",'schema-yn'!$A$5,vlookup('source-upstream'!G148,YN_MAP,3,FALSE))</f>
        <v>yes</v>
      </c>
      <c r="H148" s="70" t="str">
        <f>if('source-upstream'!H148="",'schema-yn'!$A$5,vlookup('source-upstream'!H148,RESILIENCE_OPTION_MAP,3,FALSE))</f>
        <v>alternative-supplier</v>
      </c>
      <c r="I148" s="70" t="str">
        <f>if(iserror(vlookup('source-upstream'!I148,'data-cleansing-maps'!N$5:N$10,1,FALSE)),'source-upstream'!I148,"")</f>
        <v/>
      </c>
      <c r="J148" s="89" t="str">
        <f>'source-upstream'!J148</f>
        <v>Alternative waste producers</v>
      </c>
      <c r="K148" s="70" t="str">
        <f>if('source-upstream'!K148="",'schema-yn'!$A$5,vlookup('source-upstream'!K148,YN_MAP,3,FALSE))</f>
        <v>not-provided</v>
      </c>
      <c r="L148" s="90" t="str">
        <f>if('source-upstream'!L148="Not provided","",'source-upstream'!L148)</f>
        <v/>
      </c>
      <c r="M148" s="65" t="str">
        <f>if('source-upstream'!M148="",'schema-rv-services'!$B$26,vlookup(vlookup('source-upstream'!$M148,'analysis-rv-services'!$C:$E,3,FALSE),'schema-rv-services'!$A:$B,2, FALSE))</f>
        <v>waste-generation</v>
      </c>
      <c r="N148" s="70"/>
    </row>
    <row r="149" ht="15.0" customHeight="1">
      <c r="A149" s="88" t="str">
        <f>Substitute(SUBSTITUTE(substitute(substitute(substitute(substitute(substitute(substitute(substitute(lower('source-upstream'!A149)," ","-"),"(",""),")",""),"&gt;",""),"&lt;",""),"---","-"),".","-"),"--","-"),"&amp;","-and-")</f>
        <v>silent-rosella</v>
      </c>
      <c r="B149" s="88" t="str">
        <f>Substitute(SUBSTITUTE(substitute(substitute(substitute(substitute(substitute(substitute(substitute(lower('source-upstream'!B149)," ","-"),"(",""),")",""),"&gt;",""),"&lt;",""),"---","-"),".","-"),"--","-"),"&amp;","-and-")</f>
        <v>fuzzy-cassowary</v>
      </c>
      <c r="C149" s="70" t="str">
        <f>if('source-upstream'!C149="",'schema-frequency'!$B$11,vlookup('source-upstream'!C149,FREQUENCY_MAP, 3, FALSE))</f>
        <v>not-provided</v>
      </c>
      <c r="D149" s="89" t="str">
        <f>'source-upstream'!D149</f>
        <v>Transport</v>
      </c>
      <c r="E149" s="70" t="str">
        <f>if('source-upstream'!E149="",'schema-yn'!$A$5,vlookup('source-upstream'!E149,YN_MAP,3,FALSE))</f>
        <v>not-provided</v>
      </c>
      <c r="F149" s="70" t="str">
        <f>if('source-upstream'!F149="",'schema-yn'!$A$5,vlookup('source-upstream'!F149,YN_MAP,3,FALSE))</f>
        <v>not-provided</v>
      </c>
      <c r="G149" s="70" t="str">
        <f>if('source-upstream'!G149="",'schema-yn'!$A$5,vlookup('source-upstream'!G149,YN_MAP,3,FALSE))</f>
        <v>not-provided</v>
      </c>
      <c r="H149" s="70" t="str">
        <f>if('source-upstream'!H149="",'schema-yn'!$A$5,vlookup('source-upstream'!H149,RESILIENCE_OPTION_MAP,3,FALSE))</f>
        <v>not-provided</v>
      </c>
      <c r="I149" s="70" t="str">
        <f>if(iserror(vlookup('source-upstream'!I149,'data-cleansing-maps'!N$5:N$10,1,FALSE)),'source-upstream'!I149,"")</f>
        <v/>
      </c>
      <c r="J149" s="89" t="str">
        <f>'source-upstream'!J149</f>
        <v>Transporting of medium to major quantities of materials in bulk</v>
      </c>
      <c r="K149" s="70" t="str">
        <f>if('source-upstream'!K149="",'schema-yn'!$A$5,vlookup('source-upstream'!K149,YN_MAP,3,FALSE))</f>
        <v>not-provided</v>
      </c>
      <c r="L149" s="90" t="str">
        <f>if('source-upstream'!L149="Not provided","",'source-upstream'!L149)</f>
        <v/>
      </c>
      <c r="M149" s="65" t="str">
        <f>if('source-upstream'!M149="",'schema-rv-services'!$B$26,vlookup(vlookup('source-upstream'!$M149,'analysis-rv-services'!$C:$E,3,FALSE),'schema-rv-services'!$A:$B,2, FALSE))</f>
        <v>transport</v>
      </c>
      <c r="N149" s="70"/>
    </row>
    <row r="150" ht="15.0" customHeight="1">
      <c r="A150" s="88" t="str">
        <f>Substitute(SUBSTITUTE(substitute(substitute(substitute(substitute(substitute(substitute(substitute(lower('source-upstream'!A150)," ","-"),"(",""),")",""),"&gt;",""),"&lt;",""),"---","-"),".","-"),"--","-"),"&amp;","-and-")</f>
        <v>silent-rosella</v>
      </c>
      <c r="B150" s="88" t="str">
        <f>Substitute(SUBSTITUTE(substitute(substitute(substitute(substitute(substitute(substitute(substitute(lower('source-upstream'!B150)," ","-"),"(",""),")",""),"&gt;",""),"&lt;",""),"---","-"),".","-"),"--","-"),"&amp;","-and-")</f>
        <v>fuzzy-cassowary</v>
      </c>
      <c r="C150" s="70" t="str">
        <f>if('source-upstream'!C150="",'schema-frequency'!$B$11,vlookup('source-upstream'!C150,FREQUENCY_MAP, 3, FALSE))</f>
        <v>not-provided</v>
      </c>
      <c r="D150" s="89" t="str">
        <f>'source-upstream'!D150</f>
        <v>Maintenance and replacement of utilities, equipment, parts for the ongoing operation of vehicles and plant.</v>
      </c>
      <c r="E150" s="70" t="str">
        <f>if('source-upstream'!E150="",'schema-yn'!$A$5,vlookup('source-upstream'!E150,YN_MAP,3,FALSE))</f>
        <v>not-provided</v>
      </c>
      <c r="F150" s="70" t="str">
        <f>if('source-upstream'!F150="",'schema-yn'!$A$5,vlookup('source-upstream'!F150,YN_MAP,3,FALSE))</f>
        <v>not-provided</v>
      </c>
      <c r="G150" s="70" t="str">
        <f>if('source-upstream'!G150="",'schema-yn'!$A$5,vlookup('source-upstream'!G150,YN_MAP,3,FALSE))</f>
        <v>not-provided</v>
      </c>
      <c r="H150" s="70" t="str">
        <f>if('source-upstream'!H150="",'schema-yn'!$A$5,vlookup('source-upstream'!H150,RESILIENCE_OPTION_MAP,3,FALSE))</f>
        <v>not-provided</v>
      </c>
      <c r="I150" s="70" t="str">
        <f>if(iserror(vlookup('source-upstream'!I150,'data-cleansing-maps'!N$5:N$10,1,FALSE)),'source-upstream'!I150,"")</f>
        <v/>
      </c>
      <c r="J150" s="89" t="str">
        <f>'source-upstream'!J150</f>
        <v>Maintenance and replacement of utilities, equipment, parts for the ongoing operation of vehicles and plant.</v>
      </c>
      <c r="K150" s="70" t="str">
        <f>if('source-upstream'!K150="",'schema-yn'!$A$5,vlookup('source-upstream'!K150,YN_MAP,3,FALSE))</f>
        <v>not-provided</v>
      </c>
      <c r="L150" s="90" t="str">
        <f>if('source-upstream'!L150="Not provided","",'source-upstream'!L150)</f>
        <v/>
      </c>
      <c r="M150" s="65" t="str">
        <f>if('source-upstream'!M150="",'schema-rv-services'!$B$26,vlookup(vlookup('source-upstream'!$M150,'analysis-rv-services'!$C:$E,3,FALSE),'schema-rv-services'!$A:$B,2, FALSE))</f>
        <v>transport</v>
      </c>
      <c r="N150" s="70"/>
    </row>
    <row r="151" ht="15.0" customHeight="1">
      <c r="A151" s="88" t="str">
        <f>Substitute(SUBSTITUTE(substitute(substitute(substitute(substitute(substitute(substitute(substitute(lower('source-upstream'!A151)," ","-"),"(",""),")",""),"&gt;",""),"&lt;",""),"---","-"),".","-"),"--","-"),"&amp;","-and-")</f>
        <v>silent-rosella</v>
      </c>
      <c r="B151" s="88" t="str">
        <f>Substitute(SUBSTITUTE(substitute(substitute(substitute(substitute(substitute(substitute(substitute(lower('source-upstream'!B151)," ","-"),"(",""),")",""),"&gt;",""),"&lt;",""),"---","-"),".","-"),"--","-"),"&amp;","-and-")</f>
        <v>fuzzy-kangaroo</v>
      </c>
      <c r="C151" s="70" t="str">
        <f>if('source-upstream'!C151="",'schema-frequency'!$B$11,vlookup('source-upstream'!C151,FREQUENCY_MAP, 3, FALSE))</f>
        <v>not-provided</v>
      </c>
      <c r="D151" s="89" t="str">
        <f>'source-upstream'!D151</f>
        <v>Maintenance and replacement of utilities, equipment, parts for the ongoing operation of vehicles and plant.</v>
      </c>
      <c r="E151" s="70" t="str">
        <f>if('source-upstream'!E151="",'schema-yn'!$A$5,vlookup('source-upstream'!E151,YN_MAP,3,FALSE))</f>
        <v>not-provided</v>
      </c>
      <c r="F151" s="70" t="str">
        <f>if('source-upstream'!F151="",'schema-yn'!$A$5,vlookup('source-upstream'!F151,YN_MAP,3,FALSE))</f>
        <v>not-provided</v>
      </c>
      <c r="G151" s="70" t="str">
        <f>if('source-upstream'!G151="",'schema-yn'!$A$5,vlookup('source-upstream'!G151,YN_MAP,3,FALSE))</f>
        <v>not-provided</v>
      </c>
      <c r="H151" s="70" t="str">
        <f>if('source-upstream'!H151="",'schema-yn'!$A$5,vlookup('source-upstream'!H151,RESILIENCE_OPTION_MAP,3,FALSE))</f>
        <v>not-provided</v>
      </c>
      <c r="I151" s="70" t="str">
        <f>if(iserror(vlookup('source-upstream'!I151,'data-cleansing-maps'!N$5:N$10,1,FALSE)),'source-upstream'!I151,"")</f>
        <v/>
      </c>
      <c r="J151" s="89" t="str">
        <f>'source-upstream'!J151</f>
        <v>Maintenance and replacement of utilities, equioment, parts for the ongoing operation of vehicoles and plant.</v>
      </c>
      <c r="K151" s="70" t="str">
        <f>if('source-upstream'!K151="",'schema-yn'!$A$5,vlookup('source-upstream'!K151,YN_MAP,3,FALSE))</f>
        <v>not-provided</v>
      </c>
      <c r="L151" s="90" t="str">
        <f>if('source-upstream'!L151="Not provided","",'source-upstream'!L151)</f>
        <v/>
      </c>
      <c r="M151" s="65" t="str">
        <f>if('source-upstream'!M151="",'schema-rv-services'!$B$26,vlookup(vlookup('source-upstream'!$M151,'analysis-rv-services'!$C:$E,3,FALSE),'schema-rv-services'!$A:$B,2, FALSE))</f>
        <v>repairs-and-maintenance</v>
      </c>
      <c r="N151" s="70"/>
    </row>
    <row r="152" ht="15.0" customHeight="1">
      <c r="A152" s="88" t="str">
        <f>Substitute(SUBSTITUTE(substitute(substitute(substitute(substitute(substitute(substitute(substitute(lower('source-upstream'!A152)," ","-"),"(",""),")",""),"&gt;",""),"&lt;",""),"---","-"),".","-"),"--","-"),"&amp;","-and-")</f>
        <v>silent-rosella</v>
      </c>
      <c r="B152" s="88" t="str">
        <f>Substitute(SUBSTITUTE(substitute(substitute(substitute(substitute(substitute(substitute(substitute(lower('source-upstream'!B152)," ","-"),"(",""),")",""),"&gt;",""),"&lt;",""),"---","-"),".","-"),"--","-"),"&amp;","-and-")</f>
        <v>red-koala</v>
      </c>
      <c r="C152" s="70" t="str">
        <f>if('source-upstream'!C152="",'schema-frequency'!$B$11,vlookup('source-upstream'!C152,FREQUENCY_MAP, 3, FALSE))</f>
        <v>not-provided</v>
      </c>
      <c r="D152" s="89" t="str">
        <f>'source-upstream'!D152</f>
        <v>Maintenance and replacement of utilities, equipment, parts for the ongoing operation of vehicles and plant.</v>
      </c>
      <c r="E152" s="70" t="str">
        <f>if('source-upstream'!E152="",'schema-yn'!$A$5,vlookup('source-upstream'!E152,YN_MAP,3,FALSE))</f>
        <v>not-provided</v>
      </c>
      <c r="F152" s="70" t="str">
        <f>if('source-upstream'!F152="",'schema-yn'!$A$5,vlookup('source-upstream'!F152,YN_MAP,3,FALSE))</f>
        <v>not-provided</v>
      </c>
      <c r="G152" s="70" t="str">
        <f>if('source-upstream'!G152="",'schema-yn'!$A$5,vlookup('source-upstream'!G152,YN_MAP,3,FALSE))</f>
        <v>not-provided</v>
      </c>
      <c r="H152" s="70" t="str">
        <f>if('source-upstream'!H152="",'schema-yn'!$A$5,vlookup('source-upstream'!H152,RESILIENCE_OPTION_MAP,3,FALSE))</f>
        <v>not-provided</v>
      </c>
      <c r="I152" s="70" t="str">
        <f>if(iserror(vlookup('source-upstream'!I152,'data-cleansing-maps'!N$5:N$10,1,FALSE)),'source-upstream'!I152,"")</f>
        <v/>
      </c>
      <c r="J152" s="89" t="str">
        <f>'source-upstream'!J152</f>
        <v>Maintenance and replacement of utilities, equioment, parts for the ongoing operation of vehicoles and plant.</v>
      </c>
      <c r="K152" s="70" t="str">
        <f>if('source-upstream'!K152="",'schema-yn'!$A$5,vlookup('source-upstream'!K152,YN_MAP,3,FALSE))</f>
        <v>not-provided</v>
      </c>
      <c r="L152" s="90" t="str">
        <f>if('source-upstream'!L152="Not provided","",'source-upstream'!L152)</f>
        <v/>
      </c>
      <c r="M152" s="65" t="str">
        <f>if('source-upstream'!M152="",'schema-rv-services'!$B$26,vlookup(vlookup('source-upstream'!$M152,'analysis-rv-services'!$C:$E,3,FALSE),'schema-rv-services'!$A:$B,2, FALSE))</f>
        <v>repairs-and-maintenance</v>
      </c>
      <c r="N152" s="70"/>
    </row>
    <row r="153" ht="15.0" customHeight="1">
      <c r="A153" s="88" t="str">
        <f>Substitute(SUBSTITUTE(substitute(substitute(substitute(substitute(substitute(substitute(substitute(lower('source-upstream'!A153)," ","-"),"(",""),")",""),"&gt;",""),"&lt;",""),"---","-"),".","-"),"--","-"),"&amp;","-and-")</f>
        <v>silent-rosella</v>
      </c>
      <c r="B153" s="88" t="str">
        <f>Substitute(SUBSTITUTE(substitute(substitute(substitute(substitute(substitute(substitute(substitute(lower('source-upstream'!B153)," ","-"),"(",""),")",""),"&gt;",""),"&lt;",""),"---","-"),".","-"),"--","-"),"&amp;","-and-")</f>
        <v>sleepy-possum</v>
      </c>
      <c r="C153" s="70" t="str">
        <f>if('source-upstream'!C153="",'schema-frequency'!$B$11,vlookup('source-upstream'!C153,FREQUENCY_MAP, 3, FALSE))</f>
        <v>not-provided</v>
      </c>
      <c r="D153" s="89" t="str">
        <f>'source-upstream'!D153</f>
        <v>Maintenance and replacement of utilities, equipment, parts for the ongoing operation of vehicles and plant.</v>
      </c>
      <c r="E153" s="70" t="str">
        <f>if('source-upstream'!E153="",'schema-yn'!$A$5,vlookup('source-upstream'!E153,YN_MAP,3,FALSE))</f>
        <v>not-provided</v>
      </c>
      <c r="F153" s="70" t="str">
        <f>if('source-upstream'!F153="",'schema-yn'!$A$5,vlookup('source-upstream'!F153,YN_MAP,3,FALSE))</f>
        <v>not-provided</v>
      </c>
      <c r="G153" s="70" t="str">
        <f>if('source-upstream'!G153="",'schema-yn'!$A$5,vlookup('source-upstream'!G153,YN_MAP,3,FALSE))</f>
        <v>not-provided</v>
      </c>
      <c r="H153" s="70" t="str">
        <f>if('source-upstream'!H153="",'schema-yn'!$A$5,vlookup('source-upstream'!H153,RESILIENCE_OPTION_MAP,3,FALSE))</f>
        <v>not-provided</v>
      </c>
      <c r="I153" s="70" t="str">
        <f>if(iserror(vlookup('source-upstream'!I153,'data-cleansing-maps'!N$5:N$10,1,FALSE)),'source-upstream'!I153,"")</f>
        <v/>
      </c>
      <c r="J153" s="89" t="str">
        <f>'source-upstream'!J153</f>
        <v>Maintenance and replacement of utilities, equioment, parts for the ongoing operation of vehicoles and plant.</v>
      </c>
      <c r="K153" s="70" t="str">
        <f>if('source-upstream'!K153="",'schema-yn'!$A$5,vlookup('source-upstream'!K153,YN_MAP,3,FALSE))</f>
        <v>not-provided</v>
      </c>
      <c r="L153" s="90" t="str">
        <f>if('source-upstream'!L153="Not provided","",'source-upstream'!L153)</f>
        <v/>
      </c>
      <c r="M153" s="65" t="str">
        <f>if('source-upstream'!M153="",'schema-rv-services'!$B$26,vlookup(vlookup('source-upstream'!$M153,'analysis-rv-services'!$C:$E,3,FALSE),'schema-rv-services'!$A:$B,2, FALSE))</f>
        <v>repairs-and-maintenance</v>
      </c>
      <c r="N153" s="70"/>
    </row>
    <row r="154" ht="15.0" customHeight="1">
      <c r="A154" s="88" t="str">
        <f>Substitute(SUBSTITUTE(substitute(substitute(substitute(substitute(substitute(substitute(substitute(lower('source-upstream'!A154)," ","-"),"(",""),")",""),"&gt;",""),"&lt;",""),"---","-"),".","-"),"--","-"),"&amp;","-and-")</f>
        <v>silent-rosella</v>
      </c>
      <c r="B154" s="88" t="str">
        <f>Substitute(SUBSTITUTE(substitute(substitute(substitute(substitute(substitute(substitute(substitute(lower('source-upstream'!B154)," ","-"),"(",""),")",""),"&gt;",""),"&lt;",""),"---","-"),".","-"),"--","-"),"&amp;","-and-")</f>
        <v>striped-echidna</v>
      </c>
      <c r="C154" s="70" t="str">
        <f>if('source-upstream'!C154="",'schema-frequency'!$B$11,vlookup('source-upstream'!C154,FREQUENCY_MAP, 3, FALSE))</f>
        <v>not-provided</v>
      </c>
      <c r="D154" s="89" t="str">
        <f>'source-upstream'!D154</f>
        <v>Maintenance and replacement of utilities, equipment, parts for the ongoing operation of vehicles and plant.</v>
      </c>
      <c r="E154" s="70" t="str">
        <f>if('source-upstream'!E154="",'schema-yn'!$A$5,vlookup('source-upstream'!E154,YN_MAP,3,FALSE))</f>
        <v>not-provided</v>
      </c>
      <c r="F154" s="70" t="str">
        <f>if('source-upstream'!F154="",'schema-yn'!$A$5,vlookup('source-upstream'!F154,YN_MAP,3,FALSE))</f>
        <v>not-provided</v>
      </c>
      <c r="G154" s="70" t="str">
        <f>if('source-upstream'!G154="",'schema-yn'!$A$5,vlookup('source-upstream'!G154,YN_MAP,3,FALSE))</f>
        <v>not-provided</v>
      </c>
      <c r="H154" s="70" t="str">
        <f>if('source-upstream'!H154="",'schema-yn'!$A$5,vlookup('source-upstream'!H154,RESILIENCE_OPTION_MAP,3,FALSE))</f>
        <v>not-provided</v>
      </c>
      <c r="I154" s="70" t="str">
        <f>if(iserror(vlookup('source-upstream'!I154,'data-cleansing-maps'!N$5:N$10,1,FALSE)),'source-upstream'!I154,"")</f>
        <v/>
      </c>
      <c r="J154" s="89" t="str">
        <f>'source-upstream'!J154</f>
        <v>Maintenance and replacement of utilities, equioment, parts for the ongoing operation of vehicoles and plant.</v>
      </c>
      <c r="K154" s="70" t="str">
        <f>if('source-upstream'!K154="",'schema-yn'!$A$5,vlookup('source-upstream'!K154,YN_MAP,3,FALSE))</f>
        <v>not-provided</v>
      </c>
      <c r="L154" s="90" t="str">
        <f>if('source-upstream'!L154="Not provided","",'source-upstream'!L154)</f>
        <v/>
      </c>
      <c r="M154" s="65" t="str">
        <f>if('source-upstream'!M154="",'schema-rv-services'!$B$26,vlookup(vlookup('source-upstream'!$M154,'analysis-rv-services'!$C:$E,3,FALSE),'schema-rv-services'!$A:$B,2, FALSE))</f>
        <v>repairs-and-maintenance</v>
      </c>
      <c r="N154" s="70"/>
    </row>
    <row r="155" ht="15.0" customHeight="1">
      <c r="A155" s="88" t="str">
        <f>Substitute(SUBSTITUTE(substitute(substitute(substitute(substitute(substitute(substitute(substitute(lower('source-upstream'!A155)," ","-"),"(",""),")",""),"&gt;",""),"&lt;",""),"---","-"),".","-"),"--","-"),"&amp;","-and-")</f>
        <v>silent-rosella</v>
      </c>
      <c r="B155" s="88" t="str">
        <f>Substitute(SUBSTITUTE(substitute(substitute(substitute(substitute(substitute(substitute(substitute(lower('source-upstream'!B155)," ","-"),"(",""),")",""),"&gt;",""),"&lt;",""),"---","-"),".","-"),"--","-"),"&amp;","-and-")</f>
        <v>blue-tasmanian-devil</v>
      </c>
      <c r="C155" s="70" t="str">
        <f>if('source-upstream'!C155="",'schema-frequency'!$B$11,vlookup('source-upstream'!C155,FREQUENCY_MAP, 3, FALSE))</f>
        <v>not-provided</v>
      </c>
      <c r="D155" s="89" t="str">
        <f>'source-upstream'!D155</f>
        <v>Maintenance and replacement of utilities, equipment, parts for the ongoing operation of vehicles and plant.</v>
      </c>
      <c r="E155" s="70" t="str">
        <f>if('source-upstream'!E155="",'schema-yn'!$A$5,vlookup('source-upstream'!E155,YN_MAP,3,FALSE))</f>
        <v>not-provided</v>
      </c>
      <c r="F155" s="70" t="str">
        <f>if('source-upstream'!F155="",'schema-yn'!$A$5,vlookup('source-upstream'!F155,YN_MAP,3,FALSE))</f>
        <v>not-provided</v>
      </c>
      <c r="G155" s="70" t="str">
        <f>if('source-upstream'!G155="",'schema-yn'!$A$5,vlookup('source-upstream'!G155,YN_MAP,3,FALSE))</f>
        <v>not-provided</v>
      </c>
      <c r="H155" s="70" t="str">
        <f>if('source-upstream'!H155="",'schema-yn'!$A$5,vlookup('source-upstream'!H155,RESILIENCE_OPTION_MAP,3,FALSE))</f>
        <v>not-provided</v>
      </c>
      <c r="I155" s="70" t="str">
        <f>if(iserror(vlookup('source-upstream'!I155,'data-cleansing-maps'!N$5:N$10,1,FALSE)),'source-upstream'!I155,"")</f>
        <v/>
      </c>
      <c r="J155" s="89" t="str">
        <f>'source-upstream'!J155</f>
        <v>Maintenance and replacement of utilities, equioment, parts for the ongoing operation of vehicoles and plant.</v>
      </c>
      <c r="K155" s="70" t="str">
        <f>if('source-upstream'!K155="",'schema-yn'!$A$5,vlookup('source-upstream'!K155,YN_MAP,3,FALSE))</f>
        <v>not-provided</v>
      </c>
      <c r="L155" s="90" t="str">
        <f>if('source-upstream'!L155="Not provided","",'source-upstream'!L155)</f>
        <v/>
      </c>
      <c r="M155" s="65" t="str">
        <f>if('source-upstream'!M155="",'schema-rv-services'!$B$26,vlookup(vlookup('source-upstream'!$M155,'analysis-rv-services'!$C:$E,3,FALSE),'schema-rv-services'!$A:$B,2, FALSE))</f>
        <v>repairs-and-maintenance</v>
      </c>
      <c r="N155" s="70"/>
    </row>
    <row r="156" ht="15.0" customHeight="1">
      <c r="A156" s="88" t="str">
        <f>Substitute(SUBSTITUTE(substitute(substitute(substitute(substitute(substitute(substitute(substitute(lower('source-upstream'!A156)," ","-"),"(",""),")",""),"&gt;",""),"&lt;",""),"---","-"),".","-"),"--","-"),"&amp;","-and-")</f>
        <v>silent-rosella</v>
      </c>
      <c r="B156" s="88" t="str">
        <f>Substitute(SUBSTITUTE(substitute(substitute(substitute(substitute(substitute(substitute(substitute(lower('source-upstream'!B156)," ","-"),"(",""),")",""),"&gt;",""),"&lt;",""),"---","-"),".","-"),"--","-"),"&amp;","-and-")</f>
        <v>striped-bush-stone-curlew</v>
      </c>
      <c r="C156" s="70" t="str">
        <f>if('source-upstream'!C156="",'schema-frequency'!$B$11,vlookup('source-upstream'!C156,FREQUENCY_MAP, 3, FALSE))</f>
        <v>not-provided</v>
      </c>
      <c r="D156" s="89" t="str">
        <f>'source-upstream'!D156</f>
        <v>Maintenance and replacement of utilities, equipment, parts for the ongoing operation of vehicles and plant.</v>
      </c>
      <c r="E156" s="70" t="str">
        <f>if('source-upstream'!E156="",'schema-yn'!$A$5,vlookup('source-upstream'!E156,YN_MAP,3,FALSE))</f>
        <v>not-provided</v>
      </c>
      <c r="F156" s="70" t="str">
        <f>if('source-upstream'!F156="",'schema-yn'!$A$5,vlookup('source-upstream'!F156,YN_MAP,3,FALSE))</f>
        <v>not-provided</v>
      </c>
      <c r="G156" s="70" t="str">
        <f>if('source-upstream'!G156="",'schema-yn'!$A$5,vlookup('source-upstream'!G156,YN_MAP,3,FALSE))</f>
        <v>not-provided</v>
      </c>
      <c r="H156" s="70" t="str">
        <f>if('source-upstream'!H156="",'schema-yn'!$A$5,vlookup('source-upstream'!H156,RESILIENCE_OPTION_MAP,3,FALSE))</f>
        <v>not-provided</v>
      </c>
      <c r="I156" s="70" t="str">
        <f>if(iserror(vlookup('source-upstream'!I156,'data-cleansing-maps'!N$5:N$10,1,FALSE)),'source-upstream'!I156,"")</f>
        <v/>
      </c>
      <c r="J156" s="89" t="str">
        <f>'source-upstream'!J156</f>
        <v>Maintenance and replacement of utilities, equioment, parts for the ongoing operation of vehicoles and plant.</v>
      </c>
      <c r="K156" s="70" t="str">
        <f>if('source-upstream'!K156="",'schema-yn'!$A$5,vlookup('source-upstream'!K156,YN_MAP,3,FALSE))</f>
        <v>not-provided</v>
      </c>
      <c r="L156" s="90" t="str">
        <f>if('source-upstream'!L156="Not provided","",'source-upstream'!L156)</f>
        <v/>
      </c>
      <c r="M156" s="65" t="str">
        <f>if('source-upstream'!M156="",'schema-rv-services'!$B$26,vlookup(vlookup('source-upstream'!$M156,'analysis-rv-services'!$C:$E,3,FALSE),'schema-rv-services'!$A:$B,2, FALSE))</f>
        <v>repairs-and-maintenance</v>
      </c>
      <c r="N156" s="70"/>
    </row>
    <row r="157" ht="15.0" customHeight="1">
      <c r="A157" s="88" t="str">
        <f>Substitute(SUBSTITUTE(substitute(substitute(substitute(substitute(substitute(substitute(substitute(lower('source-upstream'!A157)," ","-"),"(",""),")",""),"&gt;",""),"&lt;",""),"---","-"),".","-"),"--","-"),"&amp;","-and-")</f>
        <v>silent-rosella</v>
      </c>
      <c r="B157" s="88" t="str">
        <f>Substitute(SUBSTITUTE(substitute(substitute(substitute(substitute(substitute(substitute(substitute(lower('source-upstream'!B157)," ","-"),"(",""),")",""),"&gt;",""),"&lt;",""),"---","-"),".","-"),"--","-"),"&amp;","-and-")</f>
        <v>red-frilled-neck-lizard</v>
      </c>
      <c r="C157" s="70" t="str">
        <f>if('source-upstream'!C157="",'schema-frequency'!$B$11,vlookup('source-upstream'!C157,FREQUENCY_MAP, 3, FALSE))</f>
        <v>not-provided</v>
      </c>
      <c r="D157" s="89" t="str">
        <f>'source-upstream'!D157</f>
        <v>Maintenance and replacement of utilities, equipment, parts for the ongoing operation of vehicles and plant.</v>
      </c>
      <c r="E157" s="70" t="str">
        <f>if('source-upstream'!E157="",'schema-yn'!$A$5,vlookup('source-upstream'!E157,YN_MAP,3,FALSE))</f>
        <v>not-provided</v>
      </c>
      <c r="F157" s="70" t="str">
        <f>if('source-upstream'!F157="",'schema-yn'!$A$5,vlookup('source-upstream'!F157,YN_MAP,3,FALSE))</f>
        <v>not-provided</v>
      </c>
      <c r="G157" s="70" t="str">
        <f>if('source-upstream'!G157="",'schema-yn'!$A$5,vlookup('source-upstream'!G157,YN_MAP,3,FALSE))</f>
        <v>not-provided</v>
      </c>
      <c r="H157" s="70" t="str">
        <f>if('source-upstream'!H157="",'schema-yn'!$A$5,vlookup('source-upstream'!H157,RESILIENCE_OPTION_MAP,3,FALSE))</f>
        <v>not-provided</v>
      </c>
      <c r="I157" s="70" t="str">
        <f>if(iserror(vlookup('source-upstream'!I157,'data-cleansing-maps'!N$5:N$10,1,FALSE)),'source-upstream'!I157,"")</f>
        <v/>
      </c>
      <c r="J157" s="89" t="str">
        <f>'source-upstream'!J157</f>
        <v>Maintenance and replacement of utilities, equioment, parts for the ongoing operation of vehicoles and plant.</v>
      </c>
      <c r="K157" s="70" t="str">
        <f>if('source-upstream'!K157="",'schema-yn'!$A$5,vlookup('source-upstream'!K157,YN_MAP,3,FALSE))</f>
        <v>not-provided</v>
      </c>
      <c r="L157" s="90" t="str">
        <f>if('source-upstream'!L157="Not provided","",'source-upstream'!L157)</f>
        <v/>
      </c>
      <c r="M157" s="65" t="str">
        <f>if('source-upstream'!M157="",'schema-rv-services'!$B$26,vlookup(vlookup('source-upstream'!$M157,'analysis-rv-services'!$C:$E,3,FALSE),'schema-rv-services'!$A:$B,2, FALSE))</f>
        <v>hse</v>
      </c>
      <c r="N157" s="70"/>
    </row>
    <row r="158" ht="15.0" customHeight="1">
      <c r="A158" s="88" t="str">
        <f>Substitute(SUBSTITUTE(substitute(substitute(substitute(substitute(substitute(substitute(substitute(lower('source-upstream'!A158)," ","-"),"(",""),")",""),"&gt;",""),"&lt;",""),"---","-"),".","-"),"--","-"),"&amp;","-and-")</f>
        <v>silent-rosella</v>
      </c>
      <c r="B158" s="88" t="str">
        <f>Substitute(SUBSTITUTE(substitute(substitute(substitute(substitute(substitute(substitute(substitute(lower('source-upstream'!B158)," ","-"),"(",""),")",""),"&gt;",""),"&lt;",""),"---","-"),".","-"),"--","-"),"&amp;","-and-")</f>
        <v>yellow-platypus</v>
      </c>
      <c r="C158" s="70" t="str">
        <f>if('source-upstream'!C158="",'schema-frequency'!$B$11,vlookup('source-upstream'!C158,FREQUENCY_MAP, 3, FALSE))</f>
        <v>not-provided</v>
      </c>
      <c r="D158" s="89" t="str">
        <f>'source-upstream'!D158</f>
        <v>Maintenance and replacement of utilities, equipment, parts for the ongoing operation of vehicles and plant.</v>
      </c>
      <c r="E158" s="70" t="str">
        <f>if('source-upstream'!E158="",'schema-yn'!$A$5,vlookup('source-upstream'!E158,YN_MAP,3,FALSE))</f>
        <v>not-provided</v>
      </c>
      <c r="F158" s="70" t="str">
        <f>if('source-upstream'!F158="",'schema-yn'!$A$5,vlookup('source-upstream'!F158,YN_MAP,3,FALSE))</f>
        <v>not-provided</v>
      </c>
      <c r="G158" s="70" t="str">
        <f>if('source-upstream'!G158="",'schema-yn'!$A$5,vlookup('source-upstream'!G158,YN_MAP,3,FALSE))</f>
        <v>not-provided</v>
      </c>
      <c r="H158" s="70" t="str">
        <f>if('source-upstream'!H158="",'schema-yn'!$A$5,vlookup('source-upstream'!H158,RESILIENCE_OPTION_MAP,3,FALSE))</f>
        <v>not-provided</v>
      </c>
      <c r="I158" s="70" t="str">
        <f>if(iserror(vlookup('source-upstream'!I158,'data-cleansing-maps'!N$5:N$10,1,FALSE)),'source-upstream'!I158,"")</f>
        <v/>
      </c>
      <c r="J158" s="89" t="str">
        <f>'source-upstream'!J158</f>
        <v>Maintenance and replacement of utilities, equioment, parts for the ongoing operation of vehicoles and plant.</v>
      </c>
      <c r="K158" s="70" t="str">
        <f>if('source-upstream'!K158="",'schema-yn'!$A$5,vlookup('source-upstream'!K158,YN_MAP,3,FALSE))</f>
        <v>not-provided</v>
      </c>
      <c r="L158" s="90" t="str">
        <f>if('source-upstream'!L158="Not provided","",'source-upstream'!L158)</f>
        <v/>
      </c>
      <c r="M158" s="65" t="str">
        <f>if('source-upstream'!M158="",'schema-rv-services'!$B$26,vlookup(vlookup('source-upstream'!$M158,'analysis-rv-services'!$C:$E,3,FALSE),'schema-rv-services'!$A:$B,2, FALSE))</f>
        <v>repairs-and-maintenance</v>
      </c>
      <c r="N158" s="70"/>
    </row>
    <row r="159" ht="15.0" customHeight="1">
      <c r="A159" s="88" t="str">
        <f>Substitute(SUBSTITUTE(substitute(substitute(substitute(substitute(substitute(substitute(substitute(lower('source-upstream'!A159)," ","-"),"(",""),")",""),"&gt;",""),"&lt;",""),"---","-"),".","-"),"--","-"),"&amp;","-and-")</f>
        <v>silent-rosella</v>
      </c>
      <c r="B159" s="88" t="str">
        <f>Substitute(SUBSTITUTE(substitute(substitute(substitute(substitute(substitute(substitute(substitute(lower('source-upstream'!B159)," ","-"),"(",""),")",""),"&gt;",""),"&lt;",""),"---","-"),".","-"),"--","-"),"&amp;","-and-")</f>
        <v>brave-kookaburra</v>
      </c>
      <c r="C159" s="70" t="str">
        <f>if('source-upstream'!C159="",'schema-frequency'!$B$11,vlookup('source-upstream'!C159,FREQUENCY_MAP, 3, FALSE))</f>
        <v>not-provided</v>
      </c>
      <c r="D159" s="89" t="str">
        <f>'source-upstream'!D159</f>
        <v>Maintenance and replacement of utilities, equipment, parts for the ongoing operation of vehicles and plant.</v>
      </c>
      <c r="E159" s="70" t="str">
        <f>if('source-upstream'!E159="",'schema-yn'!$A$5,vlookup('source-upstream'!E159,YN_MAP,3,FALSE))</f>
        <v>not-provided</v>
      </c>
      <c r="F159" s="70" t="str">
        <f>if('source-upstream'!F159="",'schema-yn'!$A$5,vlookup('source-upstream'!F159,YN_MAP,3,FALSE))</f>
        <v>not-provided</v>
      </c>
      <c r="G159" s="70" t="str">
        <f>if('source-upstream'!G159="",'schema-yn'!$A$5,vlookup('source-upstream'!G159,YN_MAP,3,FALSE))</f>
        <v>not-provided</v>
      </c>
      <c r="H159" s="70" t="str">
        <f>if('source-upstream'!H159="",'schema-yn'!$A$5,vlookup('source-upstream'!H159,RESILIENCE_OPTION_MAP,3,FALSE))</f>
        <v>not-provided</v>
      </c>
      <c r="I159" s="70" t="str">
        <f>if(iserror(vlookup('source-upstream'!I159,'data-cleansing-maps'!N$5:N$10,1,FALSE)),'source-upstream'!I159,"")</f>
        <v/>
      </c>
      <c r="J159" s="89" t="str">
        <f>'source-upstream'!J159</f>
        <v>Maintenance and replacement of utilities, equioment, parts for the ongoing operation of vehicoles and plant.</v>
      </c>
      <c r="K159" s="70" t="str">
        <f>if('source-upstream'!K159="",'schema-yn'!$A$5,vlookup('source-upstream'!K159,YN_MAP,3,FALSE))</f>
        <v>not-provided</v>
      </c>
      <c r="L159" s="90" t="str">
        <f>if('source-upstream'!L159="Not provided","",'source-upstream'!L159)</f>
        <v/>
      </c>
      <c r="M159" s="65" t="str">
        <f>if('source-upstream'!M159="",'schema-rv-services'!$B$26,vlookup(vlookup('source-upstream'!$M159,'analysis-rv-services'!$C:$E,3,FALSE),'schema-rv-services'!$A:$B,2, FALSE))</f>
        <v>repairs-and-maintenance</v>
      </c>
      <c r="N159" s="70"/>
    </row>
    <row r="160" ht="15.0" customHeight="1">
      <c r="A160" s="88" t="str">
        <f>Substitute(SUBSTITUTE(substitute(substitute(substitute(substitute(substitute(substitute(substitute(lower('source-upstream'!A160)," ","-"),"(",""),")",""),"&gt;",""),"&lt;",""),"---","-"),".","-"),"--","-"),"&amp;","-and-")</f>
        <v>silent-rosella</v>
      </c>
      <c r="B160" s="88" t="str">
        <f>Substitute(SUBSTITUTE(substitute(substitute(substitute(substitute(substitute(substitute(substitute(lower('source-upstream'!B160)," ","-"),"(",""),")",""),"&gt;",""),"&lt;",""),"---","-"),".","-"),"--","-"),"&amp;","-and-")</f>
        <v>green-tasmanian-devil</v>
      </c>
      <c r="C160" s="70" t="str">
        <f>if('source-upstream'!C160="",'schema-frequency'!$B$11,vlookup('source-upstream'!C160,FREQUENCY_MAP, 3, FALSE))</f>
        <v>not-provided</v>
      </c>
      <c r="D160" s="89" t="str">
        <f>'source-upstream'!D160</f>
        <v>Maintenance and replacement of utilities, equipment, parts for the ongoing operation of vehicles and plant.</v>
      </c>
      <c r="E160" s="70" t="str">
        <f>if('source-upstream'!E160="",'schema-yn'!$A$5,vlookup('source-upstream'!E160,YN_MAP,3,FALSE))</f>
        <v>not-provided</v>
      </c>
      <c r="F160" s="70" t="str">
        <f>if('source-upstream'!F160="",'schema-yn'!$A$5,vlookup('source-upstream'!F160,YN_MAP,3,FALSE))</f>
        <v>not-provided</v>
      </c>
      <c r="G160" s="70" t="str">
        <f>if('source-upstream'!G160="",'schema-yn'!$A$5,vlookup('source-upstream'!G160,YN_MAP,3,FALSE))</f>
        <v>not-provided</v>
      </c>
      <c r="H160" s="70" t="str">
        <f>if('source-upstream'!H160="",'schema-yn'!$A$5,vlookup('source-upstream'!H160,RESILIENCE_OPTION_MAP,3,FALSE))</f>
        <v>not-provided</v>
      </c>
      <c r="I160" s="70" t="str">
        <f>if(iserror(vlookup('source-upstream'!I160,'data-cleansing-maps'!N$5:N$10,1,FALSE)),'source-upstream'!I160,"")</f>
        <v/>
      </c>
      <c r="J160" s="89" t="str">
        <f>'source-upstream'!J160</f>
        <v>Maintenance and replacement of utilities, equioment, parts for the ongoing operation of vehicoles and plant.</v>
      </c>
      <c r="K160" s="70" t="str">
        <f>if('source-upstream'!K160="",'schema-yn'!$A$5,vlookup('source-upstream'!K160,YN_MAP,3,FALSE))</f>
        <v>not-provided</v>
      </c>
      <c r="L160" s="90" t="str">
        <f>if('source-upstream'!L160="Not provided","",'source-upstream'!L160)</f>
        <v/>
      </c>
      <c r="M160" s="65" t="str">
        <f>if('source-upstream'!M160="",'schema-rv-services'!$B$26,vlookup(vlookup('source-upstream'!$M160,'analysis-rv-services'!$C:$E,3,FALSE),'schema-rv-services'!$A:$B,2, FALSE))</f>
        <v>repairs-and-maintenance</v>
      </c>
      <c r="N160" s="70"/>
    </row>
    <row r="161" ht="15.0" customHeight="1">
      <c r="A161" s="88" t="str">
        <f>Substitute(SUBSTITUTE(substitute(substitute(substitute(substitute(substitute(substitute(substitute(lower('source-upstream'!A161)," ","-"),"(",""),")",""),"&gt;",""),"&lt;",""),"---","-"),".","-"),"--","-"),"&amp;","-and-")</f>
        <v>silent-rosella</v>
      </c>
      <c r="B161" s="88" t="str">
        <f>Substitute(SUBSTITUTE(substitute(substitute(substitute(substitute(substitute(substitute(substitute(lower('source-upstream'!B161)," ","-"),"(",""),")",""),"&gt;",""),"&lt;",""),"---","-"),".","-"),"--","-"),"&amp;","-and-")</f>
        <v>golden-fairy-penguin</v>
      </c>
      <c r="C161" s="70" t="str">
        <f>if('source-upstream'!C161="",'schema-frequency'!$B$11,vlookup('source-upstream'!C161,FREQUENCY_MAP, 3, FALSE))</f>
        <v>not-provided</v>
      </c>
      <c r="D161" s="89" t="str">
        <f>'source-upstream'!D161</f>
        <v>Maintenance and replacement of utilities, equipment, parts for the ongoing operation of vehicles and plant.</v>
      </c>
      <c r="E161" s="70" t="str">
        <f>if('source-upstream'!E161="",'schema-yn'!$A$5,vlookup('source-upstream'!E161,YN_MAP,3,FALSE))</f>
        <v>not-provided</v>
      </c>
      <c r="F161" s="70" t="str">
        <f>if('source-upstream'!F161="",'schema-yn'!$A$5,vlookup('source-upstream'!F161,YN_MAP,3,FALSE))</f>
        <v>not-provided</v>
      </c>
      <c r="G161" s="70" t="str">
        <f>if('source-upstream'!G161="",'schema-yn'!$A$5,vlookup('source-upstream'!G161,YN_MAP,3,FALSE))</f>
        <v>not-provided</v>
      </c>
      <c r="H161" s="70" t="str">
        <f>if('source-upstream'!H161="",'schema-yn'!$A$5,vlookup('source-upstream'!H161,RESILIENCE_OPTION_MAP,3,FALSE))</f>
        <v>not-provided</v>
      </c>
      <c r="I161" s="70" t="str">
        <f>if(iserror(vlookup('source-upstream'!I161,'data-cleansing-maps'!N$5:N$10,1,FALSE)),'source-upstream'!I161,"")</f>
        <v/>
      </c>
      <c r="J161" s="89" t="str">
        <f>'source-upstream'!J161</f>
        <v>Maintenance and replacement of utilities, equioment, parts for the ongoing operation of vehicoles and plant.</v>
      </c>
      <c r="K161" s="70" t="str">
        <f>if('source-upstream'!K161="",'schema-yn'!$A$5,vlookup('source-upstream'!K161,YN_MAP,3,FALSE))</f>
        <v>not-provided</v>
      </c>
      <c r="L161" s="90" t="str">
        <f>if('source-upstream'!L161="Not provided","",'source-upstream'!L161)</f>
        <v/>
      </c>
      <c r="M161" s="65" t="str">
        <f>if('source-upstream'!M161="",'schema-rv-services'!$B$26,vlookup(vlookup('source-upstream'!$M161,'analysis-rv-services'!$C:$E,3,FALSE),'schema-rv-services'!$A:$B,2, FALSE))</f>
        <v>repairs-and-maintenance</v>
      </c>
      <c r="N161" s="70"/>
    </row>
    <row r="162" ht="15.0" customHeight="1">
      <c r="A162" s="88" t="str">
        <f>Substitute(SUBSTITUTE(substitute(substitute(substitute(substitute(substitute(substitute(substitute(lower('source-upstream'!A162)," ","-"),"(",""),")",""),"&gt;",""),"&lt;",""),"---","-"),".","-"),"--","-"),"&amp;","-and-")</f>
        <v>silent-rosella</v>
      </c>
      <c r="B162" s="88" t="str">
        <f>Substitute(SUBSTITUTE(substitute(substitute(substitute(substitute(substitute(substitute(substitute(lower('source-upstream'!B162)," ","-"),"(",""),")",""),"&gt;",""),"&lt;",""),"---","-"),".","-"),"--","-"),"&amp;","-and-")</f>
        <v>clever-perentie</v>
      </c>
      <c r="C162" s="70" t="str">
        <f>if('source-upstream'!C162="",'schema-frequency'!$B$11,vlookup('source-upstream'!C162,FREQUENCY_MAP, 3, FALSE))</f>
        <v>not-provided</v>
      </c>
      <c r="D162" s="89" t="str">
        <f>'source-upstream'!D162</f>
        <v>Maintenance and replacement of utilities, equipment, parts for the ongoing operation of vehicles and plant.</v>
      </c>
      <c r="E162" s="70" t="str">
        <f>if('source-upstream'!E162="",'schema-yn'!$A$5,vlookup('source-upstream'!E162,YN_MAP,3,FALSE))</f>
        <v>not-provided</v>
      </c>
      <c r="F162" s="70" t="str">
        <f>if('source-upstream'!F162="",'schema-yn'!$A$5,vlookup('source-upstream'!F162,YN_MAP,3,FALSE))</f>
        <v>not-provided</v>
      </c>
      <c r="G162" s="70" t="str">
        <f>if('source-upstream'!G162="",'schema-yn'!$A$5,vlookup('source-upstream'!G162,YN_MAP,3,FALSE))</f>
        <v>not-provided</v>
      </c>
      <c r="H162" s="70" t="str">
        <f>if('source-upstream'!H162="",'schema-yn'!$A$5,vlookup('source-upstream'!H162,RESILIENCE_OPTION_MAP,3,FALSE))</f>
        <v>not-provided</v>
      </c>
      <c r="I162" s="70" t="str">
        <f>if(iserror(vlookup('source-upstream'!I162,'data-cleansing-maps'!N$5:N$10,1,FALSE)),'source-upstream'!I162,"")</f>
        <v/>
      </c>
      <c r="J162" s="89" t="str">
        <f>'source-upstream'!J162</f>
        <v>Maintenance and replacement of utilities, equioment, parts for the ongoing operation of vehicoles and plant.</v>
      </c>
      <c r="K162" s="70" t="str">
        <f>if('source-upstream'!K162="",'schema-yn'!$A$5,vlookup('source-upstream'!K162,YN_MAP,3,FALSE))</f>
        <v>not-provided</v>
      </c>
      <c r="L162" s="90" t="str">
        <f>if('source-upstream'!L162="Not provided","",'source-upstream'!L162)</f>
        <v/>
      </c>
      <c r="M162" s="65" t="str">
        <f>if('source-upstream'!M162="",'schema-rv-services'!$B$26,vlookup(vlookup('source-upstream'!$M162,'analysis-rv-services'!$C:$E,3,FALSE),'schema-rv-services'!$A:$B,2, FALSE))</f>
        <v>repairs-and-maintenance</v>
      </c>
      <c r="N162" s="70"/>
    </row>
    <row r="163" ht="15.0" customHeight="1">
      <c r="A163" s="88" t="str">
        <f>Substitute(SUBSTITUTE(substitute(substitute(substitute(substitute(substitute(substitute(substitute(lower('source-upstream'!A163)," ","-"),"(",""),")",""),"&gt;",""),"&lt;",""),"---","-"),".","-"),"--","-"),"&amp;","-and-")</f>
        <v>silent-rosella</v>
      </c>
      <c r="B163" s="88" t="str">
        <f>Substitute(SUBSTITUTE(substitute(substitute(substitute(substitute(substitute(substitute(substitute(lower('source-upstream'!B163)," ","-"),"(",""),")",""),"&gt;",""),"&lt;",""),"---","-"),".","-"),"--","-"),"&amp;","-and-")</f>
        <v>sleepy-bandicoot</v>
      </c>
      <c r="C163" s="70" t="str">
        <f>if('source-upstream'!C163="",'schema-frequency'!$B$11,vlookup('source-upstream'!C163,FREQUENCY_MAP, 3, FALSE))</f>
        <v>not-provided</v>
      </c>
      <c r="D163" s="89" t="str">
        <f>'source-upstream'!D163</f>
        <v>Maintenance and replacement of utilities, equipment, parts for the ongoing operation of vehicles and plant.</v>
      </c>
      <c r="E163" s="70" t="str">
        <f>if('source-upstream'!E163="",'schema-yn'!$A$5,vlookup('source-upstream'!E163,YN_MAP,3,FALSE))</f>
        <v>not-provided</v>
      </c>
      <c r="F163" s="70" t="str">
        <f>if('source-upstream'!F163="",'schema-yn'!$A$5,vlookup('source-upstream'!F163,YN_MAP,3,FALSE))</f>
        <v>not-provided</v>
      </c>
      <c r="G163" s="70" t="str">
        <f>if('source-upstream'!G163="",'schema-yn'!$A$5,vlookup('source-upstream'!G163,YN_MAP,3,FALSE))</f>
        <v>not-provided</v>
      </c>
      <c r="H163" s="70" t="str">
        <f>if('source-upstream'!H163="",'schema-yn'!$A$5,vlookup('source-upstream'!H163,RESILIENCE_OPTION_MAP,3,FALSE))</f>
        <v>not-provided</v>
      </c>
      <c r="I163" s="70" t="str">
        <f>if(iserror(vlookup('source-upstream'!I163,'data-cleansing-maps'!N$5:N$10,1,FALSE)),'source-upstream'!I163,"")</f>
        <v/>
      </c>
      <c r="J163" s="89" t="str">
        <f>'source-upstream'!J163</f>
        <v>Maintenance and replacement of utilities, equioment, parts for the ongoing operation of vehicoles and plant.</v>
      </c>
      <c r="K163" s="70" t="str">
        <f>if('source-upstream'!K163="",'schema-yn'!$A$5,vlookup('source-upstream'!K163,YN_MAP,3,FALSE))</f>
        <v>not-provided</v>
      </c>
      <c r="L163" s="90" t="str">
        <f>if('source-upstream'!L163="Not provided","",'source-upstream'!L163)</f>
        <v/>
      </c>
      <c r="M163" s="65" t="str">
        <f>if('source-upstream'!M163="",'schema-rv-services'!$B$26,vlookup(vlookup('source-upstream'!$M163,'analysis-rv-services'!$C:$E,3,FALSE),'schema-rv-services'!$A:$B,2, FALSE))</f>
        <v>repairs-and-maintenance</v>
      </c>
      <c r="N163" s="70"/>
    </row>
    <row r="164" ht="15.0" customHeight="1">
      <c r="A164" s="88" t="str">
        <f>Substitute(SUBSTITUTE(substitute(substitute(substitute(substitute(substitute(substitute(substitute(lower('source-upstream'!A164)," ","-"),"(",""),")",""),"&gt;",""),"&lt;",""),"---","-"),".","-"),"--","-"),"&amp;","-and-")</f>
        <v>silent-rosella</v>
      </c>
      <c r="B164" s="88" t="str">
        <f>Substitute(SUBSTITUTE(substitute(substitute(substitute(substitute(substitute(substitute(substitute(lower('source-upstream'!B164)," ","-"),"(",""),")",""),"&gt;",""),"&lt;",""),"---","-"),".","-"),"--","-"),"&amp;","-and-")</f>
        <v>blue-wallaby</v>
      </c>
      <c r="C164" s="70" t="str">
        <f>if('source-upstream'!C164="",'schema-frequency'!$B$11,vlookup('source-upstream'!C164,FREQUENCY_MAP, 3, FALSE))</f>
        <v>not-provided</v>
      </c>
      <c r="D164" s="89" t="str">
        <f>'source-upstream'!D164</f>
        <v>Maintenance and replacement of utilities, equipment, parts for the ongoing operation of vehicles and plant.</v>
      </c>
      <c r="E164" s="70" t="str">
        <f>if('source-upstream'!E164="",'schema-yn'!$A$5,vlookup('source-upstream'!E164,YN_MAP,3,FALSE))</f>
        <v>not-provided</v>
      </c>
      <c r="F164" s="70" t="str">
        <f>if('source-upstream'!F164="",'schema-yn'!$A$5,vlookup('source-upstream'!F164,YN_MAP,3,FALSE))</f>
        <v>not-provided</v>
      </c>
      <c r="G164" s="70" t="str">
        <f>if('source-upstream'!G164="",'schema-yn'!$A$5,vlookup('source-upstream'!G164,YN_MAP,3,FALSE))</f>
        <v>not-provided</v>
      </c>
      <c r="H164" s="70" t="str">
        <f>if('source-upstream'!H164="",'schema-yn'!$A$5,vlookup('source-upstream'!H164,RESILIENCE_OPTION_MAP,3,FALSE))</f>
        <v>not-provided</v>
      </c>
      <c r="I164" s="70" t="str">
        <f>if(iserror(vlookup('source-upstream'!I164,'data-cleansing-maps'!N$5:N$10,1,FALSE)),'source-upstream'!I164,"")</f>
        <v/>
      </c>
      <c r="J164" s="89" t="str">
        <f>'source-upstream'!J164</f>
        <v>Maintenance and replacement of utilities, equioment, parts for the ongoing operation of vehicoles and plant.</v>
      </c>
      <c r="K164" s="70" t="str">
        <f>if('source-upstream'!K164="",'schema-yn'!$A$5,vlookup('source-upstream'!K164,YN_MAP,3,FALSE))</f>
        <v>not-provided</v>
      </c>
      <c r="L164" s="90" t="str">
        <f>if('source-upstream'!L164="Not provided","",'source-upstream'!L164)</f>
        <v/>
      </c>
      <c r="M164" s="65" t="str">
        <f>if('source-upstream'!M164="",'schema-rv-services'!$B$26,vlookup(vlookup('source-upstream'!$M164,'analysis-rv-services'!$C:$E,3,FALSE),'schema-rv-services'!$A:$B,2, FALSE))</f>
        <v>repairs-and-maintenance</v>
      </c>
      <c r="N164" s="70"/>
    </row>
    <row r="165" ht="15.0" customHeight="1">
      <c r="A165" s="88" t="str">
        <f>Substitute(SUBSTITUTE(substitute(substitute(substitute(substitute(substitute(substitute(substitute(lower('source-upstream'!A165)," ","-"),"(",""),")",""),"&gt;",""),"&lt;",""),"---","-"),".","-"),"--","-"),"&amp;","-and-")</f>
        <v>silent-rosella</v>
      </c>
      <c r="B165" s="88" t="str">
        <f>Substitute(SUBSTITUTE(substitute(substitute(substitute(substitute(substitute(substitute(substitute(lower('source-upstream'!B165)," ","-"),"(",""),")",""),"&gt;",""),"&lt;",""),"---","-"),".","-"),"--","-"),"&amp;","-and-")</f>
        <v>blue-fairy-penguin</v>
      </c>
      <c r="C165" s="70" t="str">
        <f>if('source-upstream'!C165="",'schema-frequency'!$B$11,vlookup('source-upstream'!C165,FREQUENCY_MAP, 3, FALSE))</f>
        <v>not-provided</v>
      </c>
      <c r="D165" s="89" t="str">
        <f>'source-upstream'!D165</f>
        <v>Maintenance and replacement of utilities, equipment, parts for the ongoing operation of vehicles and plant.</v>
      </c>
      <c r="E165" s="70" t="str">
        <f>if('source-upstream'!E165="",'schema-yn'!$A$5,vlookup('source-upstream'!E165,YN_MAP,3,FALSE))</f>
        <v>not-provided</v>
      </c>
      <c r="F165" s="70" t="str">
        <f>if('source-upstream'!F165="",'schema-yn'!$A$5,vlookup('source-upstream'!F165,YN_MAP,3,FALSE))</f>
        <v>not-provided</v>
      </c>
      <c r="G165" s="70" t="str">
        <f>if('source-upstream'!G165="",'schema-yn'!$A$5,vlookup('source-upstream'!G165,YN_MAP,3,FALSE))</f>
        <v>not-provided</v>
      </c>
      <c r="H165" s="70" t="str">
        <f>if('source-upstream'!H165="",'schema-yn'!$A$5,vlookup('source-upstream'!H165,RESILIENCE_OPTION_MAP,3,FALSE))</f>
        <v>not-provided</v>
      </c>
      <c r="I165" s="70" t="str">
        <f>if(iserror(vlookup('source-upstream'!I165,'data-cleansing-maps'!N$5:N$10,1,FALSE)),'source-upstream'!I165,"")</f>
        <v/>
      </c>
      <c r="J165" s="89" t="str">
        <f>'source-upstream'!J165</f>
        <v>Maintenance and replacement of utilities, equioment, parts for the ongoing operation of vehicoles and plant.</v>
      </c>
      <c r="K165" s="70" t="str">
        <f>if('source-upstream'!K165="",'schema-yn'!$A$5,vlookup('source-upstream'!K165,YN_MAP,3,FALSE))</f>
        <v>not-provided</v>
      </c>
      <c r="L165" s="90" t="str">
        <f>if('source-upstream'!L165="Not provided","",'source-upstream'!L165)</f>
        <v/>
      </c>
      <c r="M165" s="65" t="str">
        <f>if('source-upstream'!M165="",'schema-rv-services'!$B$26,vlookup(vlookup('source-upstream'!$M165,'analysis-rv-services'!$C:$E,3,FALSE),'schema-rv-services'!$A:$B,2, FALSE))</f>
        <v>repairs-and-maintenance</v>
      </c>
      <c r="N165" s="70"/>
    </row>
    <row r="166" ht="15.0" customHeight="1">
      <c r="A166" s="88" t="str">
        <f>Substitute(SUBSTITUTE(substitute(substitute(substitute(substitute(substitute(substitute(substitute(lower('source-upstream'!A166)," ","-"),"(",""),")",""),"&gt;",""),"&lt;",""),"---","-"),".","-"),"--","-"),"&amp;","-and-")</f>
        <v>silent-rosella</v>
      </c>
      <c r="B166" s="88" t="str">
        <f>Substitute(SUBSTITUTE(substitute(substitute(substitute(substitute(substitute(substitute(substitute(lower('source-upstream'!B166)," ","-"),"(",""),")",""),"&gt;",""),"&lt;",""),"---","-"),".","-"),"--","-"),"&amp;","-and-")</f>
        <v>brave-perentie</v>
      </c>
      <c r="C166" s="70" t="str">
        <f>if('source-upstream'!C166="",'schema-frequency'!$B$11,vlookup('source-upstream'!C166,FREQUENCY_MAP, 3, FALSE))</f>
        <v>not-provided</v>
      </c>
      <c r="D166" s="89" t="str">
        <f>'source-upstream'!D166</f>
        <v>Maintenance and replacement of utilities, equipment, parts for the ongoing operation of vehicles and plant.</v>
      </c>
      <c r="E166" s="70" t="str">
        <f>if('source-upstream'!E166="",'schema-yn'!$A$5,vlookup('source-upstream'!E166,YN_MAP,3,FALSE))</f>
        <v>not-provided</v>
      </c>
      <c r="F166" s="70" t="str">
        <f>if('source-upstream'!F166="",'schema-yn'!$A$5,vlookup('source-upstream'!F166,YN_MAP,3,FALSE))</f>
        <v>not-provided</v>
      </c>
      <c r="G166" s="70" t="str">
        <f>if('source-upstream'!G166="",'schema-yn'!$A$5,vlookup('source-upstream'!G166,YN_MAP,3,FALSE))</f>
        <v>not-provided</v>
      </c>
      <c r="H166" s="70" t="str">
        <f>if('source-upstream'!H166="",'schema-yn'!$A$5,vlookup('source-upstream'!H166,RESILIENCE_OPTION_MAP,3,FALSE))</f>
        <v>not-provided</v>
      </c>
      <c r="I166" s="70" t="str">
        <f>if(iserror(vlookup('source-upstream'!I166,'data-cleansing-maps'!N$5:N$10,1,FALSE)),'source-upstream'!I166,"")</f>
        <v/>
      </c>
      <c r="J166" s="89" t="str">
        <f>'source-upstream'!J166</f>
        <v>Maintenance and replacement of utilities, equioment, parts for the ongoing operation of vehicoles and plant.</v>
      </c>
      <c r="K166" s="70" t="str">
        <f>if('source-upstream'!K166="",'schema-yn'!$A$5,vlookup('source-upstream'!K166,YN_MAP,3,FALSE))</f>
        <v>not-provided</v>
      </c>
      <c r="L166" s="90" t="str">
        <f>if('source-upstream'!L166="Not provided","",'source-upstream'!L166)</f>
        <v/>
      </c>
      <c r="M166" s="65" t="str">
        <f>if('source-upstream'!M166="",'schema-rv-services'!$B$26,vlookup(vlookup('source-upstream'!$M166,'analysis-rv-services'!$C:$E,3,FALSE),'schema-rv-services'!$A:$B,2, FALSE))</f>
        <v>repairs-and-maintenance</v>
      </c>
      <c r="N166" s="70"/>
    </row>
    <row r="167" ht="15.0" customHeight="1">
      <c r="A167" s="88" t="str">
        <f>Substitute(SUBSTITUTE(substitute(substitute(substitute(substitute(substitute(substitute(substitute(lower('source-upstream'!A167)," ","-"),"(",""),")",""),"&gt;",""),"&lt;",""),"---","-"),".","-"),"--","-"),"&amp;","-and-")</f>
        <v>silent-rosella</v>
      </c>
      <c r="B167" s="88" t="str">
        <f>Substitute(SUBSTITUTE(substitute(substitute(substitute(substitute(substitute(substitute(substitute(lower('source-upstream'!B167)," ","-"),"(",""),")",""),"&gt;",""),"&lt;",""),"---","-"),".","-"),"--","-"),"&amp;","-and-")</f>
        <v>lazy-goanna</v>
      </c>
      <c r="C167" s="70" t="str">
        <f>if('source-upstream'!C167="",'schema-frequency'!$B$11,vlookup('source-upstream'!C167,FREQUENCY_MAP, 3, FALSE))</f>
        <v>not-provided</v>
      </c>
      <c r="D167" s="89" t="str">
        <f>'source-upstream'!D167</f>
        <v>Maintenance and replacement of utilities, equipment, parts for the ongoing operation of vehicles and plant.</v>
      </c>
      <c r="E167" s="70" t="str">
        <f>if('source-upstream'!E167="",'schema-yn'!$A$5,vlookup('source-upstream'!E167,YN_MAP,3,FALSE))</f>
        <v>not-provided</v>
      </c>
      <c r="F167" s="70" t="str">
        <f>if('source-upstream'!F167="",'schema-yn'!$A$5,vlookup('source-upstream'!F167,YN_MAP,3,FALSE))</f>
        <v>not-provided</v>
      </c>
      <c r="G167" s="70" t="str">
        <f>if('source-upstream'!G167="",'schema-yn'!$A$5,vlookup('source-upstream'!G167,YN_MAP,3,FALSE))</f>
        <v>not-provided</v>
      </c>
      <c r="H167" s="70" t="str">
        <f>if('source-upstream'!H167="",'schema-yn'!$A$5,vlookup('source-upstream'!H167,RESILIENCE_OPTION_MAP,3,FALSE))</f>
        <v>not-provided</v>
      </c>
      <c r="I167" s="70" t="str">
        <f>if(iserror(vlookup('source-upstream'!I167,'data-cleansing-maps'!N$5:N$10,1,FALSE)),'source-upstream'!I167,"")</f>
        <v/>
      </c>
      <c r="J167" s="89" t="str">
        <f>'source-upstream'!J167</f>
        <v>Maintenance and replacement of utilities, equioment, parts for the ongoing operation of vehicoles and plant.</v>
      </c>
      <c r="K167" s="70" t="str">
        <f>if('source-upstream'!K167="",'schema-yn'!$A$5,vlookup('source-upstream'!K167,YN_MAP,3,FALSE))</f>
        <v>not-provided</v>
      </c>
      <c r="L167" s="90" t="str">
        <f>if('source-upstream'!L167="Not provided","",'source-upstream'!L167)</f>
        <v/>
      </c>
      <c r="M167" s="65" t="str">
        <f>if('source-upstream'!M167="",'schema-rv-services'!$B$26,vlookup(vlookup('source-upstream'!$M167,'analysis-rv-services'!$C:$E,3,FALSE),'schema-rv-services'!$A:$B,2, FALSE))</f>
        <v>repairs-and-maintenance</v>
      </c>
      <c r="N167" s="70"/>
    </row>
    <row r="168" ht="15.0" customHeight="1">
      <c r="A168" s="88" t="str">
        <f>Substitute(SUBSTITUTE(substitute(substitute(substitute(substitute(substitute(substitute(substitute(lower('source-upstream'!A168)," ","-"),"(",""),")",""),"&gt;",""),"&lt;",""),"---","-"),".","-"),"--","-"),"&amp;","-and-")</f>
        <v>silent-rosella</v>
      </c>
      <c r="B168" s="88" t="str">
        <f>Substitute(SUBSTITUTE(substitute(substitute(substitute(substitute(substitute(substitute(substitute(lower('source-upstream'!B168)," ","-"),"(",""),")",""),"&gt;",""),"&lt;",""),"---","-"),".","-"),"--","-"),"&amp;","-and-")</f>
        <v>sleepy-cassowary</v>
      </c>
      <c r="C168" s="70" t="str">
        <f>if('source-upstream'!C168="",'schema-frequency'!$B$11,vlookup('source-upstream'!C168,FREQUENCY_MAP, 3, FALSE))</f>
        <v>not-provided</v>
      </c>
      <c r="D168" s="89" t="str">
        <f>'source-upstream'!D168</f>
        <v>Electricity</v>
      </c>
      <c r="E168" s="70" t="str">
        <f>if('source-upstream'!E168="",'schema-yn'!$A$5,vlookup('source-upstream'!E168,YN_MAP,3,FALSE))</f>
        <v>not-provided</v>
      </c>
      <c r="F168" s="70" t="str">
        <f>if('source-upstream'!F168="",'schema-yn'!$A$5,vlookup('source-upstream'!F168,YN_MAP,3,FALSE))</f>
        <v>not-provided</v>
      </c>
      <c r="G168" s="70" t="str">
        <f>if('source-upstream'!G168="",'schema-yn'!$A$5,vlookup('source-upstream'!G168,YN_MAP,3,FALSE))</f>
        <v>not-provided</v>
      </c>
      <c r="H168" s="70" t="str">
        <f>if('source-upstream'!H168="",'schema-yn'!$A$5,vlookup('source-upstream'!H168,RESILIENCE_OPTION_MAP,3,FALSE))</f>
        <v>not-provided</v>
      </c>
      <c r="I168" s="70" t="str">
        <f>if(iserror(vlookup('source-upstream'!I168,'data-cleansing-maps'!N$5:N$10,1,FALSE)),'source-upstream'!I168,"")</f>
        <v/>
      </c>
      <c r="J168" s="89" t="str">
        <f>'source-upstream'!J168</f>
        <v>No comments provided</v>
      </c>
      <c r="K168" s="70" t="str">
        <f>if('source-upstream'!K168="",'schema-yn'!$A$5,vlookup('source-upstream'!K168,YN_MAP,3,FALSE))</f>
        <v>not-provided</v>
      </c>
      <c r="L168" s="90" t="str">
        <f>if('source-upstream'!L168="Not provided","",'source-upstream'!L168)</f>
        <v/>
      </c>
      <c r="M168" s="65" t="str">
        <f>if('source-upstream'!M168="",'schema-rv-services'!$B$26,vlookup(vlookup('source-upstream'!$M168,'analysis-rv-services'!$C:$E,3,FALSE),'schema-rv-services'!$A:$B,2, FALSE))</f>
        <v>power</v>
      </c>
      <c r="N168" s="70"/>
    </row>
    <row r="169" ht="15.0" customHeight="1">
      <c r="A169" s="88" t="str">
        <f>Substitute(SUBSTITUTE(substitute(substitute(substitute(substitute(substitute(substitute(substitute(lower('source-upstream'!A169)," ","-"),"(",""),")",""),"&gt;",""),"&lt;",""),"---","-"),".","-"),"--","-"),"&amp;","-and-")</f>
        <v>silent-rosella</v>
      </c>
      <c r="B169" s="88" t="str">
        <f>Substitute(SUBSTITUTE(substitute(substitute(substitute(substitute(substitute(substitute(substitute(lower('source-upstream'!B169)," ","-"),"(",""),")",""),"&gt;",""),"&lt;",""),"---","-"),".","-"),"--","-"),"&amp;","-and-")</f>
        <v>fuzzy-platypus</v>
      </c>
      <c r="C169" s="70" t="str">
        <f>if('source-upstream'!C169="",'schema-frequency'!$B$11,vlookup('source-upstream'!C169,FREQUENCY_MAP, 3, FALSE))</f>
        <v>not-provided</v>
      </c>
      <c r="D169" s="89" t="str">
        <f>'source-upstream'!D169</f>
        <v>Water supply</v>
      </c>
      <c r="E169" s="70" t="str">
        <f>if('source-upstream'!E169="",'schema-yn'!$A$5,vlookup('source-upstream'!E169,YN_MAP,3,FALSE))</f>
        <v>not-provided</v>
      </c>
      <c r="F169" s="70" t="str">
        <f>if('source-upstream'!F169="",'schema-yn'!$A$5,vlookup('source-upstream'!F169,YN_MAP,3,FALSE))</f>
        <v>not-provided</v>
      </c>
      <c r="G169" s="70" t="str">
        <f>if('source-upstream'!G169="",'schema-yn'!$A$5,vlookup('source-upstream'!G169,YN_MAP,3,FALSE))</f>
        <v>not-provided</v>
      </c>
      <c r="H169" s="70" t="str">
        <f>if('source-upstream'!H169="",'schema-yn'!$A$5,vlookup('source-upstream'!H169,RESILIENCE_OPTION_MAP,3,FALSE))</f>
        <v>not-provided</v>
      </c>
      <c r="I169" s="70" t="str">
        <f>if(iserror(vlookup('source-upstream'!I169,'data-cleansing-maps'!N$5:N$10,1,FALSE)),'source-upstream'!I169,"")</f>
        <v/>
      </c>
      <c r="J169" s="89" t="str">
        <f>'source-upstream'!J169</f>
        <v>No comments provided</v>
      </c>
      <c r="K169" s="70" t="str">
        <f>if('source-upstream'!K169="",'schema-yn'!$A$5,vlookup('source-upstream'!K169,YN_MAP,3,FALSE))</f>
        <v>not-provided</v>
      </c>
      <c r="L169" s="90" t="str">
        <f>if('source-upstream'!L169="Not provided","",'source-upstream'!L169)</f>
        <v/>
      </c>
      <c r="M169" s="65" t="str">
        <f>if('source-upstream'!M169="",'schema-rv-services'!$B$26,vlookup(vlookup('source-upstream'!$M169,'analysis-rv-services'!$C:$E,3,FALSE),'schema-rv-services'!$A:$B,2, FALSE))</f>
        <v>water</v>
      </c>
      <c r="N169" s="70"/>
    </row>
    <row r="170" ht="15.0" customHeight="1">
      <c r="A170" s="88" t="str">
        <f>Substitute(SUBSTITUTE(substitute(substitute(substitute(substitute(substitute(substitute(substitute(lower('source-upstream'!A170)," ","-"),"(",""),")",""),"&gt;",""),"&lt;",""),"---","-"),".","-"),"--","-"),"&amp;","-and-")</f>
        <v>silent-rosella</v>
      </c>
      <c r="B170" s="88" t="str">
        <f>Substitute(SUBSTITUTE(substitute(substitute(substitute(substitute(substitute(substitute(substitute(lower('source-upstream'!B170)," ","-"),"(",""),")",""),"&gt;",""),"&lt;",""),"---","-"),".","-"),"--","-"),"&amp;","-and-")</f>
        <v>wild-dingo</v>
      </c>
      <c r="C170" s="70" t="str">
        <f>if('source-upstream'!C170="",'schema-frequency'!$B$11,vlookup('source-upstream'!C170,FREQUENCY_MAP, 3, FALSE))</f>
        <v>not-provided</v>
      </c>
      <c r="D170" s="89" t="str">
        <f>'source-upstream'!D170</f>
        <v>Electricity</v>
      </c>
      <c r="E170" s="70" t="str">
        <f>if('source-upstream'!E170="",'schema-yn'!$A$5,vlookup('source-upstream'!E170,YN_MAP,3,FALSE))</f>
        <v>not-provided</v>
      </c>
      <c r="F170" s="70" t="str">
        <f>if('source-upstream'!F170="",'schema-yn'!$A$5,vlookup('source-upstream'!F170,YN_MAP,3,FALSE))</f>
        <v>not-provided</v>
      </c>
      <c r="G170" s="70" t="str">
        <f>if('source-upstream'!G170="",'schema-yn'!$A$5,vlookup('source-upstream'!G170,YN_MAP,3,FALSE))</f>
        <v>not-provided</v>
      </c>
      <c r="H170" s="70" t="str">
        <f>if('source-upstream'!H170="",'schema-yn'!$A$5,vlookup('source-upstream'!H170,RESILIENCE_OPTION_MAP,3,FALSE))</f>
        <v>not-provided</v>
      </c>
      <c r="I170" s="70" t="str">
        <f>if(iserror(vlookup('source-upstream'!I170,'data-cleansing-maps'!N$5:N$10,1,FALSE)),'source-upstream'!I170,"")</f>
        <v/>
      </c>
      <c r="J170" s="89" t="str">
        <f>'source-upstream'!J170</f>
        <v>No comments provided</v>
      </c>
      <c r="K170" s="70" t="str">
        <f>if('source-upstream'!K170="",'schema-yn'!$A$5,vlookup('source-upstream'!K170,YN_MAP,3,FALSE))</f>
        <v>not-provided</v>
      </c>
      <c r="L170" s="90" t="str">
        <f>if('source-upstream'!L170="Not provided","",'source-upstream'!L170)</f>
        <v/>
      </c>
      <c r="M170" s="65" t="str">
        <f>if('source-upstream'!M170="",'schema-rv-services'!$B$26,vlookup(vlookup('source-upstream'!$M170,'analysis-rv-services'!$C:$E,3,FALSE),'schema-rv-services'!$A:$B,2, FALSE))</f>
        <v>power</v>
      </c>
      <c r="N170" s="70"/>
    </row>
    <row r="171" ht="15.0" customHeight="1">
      <c r="A171" s="88" t="str">
        <f>Substitute(SUBSTITUTE(substitute(substitute(substitute(substitute(substitute(substitute(substitute(lower('source-upstream'!A171)," ","-"),"(",""),")",""),"&gt;",""),"&lt;",""),"---","-"),".","-"),"--","-"),"&amp;","-and-")</f>
        <v>silent-rosella</v>
      </c>
      <c r="B171" s="88" t="str">
        <f>Substitute(SUBSTITUTE(substitute(substitute(substitute(substitute(substitute(substitute(substitute(lower('source-upstream'!B171)," ","-"),"(",""),")",""),"&gt;",""),"&lt;",""),"---","-"),".","-"),"--","-"),"&amp;","-and-")</f>
        <v>swift-bush-stone-curlew</v>
      </c>
      <c r="C171" s="70" t="str">
        <f>if('source-upstream'!C171="",'schema-frequency'!$B$11,vlookup('source-upstream'!C171,FREQUENCY_MAP, 3, FALSE))</f>
        <v>not-provided</v>
      </c>
      <c r="D171" s="89" t="str">
        <f>'source-upstream'!D171</f>
        <v>Water supply</v>
      </c>
      <c r="E171" s="70" t="str">
        <f>if('source-upstream'!E171="",'schema-yn'!$A$5,vlookup('source-upstream'!E171,YN_MAP,3,FALSE))</f>
        <v>not-provided</v>
      </c>
      <c r="F171" s="70" t="str">
        <f>if('source-upstream'!F171="",'schema-yn'!$A$5,vlookup('source-upstream'!F171,YN_MAP,3,FALSE))</f>
        <v>not-provided</v>
      </c>
      <c r="G171" s="70" t="str">
        <f>if('source-upstream'!G171="",'schema-yn'!$A$5,vlookup('source-upstream'!G171,YN_MAP,3,FALSE))</f>
        <v>not-provided</v>
      </c>
      <c r="H171" s="70" t="str">
        <f>if('source-upstream'!H171="",'schema-yn'!$A$5,vlookup('source-upstream'!H171,RESILIENCE_OPTION_MAP,3,FALSE))</f>
        <v>not-provided</v>
      </c>
      <c r="I171" s="70" t="str">
        <f>if(iserror(vlookup('source-upstream'!I171,'data-cleansing-maps'!N$5:N$10,1,FALSE)),'source-upstream'!I171,"")</f>
        <v/>
      </c>
      <c r="J171" s="89" t="str">
        <f>'source-upstream'!J171</f>
        <v>No comments provided</v>
      </c>
      <c r="K171" s="70" t="str">
        <f>if('source-upstream'!K171="",'schema-yn'!$A$5,vlookup('source-upstream'!K171,YN_MAP,3,FALSE))</f>
        <v>not-provided</v>
      </c>
      <c r="L171" s="90" t="str">
        <f>if('source-upstream'!L171="Not provided","",'source-upstream'!L171)</f>
        <v/>
      </c>
      <c r="M171" s="65" t="str">
        <f>if('source-upstream'!M171="",'schema-rv-services'!$B$26,vlookup(vlookup('source-upstream'!$M171,'analysis-rv-services'!$C:$E,3,FALSE),'schema-rv-services'!$A:$B,2, FALSE))</f>
        <v>water</v>
      </c>
      <c r="N171" s="70"/>
    </row>
    <row r="172" ht="15.0" customHeight="1">
      <c r="A172" s="88" t="str">
        <f>Substitute(SUBSTITUTE(substitute(substitute(substitute(substitute(substitute(substitute(substitute(lower('source-upstream'!A172)," ","-"),"(",""),")",""),"&gt;",""),"&lt;",""),"---","-"),".","-"),"--","-"),"&amp;","-and-")</f>
        <v>silent-rosella</v>
      </c>
      <c r="B172" s="88" t="str">
        <f>Substitute(SUBSTITUTE(substitute(substitute(substitute(substitute(substitute(substitute(substitute(lower('source-upstream'!B172)," ","-"),"(",""),")",""),"&gt;",""),"&lt;",""),"---","-"),".","-"),"--","-"),"&amp;","-and-")</f>
        <v>sleepy-platypus</v>
      </c>
      <c r="C172" s="70" t="str">
        <f>if('source-upstream'!C172="",'schema-frequency'!$B$11,vlookup('source-upstream'!C172,FREQUENCY_MAP, 3, FALSE))</f>
        <v>not-provided</v>
      </c>
      <c r="D172" s="89" t="str">
        <f>'source-upstream'!D172</f>
        <v>Electricity</v>
      </c>
      <c r="E172" s="70" t="str">
        <f>if('source-upstream'!E172="",'schema-yn'!$A$5,vlookup('source-upstream'!E172,YN_MAP,3,FALSE))</f>
        <v>not-provided</v>
      </c>
      <c r="F172" s="70" t="str">
        <f>if('source-upstream'!F172="",'schema-yn'!$A$5,vlookup('source-upstream'!F172,YN_MAP,3,FALSE))</f>
        <v>not-provided</v>
      </c>
      <c r="G172" s="70" t="str">
        <f>if('source-upstream'!G172="",'schema-yn'!$A$5,vlookup('source-upstream'!G172,YN_MAP,3,FALSE))</f>
        <v>not-provided</v>
      </c>
      <c r="H172" s="70" t="str">
        <f>if('source-upstream'!H172="",'schema-yn'!$A$5,vlookup('source-upstream'!H172,RESILIENCE_OPTION_MAP,3,FALSE))</f>
        <v>not-provided</v>
      </c>
      <c r="I172" s="70" t="str">
        <f>if(iserror(vlookup('source-upstream'!I172,'data-cleansing-maps'!N$5:N$10,1,FALSE)),'source-upstream'!I172,"")</f>
        <v/>
      </c>
      <c r="J172" s="89" t="str">
        <f>'source-upstream'!J172</f>
        <v>No comments provided</v>
      </c>
      <c r="K172" s="70" t="str">
        <f>if('source-upstream'!K172="",'schema-yn'!$A$5,vlookup('source-upstream'!K172,YN_MAP,3,FALSE))</f>
        <v>not-provided</v>
      </c>
      <c r="L172" s="90" t="str">
        <f>if('source-upstream'!L172="Not provided","",'source-upstream'!L172)</f>
        <v/>
      </c>
      <c r="M172" s="65" t="str">
        <f>if('source-upstream'!M172="",'schema-rv-services'!$B$26,vlookup(vlookup('source-upstream'!$M172,'analysis-rv-services'!$C:$E,3,FALSE),'schema-rv-services'!$A:$B,2, FALSE))</f>
        <v>power</v>
      </c>
      <c r="N172" s="70"/>
    </row>
    <row r="173" ht="15.0" customHeight="1">
      <c r="A173" s="88" t="str">
        <f>Substitute(SUBSTITUTE(substitute(substitute(substitute(substitute(substitute(substitute(substitute(lower('source-upstream'!A173)," ","-"),"(",""),")",""),"&gt;",""),"&lt;",""),"---","-"),".","-"),"--","-"),"&amp;","-and-")</f>
        <v>silent-rosella</v>
      </c>
      <c r="B173" s="88" t="str">
        <f>Substitute(SUBSTITUTE(substitute(substitute(substitute(substitute(substitute(substitute(substitute(lower('source-upstream'!B173)," ","-"),"(",""),")",""),"&gt;",""),"&lt;",""),"---","-"),".","-"),"--","-"),"&amp;","-and-")</f>
        <v>giant-blue-tongue-skink</v>
      </c>
      <c r="C173" s="70" t="str">
        <f>if('source-upstream'!C173="",'schema-frequency'!$B$11,vlookup('source-upstream'!C173,FREQUENCY_MAP, 3, FALSE))</f>
        <v>not-provided</v>
      </c>
      <c r="D173" s="89" t="str">
        <f>'source-upstream'!D173</f>
        <v>Water supply</v>
      </c>
      <c r="E173" s="70" t="str">
        <f>if('source-upstream'!E173="",'schema-yn'!$A$5,vlookup('source-upstream'!E173,YN_MAP,3,FALSE))</f>
        <v>not-provided</v>
      </c>
      <c r="F173" s="70" t="str">
        <f>if('source-upstream'!F173="",'schema-yn'!$A$5,vlookup('source-upstream'!F173,YN_MAP,3,FALSE))</f>
        <v>not-provided</v>
      </c>
      <c r="G173" s="70" t="str">
        <f>if('source-upstream'!G173="",'schema-yn'!$A$5,vlookup('source-upstream'!G173,YN_MAP,3,FALSE))</f>
        <v>not-provided</v>
      </c>
      <c r="H173" s="70" t="str">
        <f>if('source-upstream'!H173="",'schema-yn'!$A$5,vlookup('source-upstream'!H173,RESILIENCE_OPTION_MAP,3,FALSE))</f>
        <v>not-provided</v>
      </c>
      <c r="I173" s="70" t="str">
        <f>if(iserror(vlookup('source-upstream'!I173,'data-cleansing-maps'!N$5:N$10,1,FALSE)),'source-upstream'!I173,"")</f>
        <v/>
      </c>
      <c r="J173" s="89" t="str">
        <f>'source-upstream'!J173</f>
        <v>No comments provided</v>
      </c>
      <c r="K173" s="70" t="str">
        <f>if('source-upstream'!K173="",'schema-yn'!$A$5,vlookup('source-upstream'!K173,YN_MAP,3,FALSE))</f>
        <v>not-provided</v>
      </c>
      <c r="L173" s="90" t="str">
        <f>if('source-upstream'!L173="Not provided","",'source-upstream'!L173)</f>
        <v/>
      </c>
      <c r="M173" s="65" t="str">
        <f>if('source-upstream'!M173="",'schema-rv-services'!$B$26,vlookup(vlookup('source-upstream'!$M173,'analysis-rv-services'!$C:$E,3,FALSE),'schema-rv-services'!$A:$B,2, FALSE))</f>
        <v>waste-collection</v>
      </c>
      <c r="N173" s="70"/>
    </row>
    <row r="174" ht="15.0" customHeight="1">
      <c r="A174" s="88" t="str">
        <f>Substitute(SUBSTITUTE(substitute(substitute(substitute(substitute(substitute(substitute(substitute(lower('source-upstream'!A174)," ","-"),"(",""),")",""),"&gt;",""),"&lt;",""),"---","-"),".","-"),"--","-"),"&amp;","-and-")</f>
        <v>silent-rosella</v>
      </c>
      <c r="B174" s="88" t="str">
        <f>Substitute(SUBSTITUTE(substitute(substitute(substitute(substitute(substitute(substitute(substitute(lower('source-upstream'!B174)," ","-"),"(",""),")",""),"&gt;",""),"&lt;",""),"---","-"),".","-"),"--","-"),"&amp;","-and-")</f>
        <v>yellow-redback-spider</v>
      </c>
      <c r="C174" s="70" t="str">
        <f>if('source-upstream'!C174="",'schema-frequency'!$B$11,vlookup('source-upstream'!C174,FREQUENCY_MAP, 3, FALSE))</f>
        <v>not-provided</v>
      </c>
      <c r="D174" s="89" t="str">
        <f>'source-upstream'!D174</f>
        <v>Water supply</v>
      </c>
      <c r="E174" s="70" t="str">
        <f>if('source-upstream'!E174="",'schema-yn'!$A$5,vlookup('source-upstream'!E174,YN_MAP,3,FALSE))</f>
        <v>not-provided</v>
      </c>
      <c r="F174" s="70" t="str">
        <f>if('source-upstream'!F174="",'schema-yn'!$A$5,vlookup('source-upstream'!F174,YN_MAP,3,FALSE))</f>
        <v>not-provided</v>
      </c>
      <c r="G174" s="70" t="str">
        <f>if('source-upstream'!G174="",'schema-yn'!$A$5,vlookup('source-upstream'!G174,YN_MAP,3,FALSE))</f>
        <v>not-provided</v>
      </c>
      <c r="H174" s="70" t="str">
        <f>if('source-upstream'!H174="",'schema-yn'!$A$5,vlookup('source-upstream'!H174,RESILIENCE_OPTION_MAP,3,FALSE))</f>
        <v>not-provided</v>
      </c>
      <c r="I174" s="70" t="str">
        <f>if(iserror(vlookup('source-upstream'!I174,'data-cleansing-maps'!N$5:N$10,1,FALSE)),'source-upstream'!I174,"")</f>
        <v/>
      </c>
      <c r="J174" s="89" t="str">
        <f>'source-upstream'!J174</f>
        <v>No comments provided</v>
      </c>
      <c r="K174" s="70" t="str">
        <f>if('source-upstream'!K174="",'schema-yn'!$A$5,vlookup('source-upstream'!K174,YN_MAP,3,FALSE))</f>
        <v>not-provided</v>
      </c>
      <c r="L174" s="90" t="str">
        <f>if('source-upstream'!L174="Not provided","",'source-upstream'!L174)</f>
        <v/>
      </c>
      <c r="M174" s="65" t="str">
        <f>if('source-upstream'!M174="",'schema-rv-services'!$B$26,vlookup(vlookup('source-upstream'!$M174,'analysis-rv-services'!$C:$E,3,FALSE),'schema-rv-services'!$A:$B,2, FALSE))</f>
        <v>waste-collection</v>
      </c>
      <c r="N174" s="70"/>
    </row>
    <row r="175" ht="15.0" customHeight="1">
      <c r="A175" s="88" t="str">
        <f>Substitute(SUBSTITUTE(substitute(substitute(substitute(substitute(substitute(substitute(substitute(lower('source-upstream'!A175)," ","-"),"(",""),")",""),"&gt;",""),"&lt;",""),"---","-"),".","-"),"--","-"),"&amp;","-and-")</f>
        <v>spotted-cockatoo</v>
      </c>
      <c r="B175" s="88" t="str">
        <f>Substitute(SUBSTITUTE(substitute(substitute(substitute(substitute(substitute(substitute(substitute(lower('source-upstream'!B175)," ","-"),"(",""),")",""),"&gt;",""),"&lt;",""),"---","-"),".","-"),"--","-"),"&amp;","-and-")</f>
        <v>happy-perentie</v>
      </c>
      <c r="C175" s="70" t="str">
        <f>if('source-upstream'!C175="",'schema-frequency'!$B$11,vlookup('source-upstream'!C175,FREQUENCY_MAP, 3, FALSE))</f>
        <v>not-provided</v>
      </c>
      <c r="D175" s="89" t="str">
        <f>'source-upstream'!D175</f>
        <v>Transport</v>
      </c>
      <c r="E175" s="70" t="str">
        <f>if('source-upstream'!E175="",'schema-yn'!$A$5,vlookup('source-upstream'!E175,YN_MAP,3,FALSE))</f>
        <v>yes</v>
      </c>
      <c r="F175" s="70" t="str">
        <f>if('source-upstream'!F175="",'schema-yn'!$A$5,vlookup('source-upstream'!F175,YN_MAP,3,FALSE))</f>
        <v>no</v>
      </c>
      <c r="G175" s="70" t="str">
        <f>if('source-upstream'!G175="",'schema-yn'!$A$5,vlookup('source-upstream'!G175,YN_MAP,3,FALSE))</f>
        <v>yes</v>
      </c>
      <c r="H175" s="70" t="str">
        <f>if('source-upstream'!H175="",'schema-yn'!$A$5,vlookup('source-upstream'!H175,RESILIENCE_OPTION_MAP,3,FALSE))</f>
        <v>alternative-supplier</v>
      </c>
      <c r="I175" s="70" t="str">
        <f>if(iserror(vlookup('source-upstream'!I175,'data-cleansing-maps'!N$5:N$10,1,FALSE)),'source-upstream'!I175,"")</f>
        <v/>
      </c>
      <c r="J175" s="89" t="str">
        <f>'source-upstream'!J175</f>
        <v>No comments provided</v>
      </c>
      <c r="K175" s="70" t="str">
        <f>if('source-upstream'!K175="",'schema-yn'!$A$5,vlookup('source-upstream'!K175,YN_MAP,3,FALSE))</f>
        <v>not-provided</v>
      </c>
      <c r="L175" s="90" t="str">
        <f>if('source-upstream'!L175="Not provided","",'source-upstream'!L175)</f>
        <v/>
      </c>
      <c r="M175" s="65" t="str">
        <f>if('source-upstream'!M175="",'schema-rv-services'!$B$26,vlookup(vlookup('source-upstream'!$M175,'analysis-rv-services'!$C:$E,3,FALSE),'schema-rv-services'!$A:$B,2, FALSE))</f>
        <v>transport</v>
      </c>
      <c r="N175" s="70"/>
    </row>
    <row r="176" ht="15.0" customHeight="1">
      <c r="A176" s="88" t="str">
        <f>Substitute(SUBSTITUTE(substitute(substitute(substitute(substitute(substitute(substitute(substitute(lower('source-upstream'!A176)," ","-"),"(",""),")",""),"&gt;",""),"&lt;",""),"---","-"),".","-"),"--","-"),"&amp;","-and-")</f>
        <v>spotted-cockatoo</v>
      </c>
      <c r="B176" s="88" t="str">
        <f>Substitute(SUBSTITUTE(substitute(substitute(substitute(substitute(substitute(substitute(substitute(lower('source-upstream'!B176)," ","-"),"(",""),")",""),"&gt;",""),"&lt;",""),"---","-"),".","-"),"--","-"),"&amp;","-and-")</f>
        <v>swift-blue-tongue-skink</v>
      </c>
      <c r="C176" s="70" t="str">
        <f>if('source-upstream'!C176="",'schema-frequency'!$B$11,vlookup('source-upstream'!C176,FREQUENCY_MAP, 3, FALSE))</f>
        <v>not-provided</v>
      </c>
      <c r="D176" s="89" t="str">
        <f>'source-upstream'!D176</f>
        <v>Transport</v>
      </c>
      <c r="E176" s="70" t="str">
        <f>if('source-upstream'!E176="",'schema-yn'!$A$5,vlookup('source-upstream'!E176,YN_MAP,3,FALSE))</f>
        <v>yes</v>
      </c>
      <c r="F176" s="70" t="str">
        <f>if('source-upstream'!F176="",'schema-yn'!$A$5,vlookup('source-upstream'!F176,YN_MAP,3,FALSE))</f>
        <v>no</v>
      </c>
      <c r="G176" s="70" t="str">
        <f>if('source-upstream'!G176="",'schema-yn'!$A$5,vlookup('source-upstream'!G176,YN_MAP,3,FALSE))</f>
        <v>yes</v>
      </c>
      <c r="H176" s="70" t="str">
        <f>if('source-upstream'!H176="",'schema-yn'!$A$5,vlookup('source-upstream'!H176,RESILIENCE_OPTION_MAP,3,FALSE))</f>
        <v>alternative-supplier</v>
      </c>
      <c r="I176" s="70" t="str">
        <f>if(iserror(vlookup('source-upstream'!I176,'data-cleansing-maps'!N$5:N$10,1,FALSE)),'source-upstream'!I176,"")</f>
        <v/>
      </c>
      <c r="J176" s="89" t="str">
        <f>'source-upstream'!J176</f>
        <v>No comments provided</v>
      </c>
      <c r="K176" s="70" t="str">
        <f>if('source-upstream'!K176="",'schema-yn'!$A$5,vlookup('source-upstream'!K176,YN_MAP,3,FALSE))</f>
        <v>not-provided</v>
      </c>
      <c r="L176" s="90" t="str">
        <f>if('source-upstream'!L176="Not provided","",'source-upstream'!L176)</f>
        <v/>
      </c>
      <c r="M176" s="65" t="str">
        <f>if('source-upstream'!M176="",'schema-rv-services'!$B$26,vlookup(vlookup('source-upstream'!$M176,'analysis-rv-services'!$C:$E,3,FALSE),'schema-rv-services'!$A:$B,2, FALSE))</f>
        <v>transport</v>
      </c>
      <c r="N176" s="70"/>
    </row>
    <row r="177" ht="15.0" customHeight="1">
      <c r="A177" s="88" t="str">
        <f>Substitute(SUBSTITUTE(substitute(substitute(substitute(substitute(substitute(substitute(substitute(lower('source-upstream'!A177)," ","-"),"(",""),")",""),"&gt;",""),"&lt;",""),"---","-"),".","-"),"--","-"),"&amp;","-and-")</f>
        <v>spotted-cockatoo</v>
      </c>
      <c r="B177" s="88" t="str">
        <f>Substitute(SUBSTITUTE(substitute(substitute(substitute(substitute(substitute(substitute(substitute(lower('source-upstream'!B177)," ","-"),"(",""),")",""),"&gt;",""),"&lt;",""),"---","-"),".","-"),"--","-"),"&amp;","-and-")</f>
        <v>tiny-goanna</v>
      </c>
      <c r="C177" s="70" t="str">
        <f>if('source-upstream'!C177="",'schema-frequency'!$B$11,vlookup('source-upstream'!C177,FREQUENCY_MAP, 3, FALSE))</f>
        <v>not-provided</v>
      </c>
      <c r="D177" s="89" t="str">
        <f>'source-upstream'!D177</f>
        <v>Transport</v>
      </c>
      <c r="E177" s="70" t="str">
        <f>if('source-upstream'!E177="",'schema-yn'!$A$5,vlookup('source-upstream'!E177,YN_MAP,3,FALSE))</f>
        <v>yes</v>
      </c>
      <c r="F177" s="70" t="str">
        <f>if('source-upstream'!F177="",'schema-yn'!$A$5,vlookup('source-upstream'!F177,YN_MAP,3,FALSE))</f>
        <v>no</v>
      </c>
      <c r="G177" s="70" t="str">
        <f>if('source-upstream'!G177="",'schema-yn'!$A$5,vlookup('source-upstream'!G177,YN_MAP,3,FALSE))</f>
        <v>yes</v>
      </c>
      <c r="H177" s="70" t="str">
        <f>if('source-upstream'!H177="",'schema-yn'!$A$5,vlookup('source-upstream'!H177,RESILIENCE_OPTION_MAP,3,FALSE))</f>
        <v>alternative-supplier</v>
      </c>
      <c r="I177" s="70" t="str">
        <f>if(iserror(vlookup('source-upstream'!I177,'data-cleansing-maps'!N$5:N$10,1,FALSE)),'source-upstream'!I177,"")</f>
        <v/>
      </c>
      <c r="J177" s="89" t="str">
        <f>'source-upstream'!J177</f>
        <v>No comments provided</v>
      </c>
      <c r="K177" s="70" t="str">
        <f>if('source-upstream'!K177="",'schema-yn'!$A$5,vlookup('source-upstream'!K177,YN_MAP,3,FALSE))</f>
        <v>not-provided</v>
      </c>
      <c r="L177" s="90" t="str">
        <f>if('source-upstream'!L177="Not provided","",'source-upstream'!L177)</f>
        <v/>
      </c>
      <c r="M177" s="65" t="str">
        <f>if('source-upstream'!M177="",'schema-rv-services'!$B$26,vlookup(vlookup('source-upstream'!$M177,'analysis-rv-services'!$C:$E,3,FALSE),'schema-rv-services'!$A:$B,2, FALSE))</f>
        <v>transport</v>
      </c>
      <c r="N177" s="70"/>
    </row>
    <row r="178" ht="15.0" customHeight="1">
      <c r="A178" s="88" t="str">
        <f>Substitute(SUBSTITUTE(substitute(substitute(substitute(substitute(substitute(substitute(substitute(lower('source-upstream'!A178)," ","-"),"(",""),")",""),"&gt;",""),"&lt;",""),"---","-"),".","-"),"--","-"),"&amp;","-and-")</f>
        <v>spotted-cockatoo</v>
      </c>
      <c r="B178" s="88" t="str">
        <f>Substitute(SUBSTITUTE(substitute(substitute(substitute(substitute(substitute(substitute(substitute(lower('source-upstream'!B178)," ","-"),"(",""),")",""),"&gt;",""),"&lt;",""),"---","-"),".","-"),"--","-"),"&amp;","-and-")</f>
        <v>giant-bush-stone-curlew</v>
      </c>
      <c r="C178" s="70" t="str">
        <f>if('source-upstream'!C178="",'schema-frequency'!$B$11,vlookup('source-upstream'!C178,FREQUENCY_MAP, 3, FALSE))</f>
        <v>not-provided</v>
      </c>
      <c r="D178" s="89" t="str">
        <f>'source-upstream'!D178</f>
        <v>4PL</v>
      </c>
      <c r="E178" s="70" t="str">
        <f>if('source-upstream'!E178="",'schema-yn'!$A$5,vlookup('source-upstream'!E178,YN_MAP,3,FALSE))</f>
        <v>yes</v>
      </c>
      <c r="F178" s="70" t="str">
        <f>if('source-upstream'!F178="",'schema-yn'!$A$5,vlookup('source-upstream'!F178,YN_MAP,3,FALSE))</f>
        <v>no</v>
      </c>
      <c r="G178" s="70" t="str">
        <f>if('source-upstream'!G178="",'schema-yn'!$A$5,vlookup('source-upstream'!G178,YN_MAP,3,FALSE))</f>
        <v>yes</v>
      </c>
      <c r="H178" s="70" t="str">
        <f>if('source-upstream'!H178="",'schema-yn'!$A$5,vlookup('source-upstream'!H178,RESILIENCE_OPTION_MAP,3,FALSE))</f>
        <v>alternative-supplier</v>
      </c>
      <c r="I178" s="70" t="str">
        <f>if(iserror(vlookup('source-upstream'!I178,'data-cleansing-maps'!N$5:N$10,1,FALSE)),'source-upstream'!I178,"")</f>
        <v/>
      </c>
      <c r="J178" s="89" t="str">
        <f>'source-upstream'!J178</f>
        <v>No comments provided</v>
      </c>
      <c r="K178" s="70" t="str">
        <f>if('source-upstream'!K178="",'schema-yn'!$A$5,vlookup('source-upstream'!K178,YN_MAP,3,FALSE))</f>
        <v>not-provided</v>
      </c>
      <c r="L178" s="90" t="str">
        <f>if('source-upstream'!L178="Not provided","",'source-upstream'!L178)</f>
        <v/>
      </c>
      <c r="M178" s="65" t="str">
        <f>if('source-upstream'!M178="",'schema-rv-services'!$B$26,vlookup(vlookup('source-upstream'!$M178,'analysis-rv-services'!$C:$E,3,FALSE),'schema-rv-services'!$A:$B,2, FALSE))</f>
        <v>not-provided</v>
      </c>
      <c r="N178" s="70"/>
    </row>
    <row r="179" ht="15.0" customHeight="1">
      <c r="A179" s="88" t="str">
        <f>Substitute(SUBSTITUTE(substitute(substitute(substitute(substitute(substitute(substitute(substitute(lower('source-upstream'!A179)," ","-"),"(",""),")",""),"&gt;",""),"&lt;",""),"---","-"),".","-"),"--","-"),"&amp;","-and-")</f>
        <v>spotted-cockatoo</v>
      </c>
      <c r="B179" s="88" t="str">
        <f>Substitute(SUBSTITUTE(substitute(substitute(substitute(substitute(substitute(substitute(substitute(lower('source-upstream'!B179)," ","-"),"(",""),")",""),"&gt;",""),"&lt;",""),"---","-"),".","-"),"--","-"),"&amp;","-and-")</f>
        <v>noisy-kookaburra</v>
      </c>
      <c r="C179" s="70" t="str">
        <f>if('source-upstream'!C179="",'schema-frequency'!$B$11,vlookup('source-upstream'!C179,FREQUENCY_MAP, 3, FALSE))</f>
        <v>not-provided</v>
      </c>
      <c r="D179" s="89" t="str">
        <f>'source-upstream'!D179</f>
        <v>Cleaning</v>
      </c>
      <c r="E179" s="70" t="str">
        <f>if('source-upstream'!E179="",'schema-yn'!$A$5,vlookup('source-upstream'!E179,YN_MAP,3,FALSE))</f>
        <v>yes</v>
      </c>
      <c r="F179" s="70" t="str">
        <f>if('source-upstream'!F179="",'schema-yn'!$A$5,vlookup('source-upstream'!F179,YN_MAP,3,FALSE))</f>
        <v>no</v>
      </c>
      <c r="G179" s="70" t="str">
        <f>if('source-upstream'!G179="",'schema-yn'!$A$5,vlookup('source-upstream'!G179,YN_MAP,3,FALSE))</f>
        <v>yes</v>
      </c>
      <c r="H179" s="70" t="str">
        <f>if('source-upstream'!H179="",'schema-yn'!$A$5,vlookup('source-upstream'!H179,RESILIENCE_OPTION_MAP,3,FALSE))</f>
        <v>not-provided</v>
      </c>
      <c r="I179" s="70" t="str">
        <f>if(iserror(vlookup('source-upstream'!I179,'data-cleansing-maps'!N$5:N$10,1,FALSE)),'source-upstream'!I179,"")</f>
        <v/>
      </c>
      <c r="J179" s="89" t="str">
        <f>'source-upstream'!J179</f>
        <v>Possible short term down time. (48hr)</v>
      </c>
      <c r="K179" s="70" t="str">
        <f>if('source-upstream'!K179="",'schema-yn'!$A$5,vlookup('source-upstream'!K179,YN_MAP,3,FALSE))</f>
        <v>not-provided</v>
      </c>
      <c r="L179" s="90" t="str">
        <f>if('source-upstream'!L179="Not provided","",'source-upstream'!L179)</f>
        <v/>
      </c>
      <c r="M179" s="65" t="str">
        <f>if('source-upstream'!M179="",'schema-rv-services'!$B$26,vlookup(vlookup('source-upstream'!$M179,'analysis-rv-services'!$C:$E,3,FALSE),'schema-rv-services'!$A:$B,2, FALSE))</f>
        <v>cleaning</v>
      </c>
      <c r="N179" s="70"/>
    </row>
    <row r="180" ht="15.0" customHeight="1">
      <c r="A180" s="88" t="str">
        <f>Substitute(SUBSTITUTE(substitute(substitute(substitute(substitute(substitute(substitute(substitute(lower('source-upstream'!A180)," ","-"),"(",""),")",""),"&gt;",""),"&lt;",""),"---","-"),".","-"),"--","-"),"&amp;","-and-")</f>
        <v>spotted-cockatoo</v>
      </c>
      <c r="B180" s="88" t="str">
        <f>Substitute(SUBSTITUTE(substitute(substitute(substitute(substitute(substitute(substitute(substitute(lower('source-upstream'!B180)," ","-"),"(",""),")",""),"&gt;",""),"&lt;",""),"---","-"),".","-"),"--","-"),"&amp;","-and-")</f>
        <v>striped-bandicoot</v>
      </c>
      <c r="C180" s="70" t="str">
        <f>if('source-upstream'!C180="",'schema-frequency'!$B$11,vlookup('source-upstream'!C180,FREQUENCY_MAP, 3, FALSE))</f>
        <v>not-provided</v>
      </c>
      <c r="D180" s="89" t="str">
        <f>'source-upstream'!D180</f>
        <v>Technology maintenance</v>
      </c>
      <c r="E180" s="70" t="str">
        <f>if('source-upstream'!E180="",'schema-yn'!$A$5,vlookup('source-upstream'!E180,YN_MAP,3,FALSE))</f>
        <v>yes</v>
      </c>
      <c r="F180" s="70" t="str">
        <f>if('source-upstream'!F180="",'schema-yn'!$A$5,vlookup('source-upstream'!F180,YN_MAP,3,FALSE))</f>
        <v>not-provided</v>
      </c>
      <c r="G180" s="70" t="str">
        <f>if('source-upstream'!G180="",'schema-yn'!$A$5,vlookup('source-upstream'!G180,YN_MAP,3,FALSE))</f>
        <v>yes</v>
      </c>
      <c r="H180" s="70" t="str">
        <f>if('source-upstream'!H180="",'schema-yn'!$A$5,vlookup('source-upstream'!H180,RESILIENCE_OPTION_MAP,3,FALSE))</f>
        <v>manual-processes</v>
      </c>
      <c r="I180" s="70" t="str">
        <f>if(iserror(vlookup('source-upstream'!I180,'data-cleansing-maps'!N$5:N$10,1,FALSE)),'source-upstream'!I180,"")</f>
        <v/>
      </c>
      <c r="J180" s="89" t="str">
        <f>'source-upstream'!J180</f>
        <v>In-house management</v>
      </c>
      <c r="K180" s="70" t="str">
        <f>if('source-upstream'!K180="",'schema-yn'!$A$5,vlookup('source-upstream'!K180,YN_MAP,3,FALSE))</f>
        <v>not-provided</v>
      </c>
      <c r="L180" s="90" t="str">
        <f>if('source-upstream'!L180="Not provided","",'source-upstream'!L180)</f>
        <v/>
      </c>
      <c r="M180" s="65" t="str">
        <f>if('source-upstream'!M180="",'schema-rv-services'!$B$26,vlookup(vlookup('source-upstream'!$M180,'analysis-rv-services'!$C:$E,3,FALSE),'schema-rv-services'!$A:$B,2, FALSE))</f>
        <v>techonology</v>
      </c>
      <c r="N180" s="70"/>
    </row>
    <row r="181" ht="15.0" customHeight="1">
      <c r="A181" s="88" t="str">
        <f>Substitute(SUBSTITUTE(substitute(substitute(substitute(substitute(substitute(substitute(substitute(lower('source-upstream'!A181)," ","-"),"(",""),")",""),"&gt;",""),"&lt;",""),"---","-"),".","-"),"--","-"),"&amp;","-and-")</f>
        <v>spotted-cockatoo</v>
      </c>
      <c r="B181" s="88" t="str">
        <f>Substitute(SUBSTITUTE(substitute(substitute(substitute(substitute(substitute(substitute(substitute(lower('source-upstream'!B181)," ","-"),"(",""),")",""),"&gt;",""),"&lt;",""),"---","-"),".","-"),"--","-"),"&amp;","-and-")</f>
        <v>blue-thorny-devil</v>
      </c>
      <c r="C181" s="70" t="str">
        <f>if('source-upstream'!C181="",'schema-frequency'!$B$11,vlookup('source-upstream'!C181,FREQUENCY_MAP, 3, FALSE))</f>
        <v>not-provided</v>
      </c>
      <c r="D181" s="89" t="str">
        <f>'source-upstream'!D181</f>
        <v>Technology</v>
      </c>
      <c r="E181" s="70" t="str">
        <f>if('source-upstream'!E181="",'schema-yn'!$A$5,vlookup('source-upstream'!E181,YN_MAP,3,FALSE))</f>
        <v>yes</v>
      </c>
      <c r="F181" s="70" t="str">
        <f>if('source-upstream'!F181="",'schema-yn'!$A$5,vlookup('source-upstream'!F181,YN_MAP,3,FALSE))</f>
        <v>not-provided</v>
      </c>
      <c r="G181" s="70" t="str">
        <f>if('source-upstream'!G181="",'schema-yn'!$A$5,vlookup('source-upstream'!G181,YN_MAP,3,FALSE))</f>
        <v>yes</v>
      </c>
      <c r="H181" s="70" t="str">
        <f>if('source-upstream'!H181="",'schema-yn'!$A$5,vlookup('source-upstream'!H181,RESILIENCE_OPTION_MAP,3,FALSE))</f>
        <v>manual-processes</v>
      </c>
      <c r="I181" s="70" t="str">
        <f>if(iserror(vlookup('source-upstream'!I181,'data-cleansing-maps'!N$5:N$10,1,FALSE)),'source-upstream'!I181,"")</f>
        <v/>
      </c>
      <c r="J181" s="89" t="str">
        <f>'source-upstream'!J181</f>
        <v>In-house management possible short term downtime (24h) due to time differences (specialised support from Denmark); however, responsible entity can set up
 pop-up collections to receive and verify containers</v>
      </c>
      <c r="K181" s="70" t="str">
        <f>if('source-upstream'!K181="",'schema-yn'!$A$5,vlookup('source-upstream'!K181,YN_MAP,3,FALSE))</f>
        <v>yes</v>
      </c>
      <c r="L181" s="90" t="str">
        <f>if('source-upstream'!L181="Not provided","",'source-upstream'!L181)</f>
        <v/>
      </c>
      <c r="M181" s="65" t="str">
        <f>if('source-upstream'!M181="",'schema-rv-services'!$B$26,vlookup(vlookup('source-upstream'!$M181,'analysis-rv-services'!$C:$E,3,FALSE),'schema-rv-services'!$A:$B,2, FALSE))</f>
        <v>techonology</v>
      </c>
      <c r="N181" s="70"/>
    </row>
    <row r="182" ht="15.0" customHeight="1">
      <c r="A182" s="88" t="str">
        <f>Substitute(SUBSTITUTE(substitute(substitute(substitute(substitute(substitute(substitute(substitute(lower('source-upstream'!A182)," ","-"),"(",""),")",""),"&gt;",""),"&lt;",""),"---","-"),".","-"),"--","-"),"&amp;","-and-")</f>
        <v>spotted-cockatoo</v>
      </c>
      <c r="B182" s="88" t="str">
        <f>Substitute(SUBSTITUTE(substitute(substitute(substitute(substitute(substitute(substitute(substitute(lower('source-upstream'!B182)," ","-"),"(",""),")",""),"&gt;",""),"&lt;",""),"---","-"),".","-"),"--","-"),"&amp;","-and-")</f>
        <v>golden-lyrebird</v>
      </c>
      <c r="C182" s="70" t="str">
        <f>if('source-upstream'!C182="",'schema-frequency'!$B$11,vlookup('source-upstream'!C182,FREQUENCY_MAP, 3, FALSE))</f>
        <v>not-provided</v>
      </c>
      <c r="D182" s="89" t="str">
        <f>'source-upstream'!D182</f>
        <v>Cash Redemption terminals (CRT)</v>
      </c>
      <c r="E182" s="70" t="str">
        <f>if('source-upstream'!E182="",'schema-yn'!$A$5,vlookup('source-upstream'!E182,YN_MAP,3,FALSE))</f>
        <v>yes</v>
      </c>
      <c r="F182" s="70" t="str">
        <f>if('source-upstream'!F182="",'schema-yn'!$A$5,vlookup('source-upstream'!F182,YN_MAP,3,FALSE))</f>
        <v>not-provided</v>
      </c>
      <c r="G182" s="70" t="str">
        <f>if('source-upstream'!G182="",'schema-yn'!$A$5,vlookup('source-upstream'!G182,YN_MAP,3,FALSE))</f>
        <v>yes</v>
      </c>
      <c r="H182" s="70" t="str">
        <f>if('source-upstream'!H182="",'schema-yn'!$A$5,vlookup('source-upstream'!H182,RESILIENCE_OPTION_MAP,3,FALSE))</f>
        <v>manual-processes</v>
      </c>
      <c r="I182" s="70" t="str">
        <f>if(iserror(vlookup('source-upstream'!I182,'data-cleansing-maps'!N$5:N$10,1,FALSE)),'source-upstream'!I182,"")</f>
        <v/>
      </c>
      <c r="J182" s="89" t="str">
        <f>'source-upstream'!J182</f>
        <v>Alternative business processes (manual cash handling)</v>
      </c>
      <c r="K182" s="70" t="str">
        <f>if('source-upstream'!K182="",'schema-yn'!$A$5,vlookup('source-upstream'!K182,YN_MAP,3,FALSE))</f>
        <v>not-provided</v>
      </c>
      <c r="L182" s="90" t="str">
        <f>if('source-upstream'!L182="Not provided","",'source-upstream'!L182)</f>
        <v/>
      </c>
      <c r="M182" s="65" t="str">
        <f>if('source-upstream'!M182="",'schema-rv-services'!$B$26,vlookup(vlookup('source-upstream'!$M182,'analysis-rv-services'!$C:$E,3,FALSE),'schema-rv-services'!$A:$B,2, FALSE))</f>
        <v>techonology</v>
      </c>
      <c r="N182" s="70"/>
    </row>
    <row r="183" ht="15.0" customHeight="1">
      <c r="A183" s="88" t="str">
        <f>Substitute(SUBSTITUTE(substitute(substitute(substitute(substitute(substitute(substitute(substitute(lower('source-upstream'!A183)," ","-"),"(",""),")",""),"&gt;",""),"&lt;",""),"---","-"),".","-"),"--","-"),"&amp;","-and-")</f>
        <v>spotted-cockatoo</v>
      </c>
      <c r="B183" s="88" t="str">
        <f>Substitute(SUBSTITUTE(substitute(substitute(substitute(substitute(substitute(substitute(substitute(lower('source-upstream'!B183)," ","-"),"(",""),")",""),"&gt;",""),"&lt;",""),"---","-"),".","-"),"--","-"),"&amp;","-and-")</f>
        <v>spotted-bandicoot</v>
      </c>
      <c r="C183" s="70" t="str">
        <f>if('source-upstream'!C183="",'schema-frequency'!$B$11,vlookup('source-upstream'!C183,FREQUENCY_MAP, 3, FALSE))</f>
        <v>not-provided</v>
      </c>
      <c r="D183" s="89" t="str">
        <f>'source-upstream'!D183</f>
        <v>Recycling facilities (Hallam CSF &amp; Dandenong GBP)</v>
      </c>
      <c r="E183" s="70" t="str">
        <f>if('source-upstream'!E183="",'schema-yn'!$A$5,vlookup('source-upstream'!E183,YN_MAP,3,FALSE))</f>
        <v>yes</v>
      </c>
      <c r="F183" s="70" t="str">
        <f>if('source-upstream'!F183="",'schema-yn'!$A$5,vlookup('source-upstream'!F183,YN_MAP,3,FALSE))</f>
        <v>no</v>
      </c>
      <c r="G183" s="70" t="str">
        <f>if('source-upstream'!G183="",'schema-yn'!$A$5,vlookup('source-upstream'!G183,YN_MAP,3,FALSE))</f>
        <v>yes</v>
      </c>
      <c r="H183" s="70" t="str">
        <f>if('source-upstream'!H183="",'schema-yn'!$A$5,vlookup('source-upstream'!H183,RESILIENCE_OPTION_MAP,3,FALSE))</f>
        <v>alternative-supplier</v>
      </c>
      <c r="I183" s="70" t="str">
        <f>if(iserror(vlookup('source-upstream'!I183,'data-cleansing-maps'!N$5:N$10,1,FALSE)),'source-upstream'!I183,"")</f>
        <v/>
      </c>
      <c r="J183" s="89" t="str">
        <f>'source-upstream'!J183</f>
        <v>Alternative facilities within, and beyond, Re.Cycle Operations network.</v>
      </c>
      <c r="K183" s="70" t="str">
        <f>if('source-upstream'!K183="",'schema-yn'!$A$5,vlookup('source-upstream'!K183,YN_MAP,3,FALSE))</f>
        <v>not-provided</v>
      </c>
      <c r="L183" s="90" t="str">
        <f>if('source-upstream'!L183="Not provided","",'source-upstream'!L183)</f>
        <v/>
      </c>
      <c r="M183" s="65" t="str">
        <f>if('source-upstream'!M183="",'schema-rv-services'!$B$26,vlookup(vlookup('source-upstream'!$M183,'analysis-rv-services'!$C:$E,3,FALSE),'schema-rv-services'!$A:$B,2, FALSE))</f>
        <v>waste-collection</v>
      </c>
      <c r="N183" s="70"/>
    </row>
    <row r="184" ht="15.0" customHeight="1">
      <c r="A184" s="88" t="str">
        <f>Substitute(SUBSTITUTE(substitute(substitute(substitute(substitute(substitute(substitute(substitute(lower('source-upstream'!A184)," ","-"),"(",""),")",""),"&gt;",""),"&lt;",""),"---","-"),".","-"),"--","-"),"&amp;","-and-")</f>
        <v>spotted-cockatoo</v>
      </c>
      <c r="B184" s="88" t="str">
        <f>Substitute(SUBSTITUTE(substitute(substitute(substitute(substitute(substitute(substitute(substitute(lower('source-upstream'!B184)," ","-"),"(",""),")",""),"&gt;",""),"&lt;",""),"---","-"),".","-"),"--","-"),"&amp;","-and-")</f>
        <v>red-numbat</v>
      </c>
      <c r="C184" s="70" t="str">
        <f>if('source-upstream'!C184="",'schema-frequency'!$B$11,vlookup('source-upstream'!C184,FREQUENCY_MAP, 3, FALSE))</f>
        <v>not-provided</v>
      </c>
      <c r="D184" s="89" t="str">
        <f>'source-upstream'!D184</f>
        <v>Not provided</v>
      </c>
      <c r="E184" s="70" t="str">
        <f>if('source-upstream'!E184="",'schema-yn'!$A$5,vlookup('source-upstream'!E184,YN_MAP,3,FALSE))</f>
        <v>not-provided</v>
      </c>
      <c r="F184" s="70" t="str">
        <f>if('source-upstream'!F184="",'schema-yn'!$A$5,vlookup('source-upstream'!F184,YN_MAP,3,FALSE))</f>
        <v>not-provided</v>
      </c>
      <c r="G184" s="70" t="str">
        <f>if('source-upstream'!G184="",'schema-yn'!$A$5,vlookup('source-upstream'!G184,YN_MAP,3,FALSE))</f>
        <v>not-provided</v>
      </c>
      <c r="H184" s="70" t="str">
        <f>if('source-upstream'!H184="",'schema-yn'!$A$5,vlookup('source-upstream'!H184,RESILIENCE_OPTION_MAP,3,FALSE))</f>
        <v>not-provided</v>
      </c>
      <c r="I184" s="70" t="str">
        <f>if(iserror(vlookup('source-upstream'!I184,'data-cleansing-maps'!N$5:N$10,1,FALSE)),'source-upstream'!I184,"")</f>
        <v/>
      </c>
      <c r="J184" s="89" t="str">
        <f>'source-upstream'!J184</f>
        <v>Not provided</v>
      </c>
      <c r="K184" s="70" t="str">
        <f>if('source-upstream'!K184="",'schema-yn'!$A$5,vlookup('source-upstream'!K184,YN_MAP,3,FALSE))</f>
        <v>not-provided</v>
      </c>
      <c r="L184" s="90" t="str">
        <f>if('source-upstream'!L184="Not provided","",'source-upstream'!L184)</f>
        <v/>
      </c>
      <c r="M184" s="65" t="str">
        <f>if('source-upstream'!M184="",'schema-rv-services'!$B$26,vlookup(vlookup('source-upstream'!$M184,'analysis-rv-services'!$C:$E,3,FALSE),'schema-rv-services'!$A:$B,2, FALSE))</f>
        <v>feedstock</v>
      </c>
      <c r="N184" s="70"/>
    </row>
    <row r="185" ht="15.0" customHeight="1">
      <c r="A185" s="88" t="str">
        <f>Substitute(SUBSTITUTE(substitute(substitute(substitute(substitute(substitute(substitute(substitute(lower('source-upstream'!A185)," ","-"),"(",""),")",""),"&gt;",""),"&lt;",""),"---","-"),".","-"),"--","-"),"&amp;","-and-")</f>
        <v>spotted-cockatoo</v>
      </c>
      <c r="B185" s="88" t="str">
        <f>Substitute(SUBSTITUTE(substitute(substitute(substitute(substitute(substitute(substitute(substitute(lower('source-upstream'!B185)," ","-"),"(",""),")",""),"&gt;",""),"&lt;",""),"---","-"),".","-"),"--","-"),"&amp;","-and-")</f>
        <v>red-numbat</v>
      </c>
      <c r="C185" s="70" t="str">
        <f>if('source-upstream'!C185="",'schema-frequency'!$B$11,vlookup('source-upstream'!C185,FREQUENCY_MAP, 3, FALSE))</f>
        <v>not-provided</v>
      </c>
      <c r="D185" s="89" t="str">
        <f>'source-upstream'!D185</f>
        <v>Not provided</v>
      </c>
      <c r="E185" s="70" t="str">
        <f>if('source-upstream'!E185="",'schema-yn'!$A$5,vlookup('source-upstream'!E185,YN_MAP,3,FALSE))</f>
        <v>not-provided</v>
      </c>
      <c r="F185" s="70" t="str">
        <f>if('source-upstream'!F185="",'schema-yn'!$A$5,vlookup('source-upstream'!F185,YN_MAP,3,FALSE))</f>
        <v>not-provided</v>
      </c>
      <c r="G185" s="70" t="str">
        <f>if('source-upstream'!G185="",'schema-yn'!$A$5,vlookup('source-upstream'!G185,YN_MAP,3,FALSE))</f>
        <v>not-provided</v>
      </c>
      <c r="H185" s="70" t="str">
        <f>if('source-upstream'!H185="",'schema-yn'!$A$5,vlookup('source-upstream'!H185,RESILIENCE_OPTION_MAP,3,FALSE))</f>
        <v>not-provided</v>
      </c>
      <c r="I185" s="70" t="str">
        <f>if(iserror(vlookup('source-upstream'!I185,'data-cleansing-maps'!N$5:N$10,1,FALSE)),'source-upstream'!I185,"")</f>
        <v/>
      </c>
      <c r="J185" s="89" t="str">
        <f>'source-upstream'!J185</f>
        <v>Not provided</v>
      </c>
      <c r="K185" s="70" t="str">
        <f>if('source-upstream'!K185="",'schema-yn'!$A$5,vlookup('source-upstream'!K185,YN_MAP,3,FALSE))</f>
        <v>not-provided</v>
      </c>
      <c r="L185" s="90" t="str">
        <f>if('source-upstream'!L185="Not provided","",'source-upstream'!L185)</f>
        <v/>
      </c>
      <c r="M185" s="65" t="str">
        <f>if('source-upstream'!M185="",'schema-rv-services'!$B$26,vlookup(vlookup('source-upstream'!$M185,'analysis-rv-services'!$C:$E,3,FALSE),'schema-rv-services'!$A:$B,2, FALSE))</f>
        <v>feedstock</v>
      </c>
      <c r="N185" s="70"/>
    </row>
    <row r="186" ht="15.0" customHeight="1">
      <c r="A186" s="88" t="str">
        <f>Substitute(SUBSTITUTE(substitute(substitute(substitute(substitute(substitute(substitute(substitute(lower('source-upstream'!A186)," ","-"),"(",""),")",""),"&gt;",""),"&lt;",""),"---","-"),".","-"),"--","-"),"&amp;","-and-")</f>
        <v>spotted-cockatoo</v>
      </c>
      <c r="B186" s="88" t="str">
        <f>Substitute(SUBSTITUTE(substitute(substitute(substitute(substitute(substitute(substitute(substitute(lower('source-upstream'!B186)," ","-"),"(",""),")",""),"&gt;",""),"&lt;",""),"---","-"),".","-"),"--","-"),"&amp;","-and-")</f>
        <v>red-numbat</v>
      </c>
      <c r="C186" s="70" t="str">
        <f>if('source-upstream'!C186="",'schema-frequency'!$B$11,vlookup('source-upstream'!C186,FREQUENCY_MAP, 3, FALSE))</f>
        <v>not-provided</v>
      </c>
      <c r="D186" s="89" t="str">
        <f>'source-upstream'!D186</f>
        <v>Not provided</v>
      </c>
      <c r="E186" s="70" t="str">
        <f>if('source-upstream'!E186="",'schema-yn'!$A$5,vlookup('source-upstream'!E186,YN_MAP,3,FALSE))</f>
        <v>not-provided</v>
      </c>
      <c r="F186" s="70" t="str">
        <f>if('source-upstream'!F186="",'schema-yn'!$A$5,vlookup('source-upstream'!F186,YN_MAP,3,FALSE))</f>
        <v>not-provided</v>
      </c>
      <c r="G186" s="70" t="str">
        <f>if('source-upstream'!G186="",'schema-yn'!$A$5,vlookup('source-upstream'!G186,YN_MAP,3,FALSE))</f>
        <v>not-provided</v>
      </c>
      <c r="H186" s="70" t="str">
        <f>if('source-upstream'!H186="",'schema-yn'!$A$5,vlookup('source-upstream'!H186,RESILIENCE_OPTION_MAP,3,FALSE))</f>
        <v>not-provided</v>
      </c>
      <c r="I186" s="70" t="str">
        <f>if(iserror(vlookup('source-upstream'!I186,'data-cleansing-maps'!N$5:N$10,1,FALSE)),'source-upstream'!I186,"")</f>
        <v/>
      </c>
      <c r="J186" s="89" t="str">
        <f>'source-upstream'!J186</f>
        <v>Not provided</v>
      </c>
      <c r="K186" s="70" t="str">
        <f>if('source-upstream'!K186="",'schema-yn'!$A$5,vlookup('source-upstream'!K186,YN_MAP,3,FALSE))</f>
        <v>not-provided</v>
      </c>
      <c r="L186" s="90" t="str">
        <f>if('source-upstream'!L186="Not provided","",'source-upstream'!L186)</f>
        <v/>
      </c>
      <c r="M186" s="65" t="str">
        <f>if('source-upstream'!M186="",'schema-rv-services'!$B$26,vlookup(vlookup('source-upstream'!$M186,'analysis-rv-services'!$C:$E,3,FALSE),'schema-rv-services'!$A:$B,2, FALSE))</f>
        <v>feedstock</v>
      </c>
      <c r="N186" s="70"/>
    </row>
    <row r="187" ht="15.0" customHeight="1">
      <c r="A187" s="88" t="str">
        <f>Substitute(SUBSTITUTE(substitute(substitute(substitute(substitute(substitute(substitute(substitute(lower('source-upstream'!A187)," ","-"),"(",""),")",""),"&gt;",""),"&lt;",""),"---","-"),".","-"),"--","-"),"&amp;","-and-")</f>
        <v>spotted-cockatoo</v>
      </c>
      <c r="B187" s="88" t="str">
        <f>Substitute(SUBSTITUTE(substitute(substitute(substitute(substitute(substitute(substitute(substitute(lower('source-upstream'!B187)," ","-"),"(",""),")",""),"&gt;",""),"&lt;",""),"---","-"),".","-"),"--","-"),"&amp;","-and-")</f>
        <v>red-numbat</v>
      </c>
      <c r="C187" s="70" t="str">
        <f>if('source-upstream'!C187="",'schema-frequency'!$B$11,vlookup('source-upstream'!C187,FREQUENCY_MAP, 3, FALSE))</f>
        <v>not-provided</v>
      </c>
      <c r="D187" s="89" t="str">
        <f>'source-upstream'!D187</f>
        <v>Not provided</v>
      </c>
      <c r="E187" s="70" t="str">
        <f>if('source-upstream'!E187="",'schema-yn'!$A$5,vlookup('source-upstream'!E187,YN_MAP,3,FALSE))</f>
        <v>not-provided</v>
      </c>
      <c r="F187" s="70" t="str">
        <f>if('source-upstream'!F187="",'schema-yn'!$A$5,vlookup('source-upstream'!F187,YN_MAP,3,FALSE))</f>
        <v>not-provided</v>
      </c>
      <c r="G187" s="70" t="str">
        <f>if('source-upstream'!G187="",'schema-yn'!$A$5,vlookup('source-upstream'!G187,YN_MAP,3,FALSE))</f>
        <v>not-provided</v>
      </c>
      <c r="H187" s="70" t="str">
        <f>if('source-upstream'!H187="",'schema-yn'!$A$5,vlookup('source-upstream'!H187,RESILIENCE_OPTION_MAP,3,FALSE))</f>
        <v>not-provided</v>
      </c>
      <c r="I187" s="70" t="str">
        <f>if(iserror(vlookup('source-upstream'!I187,'data-cleansing-maps'!N$5:N$10,1,FALSE)),'source-upstream'!I187,"")</f>
        <v/>
      </c>
      <c r="J187" s="89" t="str">
        <f>'source-upstream'!J187</f>
        <v>Not provided</v>
      </c>
      <c r="K187" s="70" t="str">
        <f>if('source-upstream'!K187="",'schema-yn'!$A$5,vlookup('source-upstream'!K187,YN_MAP,3,FALSE))</f>
        <v>not-provided</v>
      </c>
      <c r="L187" s="90" t="str">
        <f>if('source-upstream'!L187="Not provided","",'source-upstream'!L187)</f>
        <v/>
      </c>
      <c r="M187" s="65" t="str">
        <f>if('source-upstream'!M187="",'schema-rv-services'!$B$26,vlookup(vlookup('source-upstream'!$M187,'analysis-rv-services'!$C:$E,3,FALSE),'schema-rv-services'!$A:$B,2, FALSE))</f>
        <v>feedstock</v>
      </c>
      <c r="N187" s="70"/>
    </row>
    <row r="188" ht="15.0" customHeight="1">
      <c r="A188" s="88" t="str">
        <f>Substitute(SUBSTITUTE(substitute(substitute(substitute(substitute(substitute(substitute(substitute(lower('source-upstream'!A188)," ","-"),"(",""),")",""),"&gt;",""),"&lt;",""),"---","-"),".","-"),"--","-"),"&amp;","-and-")</f>
        <v>spotted-cockatoo</v>
      </c>
      <c r="B188" s="88" t="str">
        <f>Substitute(SUBSTITUTE(substitute(substitute(substitute(substitute(substitute(substitute(substitute(lower('source-upstream'!B188)," ","-"),"(",""),")",""),"&gt;",""),"&lt;",""),"---","-"),".","-"),"--","-"),"&amp;","-and-")</f>
        <v>red-numbat</v>
      </c>
      <c r="C188" s="70" t="str">
        <f>if('source-upstream'!C188="",'schema-frequency'!$B$11,vlookup('source-upstream'!C188,FREQUENCY_MAP, 3, FALSE))</f>
        <v>not-provided</v>
      </c>
      <c r="D188" s="89" t="str">
        <f>'source-upstream'!D188</f>
        <v>Not provided</v>
      </c>
      <c r="E188" s="70" t="str">
        <f>if('source-upstream'!E188="",'schema-yn'!$A$5,vlookup('source-upstream'!E188,YN_MAP,3,FALSE))</f>
        <v>not-provided</v>
      </c>
      <c r="F188" s="70" t="str">
        <f>if('source-upstream'!F188="",'schema-yn'!$A$5,vlookup('source-upstream'!F188,YN_MAP,3,FALSE))</f>
        <v>not-provided</v>
      </c>
      <c r="G188" s="70" t="str">
        <f>if('source-upstream'!G188="",'schema-yn'!$A$5,vlookup('source-upstream'!G188,YN_MAP,3,FALSE))</f>
        <v>not-provided</v>
      </c>
      <c r="H188" s="70" t="str">
        <f>if('source-upstream'!H188="",'schema-yn'!$A$5,vlookup('source-upstream'!H188,RESILIENCE_OPTION_MAP,3,FALSE))</f>
        <v>not-provided</v>
      </c>
      <c r="I188" s="70" t="str">
        <f>if(iserror(vlookup('source-upstream'!I188,'data-cleansing-maps'!N$5:N$10,1,FALSE)),'source-upstream'!I188,"")</f>
        <v/>
      </c>
      <c r="J188" s="89" t="str">
        <f>'source-upstream'!J188</f>
        <v>Not provided</v>
      </c>
      <c r="K188" s="70" t="str">
        <f>if('source-upstream'!K188="",'schema-yn'!$A$5,vlookup('source-upstream'!K188,YN_MAP,3,FALSE))</f>
        <v>not-provided</v>
      </c>
      <c r="L188" s="90" t="str">
        <f>if('source-upstream'!L188="Not provided","",'source-upstream'!L188)</f>
        <v/>
      </c>
      <c r="M188" s="65" t="str">
        <f>if('source-upstream'!M188="",'schema-rv-services'!$B$26,vlookup(vlookup('source-upstream'!$M188,'analysis-rv-services'!$C:$E,3,FALSE),'schema-rv-services'!$A:$B,2, FALSE))</f>
        <v>feedstock</v>
      </c>
      <c r="N188" s="70"/>
    </row>
    <row r="189" ht="15.0" customHeight="1">
      <c r="A189" s="88" t="str">
        <f>Substitute(SUBSTITUTE(substitute(substitute(substitute(substitute(substitute(substitute(substitute(lower('source-upstream'!A189)," ","-"),"(",""),")",""),"&gt;",""),"&lt;",""),"---","-"),".","-"),"--","-"),"&amp;","-and-")</f>
        <v>spotted-cockatoo</v>
      </c>
      <c r="B189" s="88" t="str">
        <f>Substitute(SUBSTITUTE(substitute(substitute(substitute(substitute(substitute(substitute(substitute(lower('source-upstream'!B189)," ","-"),"(",""),")",""),"&gt;",""),"&lt;",""),"---","-"),".","-"),"--","-"),"&amp;","-and-")</f>
        <v>red-numbat</v>
      </c>
      <c r="C189" s="70" t="str">
        <f>if('source-upstream'!C189="",'schema-frequency'!$B$11,vlookup('source-upstream'!C189,FREQUENCY_MAP, 3, FALSE))</f>
        <v>not-provided</v>
      </c>
      <c r="D189" s="89" t="str">
        <f>'source-upstream'!D189</f>
        <v>Not provided</v>
      </c>
      <c r="E189" s="70" t="str">
        <f>if('source-upstream'!E189="",'schema-yn'!$A$5,vlookup('source-upstream'!E189,YN_MAP,3,FALSE))</f>
        <v>not-provided</v>
      </c>
      <c r="F189" s="70" t="str">
        <f>if('source-upstream'!F189="",'schema-yn'!$A$5,vlookup('source-upstream'!F189,YN_MAP,3,FALSE))</f>
        <v>not-provided</v>
      </c>
      <c r="G189" s="70" t="str">
        <f>if('source-upstream'!G189="",'schema-yn'!$A$5,vlookup('source-upstream'!G189,YN_MAP,3,FALSE))</f>
        <v>not-provided</v>
      </c>
      <c r="H189" s="70" t="str">
        <f>if('source-upstream'!H189="",'schema-yn'!$A$5,vlookup('source-upstream'!H189,RESILIENCE_OPTION_MAP,3,FALSE))</f>
        <v>not-provided</v>
      </c>
      <c r="I189" s="70" t="str">
        <f>if(iserror(vlookup('source-upstream'!I189,'data-cleansing-maps'!N$5:N$10,1,FALSE)),'source-upstream'!I189,"")</f>
        <v/>
      </c>
      <c r="J189" s="89" t="str">
        <f>'source-upstream'!J189</f>
        <v>Not provided</v>
      </c>
      <c r="K189" s="70" t="str">
        <f>if('source-upstream'!K189="",'schema-yn'!$A$5,vlookup('source-upstream'!K189,YN_MAP,3,FALSE))</f>
        <v>not-provided</v>
      </c>
      <c r="L189" s="90" t="str">
        <f>if('source-upstream'!L189="Not provided","",'source-upstream'!L189)</f>
        <v/>
      </c>
      <c r="M189" s="65" t="str">
        <f>if('source-upstream'!M189="",'schema-rv-services'!$B$26,vlookup(vlookup('source-upstream'!$M189,'analysis-rv-services'!$C:$E,3,FALSE),'schema-rv-services'!$A:$B,2, FALSE))</f>
        <v>feedstock</v>
      </c>
      <c r="N189" s="70"/>
    </row>
    <row r="190" ht="15.0" customHeight="1">
      <c r="A190" s="88" t="str">
        <f>Substitute(SUBSTITUTE(substitute(substitute(substitute(substitute(substitute(substitute(substitute(lower('source-upstream'!A190)," ","-"),"(",""),")",""),"&gt;",""),"&lt;",""),"---","-"),".","-"),"--","-"),"&amp;","-and-")</f>
        <v>spotted-cockatoo</v>
      </c>
      <c r="B190" s="88" t="str">
        <f>Substitute(SUBSTITUTE(substitute(substitute(substitute(substitute(substitute(substitute(substitute(lower('source-upstream'!B190)," ","-"),"(",""),")",""),"&gt;",""),"&lt;",""),"---","-"),".","-"),"--","-"),"&amp;","-and-")</f>
        <v>red-numbat</v>
      </c>
      <c r="C190" s="70" t="str">
        <f>if('source-upstream'!C190="",'schema-frequency'!$B$11,vlookup('source-upstream'!C190,FREQUENCY_MAP, 3, FALSE))</f>
        <v>not-provided</v>
      </c>
      <c r="D190" s="89" t="str">
        <f>'source-upstream'!D190</f>
        <v>Not provided</v>
      </c>
      <c r="E190" s="70" t="str">
        <f>if('source-upstream'!E190="",'schema-yn'!$A$5,vlookup('source-upstream'!E190,YN_MAP,3,FALSE))</f>
        <v>not-provided</v>
      </c>
      <c r="F190" s="70" t="str">
        <f>if('source-upstream'!F190="",'schema-yn'!$A$5,vlookup('source-upstream'!F190,YN_MAP,3,FALSE))</f>
        <v>not-provided</v>
      </c>
      <c r="G190" s="70" t="str">
        <f>if('source-upstream'!G190="",'schema-yn'!$A$5,vlookup('source-upstream'!G190,YN_MAP,3,FALSE))</f>
        <v>not-provided</v>
      </c>
      <c r="H190" s="70" t="str">
        <f>if('source-upstream'!H190="",'schema-yn'!$A$5,vlookup('source-upstream'!H190,RESILIENCE_OPTION_MAP,3,FALSE))</f>
        <v>not-provided</v>
      </c>
      <c r="I190" s="70" t="str">
        <f>if(iserror(vlookup('source-upstream'!I190,'data-cleansing-maps'!N$5:N$10,1,FALSE)),'source-upstream'!I190,"")</f>
        <v/>
      </c>
      <c r="J190" s="89" t="str">
        <f>'source-upstream'!J190</f>
        <v>Not provided</v>
      </c>
      <c r="K190" s="70" t="str">
        <f>if('source-upstream'!K190="",'schema-yn'!$A$5,vlookup('source-upstream'!K190,YN_MAP,3,FALSE))</f>
        <v>not-provided</v>
      </c>
      <c r="L190" s="90" t="str">
        <f>if('source-upstream'!L190="Not provided","",'source-upstream'!L190)</f>
        <v/>
      </c>
      <c r="M190" s="65" t="str">
        <f>if('source-upstream'!M190="",'schema-rv-services'!$B$26,vlookup(vlookup('source-upstream'!$M190,'analysis-rv-services'!$C:$E,3,FALSE),'schema-rv-services'!$A:$B,2, FALSE))</f>
        <v>feedstock</v>
      </c>
      <c r="N190" s="70"/>
    </row>
    <row r="191" ht="15.0" customHeight="1">
      <c r="A191" s="88" t="str">
        <f>Substitute(SUBSTITUTE(substitute(substitute(substitute(substitute(substitute(substitute(substitute(lower('source-upstream'!A191)," ","-"),"(",""),")",""),"&gt;",""),"&lt;",""),"---","-"),".","-"),"--","-"),"&amp;","-and-")</f>
        <v>spotted-cockatoo</v>
      </c>
      <c r="B191" s="88" t="str">
        <f>Substitute(SUBSTITUTE(substitute(substitute(substitute(substitute(substitute(substitute(substitute(lower('source-upstream'!B191)," ","-"),"(",""),")",""),"&gt;",""),"&lt;",""),"---","-"),".","-"),"--","-"),"&amp;","-and-")</f>
        <v>red-numbat</v>
      </c>
      <c r="C191" s="70" t="str">
        <f>if('source-upstream'!C191="",'schema-frequency'!$B$11,vlookup('source-upstream'!C191,FREQUENCY_MAP, 3, FALSE))</f>
        <v>not-provided</v>
      </c>
      <c r="D191" s="89" t="str">
        <f>'source-upstream'!D191</f>
        <v>Not provided</v>
      </c>
      <c r="E191" s="70" t="str">
        <f>if('source-upstream'!E191="",'schema-yn'!$A$5,vlookup('source-upstream'!E191,YN_MAP,3,FALSE))</f>
        <v>not-provided</v>
      </c>
      <c r="F191" s="70" t="str">
        <f>if('source-upstream'!F191="",'schema-yn'!$A$5,vlookup('source-upstream'!F191,YN_MAP,3,FALSE))</f>
        <v>not-provided</v>
      </c>
      <c r="G191" s="70" t="str">
        <f>if('source-upstream'!G191="",'schema-yn'!$A$5,vlookup('source-upstream'!G191,YN_MAP,3,FALSE))</f>
        <v>not-provided</v>
      </c>
      <c r="H191" s="70" t="str">
        <f>if('source-upstream'!H191="",'schema-yn'!$A$5,vlookup('source-upstream'!H191,RESILIENCE_OPTION_MAP,3,FALSE))</f>
        <v>not-provided</v>
      </c>
      <c r="I191" s="70" t="str">
        <f>if(iserror(vlookup('source-upstream'!I191,'data-cleansing-maps'!N$5:N$10,1,FALSE)),'source-upstream'!I191,"")</f>
        <v/>
      </c>
      <c r="J191" s="89" t="str">
        <f>'source-upstream'!J191</f>
        <v>Not provided</v>
      </c>
      <c r="K191" s="70" t="str">
        <f>if('source-upstream'!K191="",'schema-yn'!$A$5,vlookup('source-upstream'!K191,YN_MAP,3,FALSE))</f>
        <v>not-provided</v>
      </c>
      <c r="L191" s="90" t="str">
        <f>if('source-upstream'!L191="Not provided","",'source-upstream'!L191)</f>
        <v/>
      </c>
      <c r="M191" s="65" t="str">
        <f>if('source-upstream'!M191="",'schema-rv-services'!$B$26,vlookup(vlookup('source-upstream'!$M191,'analysis-rv-services'!$C:$E,3,FALSE),'schema-rv-services'!$A:$B,2, FALSE))</f>
        <v>feedstock</v>
      </c>
      <c r="N191" s="70"/>
    </row>
    <row r="192" ht="15.0" customHeight="1">
      <c r="A192" s="88" t="str">
        <f>Substitute(SUBSTITUTE(substitute(substitute(substitute(substitute(substitute(substitute(substitute(lower('source-upstream'!A192)," ","-"),"(",""),")",""),"&gt;",""),"&lt;",""),"---","-"),".","-"),"--","-"),"&amp;","-and-")</f>
        <v>spotted-cockatoo</v>
      </c>
      <c r="B192" s="88" t="str">
        <f>Substitute(SUBSTITUTE(substitute(substitute(substitute(substitute(substitute(substitute(substitute(lower('source-upstream'!B192)," ","-"),"(",""),")",""),"&gt;",""),"&lt;",""),"---","-"),".","-"),"--","-"),"&amp;","-and-")</f>
        <v>red-numbat</v>
      </c>
      <c r="C192" s="70" t="str">
        <f>if('source-upstream'!C192="",'schema-frequency'!$B$11,vlookup('source-upstream'!C192,FREQUENCY_MAP, 3, FALSE))</f>
        <v>not-provided</v>
      </c>
      <c r="D192" s="89" t="str">
        <f>'source-upstream'!D192</f>
        <v>Not provided</v>
      </c>
      <c r="E192" s="70" t="str">
        <f>if('source-upstream'!E192="",'schema-yn'!$A$5,vlookup('source-upstream'!E192,YN_MAP,3,FALSE))</f>
        <v>not-provided</v>
      </c>
      <c r="F192" s="70" t="str">
        <f>if('source-upstream'!F192="",'schema-yn'!$A$5,vlookup('source-upstream'!F192,YN_MAP,3,FALSE))</f>
        <v>not-provided</v>
      </c>
      <c r="G192" s="70" t="str">
        <f>if('source-upstream'!G192="",'schema-yn'!$A$5,vlookup('source-upstream'!G192,YN_MAP,3,FALSE))</f>
        <v>not-provided</v>
      </c>
      <c r="H192" s="70" t="str">
        <f>if('source-upstream'!H192="",'schema-yn'!$A$5,vlookup('source-upstream'!H192,RESILIENCE_OPTION_MAP,3,FALSE))</f>
        <v>not-provided</v>
      </c>
      <c r="I192" s="70" t="str">
        <f>if(iserror(vlookup('source-upstream'!I192,'data-cleansing-maps'!N$5:N$10,1,FALSE)),'source-upstream'!I192,"")</f>
        <v/>
      </c>
      <c r="J192" s="89" t="str">
        <f>'source-upstream'!J192</f>
        <v>Not provided</v>
      </c>
      <c r="K192" s="70" t="str">
        <f>if('source-upstream'!K192="",'schema-yn'!$A$5,vlookup('source-upstream'!K192,YN_MAP,3,FALSE))</f>
        <v>not-provided</v>
      </c>
      <c r="L192" s="90" t="str">
        <f>if('source-upstream'!L192="Not provided","",'source-upstream'!L192)</f>
        <v/>
      </c>
      <c r="M192" s="65" t="str">
        <f>if('source-upstream'!M192="",'schema-rv-services'!$B$26,vlookup(vlookup('source-upstream'!$M192,'analysis-rv-services'!$C:$E,3,FALSE),'schema-rv-services'!$A:$B,2, FALSE))</f>
        <v>feedstock</v>
      </c>
      <c r="N192" s="70"/>
    </row>
    <row r="193" ht="15.0" customHeight="1">
      <c r="A193" s="88" t="str">
        <f>Substitute(SUBSTITUTE(substitute(substitute(substitute(substitute(substitute(substitute(substitute(lower('source-upstream'!A193)," ","-"),"(",""),")",""),"&gt;",""),"&lt;",""),"---","-"),".","-"),"--","-"),"&amp;","-and-")</f>
        <v>spotted-cockatoo</v>
      </c>
      <c r="B193" s="88" t="str">
        <f>Substitute(SUBSTITUTE(substitute(substitute(substitute(substitute(substitute(substitute(substitute(lower('source-upstream'!B193)," ","-"),"(",""),")",""),"&gt;",""),"&lt;",""),"---","-"),".","-"),"--","-"),"&amp;","-and-")</f>
        <v>red-numbat</v>
      </c>
      <c r="C193" s="70" t="str">
        <f>if('source-upstream'!C193="",'schema-frequency'!$B$11,vlookup('source-upstream'!C193,FREQUENCY_MAP, 3, FALSE))</f>
        <v>not-provided</v>
      </c>
      <c r="D193" s="89" t="str">
        <f>'source-upstream'!D193</f>
        <v>Not provided</v>
      </c>
      <c r="E193" s="70" t="str">
        <f>if('source-upstream'!E193="",'schema-yn'!$A$5,vlookup('source-upstream'!E193,YN_MAP,3,FALSE))</f>
        <v>not-provided</v>
      </c>
      <c r="F193" s="70" t="str">
        <f>if('source-upstream'!F193="",'schema-yn'!$A$5,vlookup('source-upstream'!F193,YN_MAP,3,FALSE))</f>
        <v>not-provided</v>
      </c>
      <c r="G193" s="70" t="str">
        <f>if('source-upstream'!G193="",'schema-yn'!$A$5,vlookup('source-upstream'!G193,YN_MAP,3,FALSE))</f>
        <v>not-provided</v>
      </c>
      <c r="H193" s="70" t="str">
        <f>if('source-upstream'!H193="",'schema-yn'!$A$5,vlookup('source-upstream'!H193,RESILIENCE_OPTION_MAP,3,FALSE))</f>
        <v>not-provided</v>
      </c>
      <c r="I193" s="70" t="str">
        <f>if(iserror(vlookup('source-upstream'!I193,'data-cleansing-maps'!N$5:N$10,1,FALSE)),'source-upstream'!I193,"")</f>
        <v/>
      </c>
      <c r="J193" s="89" t="str">
        <f>'source-upstream'!J193</f>
        <v>Not provided</v>
      </c>
      <c r="K193" s="70" t="str">
        <f>if('source-upstream'!K193="",'schema-yn'!$A$5,vlookup('source-upstream'!K193,YN_MAP,3,FALSE))</f>
        <v>not-provided</v>
      </c>
      <c r="L193" s="90" t="str">
        <f>if('source-upstream'!L193="Not provided","",'source-upstream'!L193)</f>
        <v/>
      </c>
      <c r="M193" s="65" t="str">
        <f>if('source-upstream'!M193="",'schema-rv-services'!$B$26,vlookup(vlookup('source-upstream'!$M193,'analysis-rv-services'!$C:$E,3,FALSE),'schema-rv-services'!$A:$B,2, FALSE))</f>
        <v>feedstock</v>
      </c>
      <c r="N193" s="70"/>
    </row>
    <row r="194" ht="15.0" customHeight="1">
      <c r="A194" s="88" t="str">
        <f>Substitute(SUBSTITUTE(substitute(substitute(substitute(substitute(substitute(substitute(substitute(lower('source-upstream'!A194)," ","-"),"(",""),")",""),"&gt;",""),"&lt;",""),"---","-"),".","-"),"--","-"),"&amp;","-and-")</f>
        <v>spotted-cockatoo</v>
      </c>
      <c r="B194" s="88" t="str">
        <f>Substitute(SUBSTITUTE(substitute(substitute(substitute(substitute(substitute(substitute(substitute(lower('source-upstream'!B194)," ","-"),"(",""),")",""),"&gt;",""),"&lt;",""),"---","-"),".","-"),"--","-"),"&amp;","-and-")</f>
        <v>red-numbat</v>
      </c>
      <c r="C194" s="70" t="str">
        <f>if('source-upstream'!C194="",'schema-frequency'!$B$11,vlookup('source-upstream'!C194,FREQUENCY_MAP, 3, FALSE))</f>
        <v>not-provided</v>
      </c>
      <c r="D194" s="89" t="str">
        <f>'source-upstream'!D194</f>
        <v>Not provided</v>
      </c>
      <c r="E194" s="70" t="str">
        <f>if('source-upstream'!E194="",'schema-yn'!$A$5,vlookup('source-upstream'!E194,YN_MAP,3,FALSE))</f>
        <v>not-provided</v>
      </c>
      <c r="F194" s="70" t="str">
        <f>if('source-upstream'!F194="",'schema-yn'!$A$5,vlookup('source-upstream'!F194,YN_MAP,3,FALSE))</f>
        <v>not-provided</v>
      </c>
      <c r="G194" s="70" t="str">
        <f>if('source-upstream'!G194="",'schema-yn'!$A$5,vlookup('source-upstream'!G194,YN_MAP,3,FALSE))</f>
        <v>not-provided</v>
      </c>
      <c r="H194" s="70" t="str">
        <f>if('source-upstream'!H194="",'schema-yn'!$A$5,vlookup('source-upstream'!H194,RESILIENCE_OPTION_MAP,3,FALSE))</f>
        <v>not-provided</v>
      </c>
      <c r="I194" s="70" t="str">
        <f>if(iserror(vlookup('source-upstream'!I194,'data-cleansing-maps'!N$5:N$10,1,FALSE)),'source-upstream'!I194,"")</f>
        <v/>
      </c>
      <c r="J194" s="89" t="str">
        <f>'source-upstream'!J194</f>
        <v>Not provided</v>
      </c>
      <c r="K194" s="70" t="str">
        <f>if('source-upstream'!K194="",'schema-yn'!$A$5,vlookup('source-upstream'!K194,YN_MAP,3,FALSE))</f>
        <v>not-provided</v>
      </c>
      <c r="L194" s="90" t="str">
        <f>if('source-upstream'!L194="Not provided","",'source-upstream'!L194)</f>
        <v/>
      </c>
      <c r="M194" s="65" t="str">
        <f>if('source-upstream'!M194="",'schema-rv-services'!$B$26,vlookup(vlookup('source-upstream'!$M194,'analysis-rv-services'!$C:$E,3,FALSE),'schema-rv-services'!$A:$B,2, FALSE))</f>
        <v>feedstock</v>
      </c>
      <c r="N194" s="70"/>
    </row>
    <row r="195" ht="15.0" customHeight="1">
      <c r="A195" s="88" t="str">
        <f>Substitute(SUBSTITUTE(substitute(substitute(substitute(substitute(substitute(substitute(substitute(lower('source-upstream'!A195)," ","-"),"(",""),")",""),"&gt;",""),"&lt;",""),"---","-"),".","-"),"--","-"),"&amp;","-and-")</f>
        <v>spotted-cockatoo</v>
      </c>
      <c r="B195" s="88" t="str">
        <f>Substitute(SUBSTITUTE(substitute(substitute(substitute(substitute(substitute(substitute(substitute(lower('source-upstream'!B195)," ","-"),"(",""),")",""),"&gt;",""),"&lt;",""),"---","-"),".","-"),"--","-"),"&amp;","-and-")</f>
        <v>red-numbat</v>
      </c>
      <c r="C195" s="70" t="str">
        <f>if('source-upstream'!C195="",'schema-frequency'!$B$11,vlookup('source-upstream'!C195,FREQUENCY_MAP, 3, FALSE))</f>
        <v>not-provided</v>
      </c>
      <c r="D195" s="89" t="str">
        <f>'source-upstream'!D195</f>
        <v>Not provided</v>
      </c>
      <c r="E195" s="70" t="str">
        <f>if('source-upstream'!E195="",'schema-yn'!$A$5,vlookup('source-upstream'!E195,YN_MAP,3,FALSE))</f>
        <v>not-provided</v>
      </c>
      <c r="F195" s="70" t="str">
        <f>if('source-upstream'!F195="",'schema-yn'!$A$5,vlookup('source-upstream'!F195,YN_MAP,3,FALSE))</f>
        <v>not-provided</v>
      </c>
      <c r="G195" s="70" t="str">
        <f>if('source-upstream'!G195="",'schema-yn'!$A$5,vlookup('source-upstream'!G195,YN_MAP,3,FALSE))</f>
        <v>not-provided</v>
      </c>
      <c r="H195" s="70" t="str">
        <f>if('source-upstream'!H195="",'schema-yn'!$A$5,vlookup('source-upstream'!H195,RESILIENCE_OPTION_MAP,3,FALSE))</f>
        <v>not-provided</v>
      </c>
      <c r="I195" s="70" t="str">
        <f>if(iserror(vlookup('source-upstream'!I195,'data-cleansing-maps'!N$5:N$10,1,FALSE)),'source-upstream'!I195,"")</f>
        <v/>
      </c>
      <c r="J195" s="89" t="str">
        <f>'source-upstream'!J195</f>
        <v>Not provided</v>
      </c>
      <c r="K195" s="70" t="str">
        <f>if('source-upstream'!K195="",'schema-yn'!$A$5,vlookup('source-upstream'!K195,YN_MAP,3,FALSE))</f>
        <v>not-provided</v>
      </c>
      <c r="L195" s="90" t="str">
        <f>if('source-upstream'!L195="Not provided","",'source-upstream'!L195)</f>
        <v/>
      </c>
      <c r="M195" s="65" t="str">
        <f>if('source-upstream'!M195="",'schema-rv-services'!$B$26,vlookup(vlookup('source-upstream'!$M195,'analysis-rv-services'!$C:$E,3,FALSE),'schema-rv-services'!$A:$B,2, FALSE))</f>
        <v>feedstock</v>
      </c>
      <c r="N195" s="70"/>
    </row>
    <row r="196" ht="15.0" customHeight="1">
      <c r="A196" s="88" t="str">
        <f>Substitute(SUBSTITUTE(substitute(substitute(substitute(substitute(substitute(substitute(substitute(lower('source-upstream'!A196)," ","-"),"(",""),")",""),"&gt;",""),"&lt;",""),"---","-"),".","-"),"--","-"),"&amp;","-and-")</f>
        <v>spotted-cockatoo</v>
      </c>
      <c r="B196" s="88" t="str">
        <f>Substitute(SUBSTITUTE(substitute(substitute(substitute(substitute(substitute(substitute(substitute(lower('source-upstream'!B196)," ","-"),"(",""),")",""),"&gt;",""),"&lt;",""),"---","-"),".","-"),"--","-"),"&amp;","-and-")</f>
        <v>red-numbat</v>
      </c>
      <c r="C196" s="70" t="str">
        <f>if('source-upstream'!C196="",'schema-frequency'!$B$11,vlookup('source-upstream'!C196,FREQUENCY_MAP, 3, FALSE))</f>
        <v>not-provided</v>
      </c>
      <c r="D196" s="89" t="str">
        <f>'source-upstream'!D196</f>
        <v>Not provided</v>
      </c>
      <c r="E196" s="70" t="str">
        <f>if('source-upstream'!E196="",'schema-yn'!$A$5,vlookup('source-upstream'!E196,YN_MAP,3,FALSE))</f>
        <v>not-provided</v>
      </c>
      <c r="F196" s="70" t="str">
        <f>if('source-upstream'!F196="",'schema-yn'!$A$5,vlookup('source-upstream'!F196,YN_MAP,3,FALSE))</f>
        <v>not-provided</v>
      </c>
      <c r="G196" s="70" t="str">
        <f>if('source-upstream'!G196="",'schema-yn'!$A$5,vlookup('source-upstream'!G196,YN_MAP,3,FALSE))</f>
        <v>not-provided</v>
      </c>
      <c r="H196" s="70" t="str">
        <f>if('source-upstream'!H196="",'schema-yn'!$A$5,vlookup('source-upstream'!H196,RESILIENCE_OPTION_MAP,3,FALSE))</f>
        <v>not-provided</v>
      </c>
      <c r="I196" s="70" t="str">
        <f>if(iserror(vlookup('source-upstream'!I196,'data-cleansing-maps'!N$5:N$10,1,FALSE)),'source-upstream'!I196,"")</f>
        <v/>
      </c>
      <c r="J196" s="89" t="str">
        <f>'source-upstream'!J196</f>
        <v>Not provided</v>
      </c>
      <c r="K196" s="70" t="str">
        <f>if('source-upstream'!K196="",'schema-yn'!$A$5,vlookup('source-upstream'!K196,YN_MAP,3,FALSE))</f>
        <v>not-provided</v>
      </c>
      <c r="L196" s="90" t="str">
        <f>if('source-upstream'!L196="Not provided","",'source-upstream'!L196)</f>
        <v/>
      </c>
      <c r="M196" s="65" t="str">
        <f>if('source-upstream'!M196="",'schema-rv-services'!$B$26,vlookup(vlookup('source-upstream'!$M196,'analysis-rv-services'!$C:$E,3,FALSE),'schema-rv-services'!$A:$B,2, FALSE))</f>
        <v>feedstock</v>
      </c>
      <c r="N196" s="70"/>
    </row>
    <row r="197" ht="15.0" customHeight="1">
      <c r="A197" s="88" t="str">
        <f>Substitute(SUBSTITUTE(substitute(substitute(substitute(substitute(substitute(substitute(substitute(lower('source-upstream'!A197)," ","-"),"(",""),")",""),"&gt;",""),"&lt;",""),"---","-"),".","-"),"--","-"),"&amp;","-and-")</f>
        <v>spotted-cockatoo</v>
      </c>
      <c r="B197" s="88" t="str">
        <f>Substitute(SUBSTITUTE(substitute(substitute(substitute(substitute(substitute(substitute(substitute(lower('source-upstream'!B197)," ","-"),"(",""),")",""),"&gt;",""),"&lt;",""),"---","-"),".","-"),"--","-"),"&amp;","-and-")</f>
        <v>red-numbat</v>
      </c>
      <c r="C197" s="70" t="str">
        <f>if('source-upstream'!C197="",'schema-frequency'!$B$11,vlookup('source-upstream'!C197,FREQUENCY_MAP, 3, FALSE))</f>
        <v>not-provided</v>
      </c>
      <c r="D197" s="89" t="str">
        <f>'source-upstream'!D197</f>
        <v>Not provided</v>
      </c>
      <c r="E197" s="70" t="str">
        <f>if('source-upstream'!E197="",'schema-yn'!$A$5,vlookup('source-upstream'!E197,YN_MAP,3,FALSE))</f>
        <v>not-provided</v>
      </c>
      <c r="F197" s="70" t="str">
        <f>if('source-upstream'!F197="",'schema-yn'!$A$5,vlookup('source-upstream'!F197,YN_MAP,3,FALSE))</f>
        <v>not-provided</v>
      </c>
      <c r="G197" s="70" t="str">
        <f>if('source-upstream'!G197="",'schema-yn'!$A$5,vlookup('source-upstream'!G197,YN_MAP,3,FALSE))</f>
        <v>not-provided</v>
      </c>
      <c r="H197" s="70" t="str">
        <f>if('source-upstream'!H197="",'schema-yn'!$A$5,vlookup('source-upstream'!H197,RESILIENCE_OPTION_MAP,3,FALSE))</f>
        <v>not-provided</v>
      </c>
      <c r="I197" s="70" t="str">
        <f>if(iserror(vlookup('source-upstream'!I197,'data-cleansing-maps'!N$5:N$10,1,FALSE)),'source-upstream'!I197,"")</f>
        <v/>
      </c>
      <c r="J197" s="89" t="str">
        <f>'source-upstream'!J197</f>
        <v>Not provided</v>
      </c>
      <c r="K197" s="70" t="str">
        <f>if('source-upstream'!K197="",'schema-yn'!$A$5,vlookup('source-upstream'!K197,YN_MAP,3,FALSE))</f>
        <v>not-provided</v>
      </c>
      <c r="L197" s="90" t="str">
        <f>if('source-upstream'!L197="Not provided","",'source-upstream'!L197)</f>
        <v/>
      </c>
      <c r="M197" s="65" t="str">
        <f>if('source-upstream'!M197="",'schema-rv-services'!$B$26,vlookup(vlookup('source-upstream'!$M197,'analysis-rv-services'!$C:$E,3,FALSE),'schema-rv-services'!$A:$B,2, FALSE))</f>
        <v>feedstock</v>
      </c>
      <c r="N197" s="70"/>
    </row>
    <row r="198" ht="15.0" customHeight="1">
      <c r="A198" s="88" t="str">
        <f>Substitute(SUBSTITUTE(substitute(substitute(substitute(substitute(substitute(substitute(substitute(lower('source-upstream'!A198)," ","-"),"(",""),")",""),"&gt;",""),"&lt;",""),"---","-"),".","-"),"--","-"),"&amp;","-and-")</f>
        <v>spotted-cockatoo</v>
      </c>
      <c r="B198" s="88" t="str">
        <f>Substitute(SUBSTITUTE(substitute(substitute(substitute(substitute(substitute(substitute(substitute(lower('source-upstream'!B198)," ","-"),"(",""),")",""),"&gt;",""),"&lt;",""),"---","-"),".","-"),"--","-"),"&amp;","-and-")</f>
        <v>red-numbat</v>
      </c>
      <c r="C198" s="70" t="str">
        <f>if('source-upstream'!C198="",'schema-frequency'!$B$11,vlookup('source-upstream'!C198,FREQUENCY_MAP, 3, FALSE))</f>
        <v>not-provided</v>
      </c>
      <c r="D198" s="89" t="str">
        <f>'source-upstream'!D198</f>
        <v>Not provided</v>
      </c>
      <c r="E198" s="70" t="str">
        <f>if('source-upstream'!E198="",'schema-yn'!$A$5,vlookup('source-upstream'!E198,YN_MAP,3,FALSE))</f>
        <v>not-provided</v>
      </c>
      <c r="F198" s="70" t="str">
        <f>if('source-upstream'!F198="",'schema-yn'!$A$5,vlookup('source-upstream'!F198,YN_MAP,3,FALSE))</f>
        <v>not-provided</v>
      </c>
      <c r="G198" s="70" t="str">
        <f>if('source-upstream'!G198="",'schema-yn'!$A$5,vlookup('source-upstream'!G198,YN_MAP,3,FALSE))</f>
        <v>not-provided</v>
      </c>
      <c r="H198" s="70" t="str">
        <f>if('source-upstream'!H198="",'schema-yn'!$A$5,vlookup('source-upstream'!H198,RESILIENCE_OPTION_MAP,3,FALSE))</f>
        <v>not-provided</v>
      </c>
      <c r="I198" s="70" t="str">
        <f>if(iserror(vlookup('source-upstream'!I198,'data-cleansing-maps'!N$5:N$10,1,FALSE)),'source-upstream'!I198,"")</f>
        <v/>
      </c>
      <c r="J198" s="89" t="str">
        <f>'source-upstream'!J198</f>
        <v>Not provided</v>
      </c>
      <c r="K198" s="70" t="str">
        <f>if('source-upstream'!K198="",'schema-yn'!$A$5,vlookup('source-upstream'!K198,YN_MAP,3,FALSE))</f>
        <v>not-provided</v>
      </c>
      <c r="L198" s="90" t="str">
        <f>if('source-upstream'!L198="Not provided","",'source-upstream'!L198)</f>
        <v/>
      </c>
      <c r="M198" s="65" t="str">
        <f>if('source-upstream'!M198="",'schema-rv-services'!$B$26,vlookup(vlookup('source-upstream'!$M198,'analysis-rv-services'!$C:$E,3,FALSE),'schema-rv-services'!$A:$B,2, FALSE))</f>
        <v>feedstock</v>
      </c>
      <c r="N198" s="70"/>
    </row>
    <row r="199" ht="15.0" customHeight="1">
      <c r="A199" s="88" t="str">
        <f>Substitute(SUBSTITUTE(substitute(substitute(substitute(substitute(substitute(substitute(substitute(lower('source-upstream'!A199)," ","-"),"(",""),")",""),"&gt;",""),"&lt;",""),"---","-"),".","-"),"--","-"),"&amp;","-and-")</f>
        <v>spotted-cockatoo</v>
      </c>
      <c r="B199" s="88" t="str">
        <f>Substitute(SUBSTITUTE(substitute(substitute(substitute(substitute(substitute(substitute(substitute(lower('source-upstream'!B199)," ","-"),"(",""),")",""),"&gt;",""),"&lt;",""),"---","-"),".","-"),"--","-"),"&amp;","-and-")</f>
        <v>red-numbat</v>
      </c>
      <c r="C199" s="70" t="str">
        <f>if('source-upstream'!C199="",'schema-frequency'!$B$11,vlookup('source-upstream'!C199,FREQUENCY_MAP, 3, FALSE))</f>
        <v>not-provided</v>
      </c>
      <c r="D199" s="89" t="str">
        <f>'source-upstream'!D199</f>
        <v>Not provided</v>
      </c>
      <c r="E199" s="70" t="str">
        <f>if('source-upstream'!E199="",'schema-yn'!$A$5,vlookup('source-upstream'!E199,YN_MAP,3,FALSE))</f>
        <v>not-provided</v>
      </c>
      <c r="F199" s="70" t="str">
        <f>if('source-upstream'!F199="",'schema-yn'!$A$5,vlookup('source-upstream'!F199,YN_MAP,3,FALSE))</f>
        <v>not-provided</v>
      </c>
      <c r="G199" s="70" t="str">
        <f>if('source-upstream'!G199="",'schema-yn'!$A$5,vlookup('source-upstream'!G199,YN_MAP,3,FALSE))</f>
        <v>not-provided</v>
      </c>
      <c r="H199" s="70" t="str">
        <f>if('source-upstream'!H199="",'schema-yn'!$A$5,vlookup('source-upstream'!H199,RESILIENCE_OPTION_MAP,3,FALSE))</f>
        <v>not-provided</v>
      </c>
      <c r="I199" s="70" t="str">
        <f>if(iserror(vlookup('source-upstream'!I199,'data-cleansing-maps'!N$5:N$10,1,FALSE)),'source-upstream'!I199,"")</f>
        <v/>
      </c>
      <c r="J199" s="89" t="str">
        <f>'source-upstream'!J199</f>
        <v>Not provided</v>
      </c>
      <c r="K199" s="70" t="str">
        <f>if('source-upstream'!K199="",'schema-yn'!$A$5,vlookup('source-upstream'!K199,YN_MAP,3,FALSE))</f>
        <v>not-provided</v>
      </c>
      <c r="L199" s="90" t="str">
        <f>if('source-upstream'!L199="Not provided","",'source-upstream'!L199)</f>
        <v/>
      </c>
      <c r="M199" s="65" t="str">
        <f>if('source-upstream'!M199="",'schema-rv-services'!$B$26,vlookup(vlookup('source-upstream'!$M199,'analysis-rv-services'!$C:$E,3,FALSE),'schema-rv-services'!$A:$B,2, FALSE))</f>
        <v>feedstock</v>
      </c>
      <c r="N199" s="70"/>
    </row>
    <row r="200" ht="15.0" customHeight="1">
      <c r="A200" s="88" t="str">
        <f>Substitute(SUBSTITUTE(substitute(substitute(substitute(substitute(substitute(substitute(substitute(lower('source-upstream'!A200)," ","-"),"(",""),")",""),"&gt;",""),"&lt;",""),"---","-"),".","-"),"--","-"),"&amp;","-and-")</f>
        <v>spotted-cockatoo</v>
      </c>
      <c r="B200" s="88" t="str">
        <f>Substitute(SUBSTITUTE(substitute(substitute(substitute(substitute(substitute(substitute(substitute(lower('source-upstream'!B200)," ","-"),"(",""),")",""),"&gt;",""),"&lt;",""),"---","-"),".","-"),"--","-"),"&amp;","-and-")</f>
        <v>red-numbat</v>
      </c>
      <c r="C200" s="70" t="str">
        <f>if('source-upstream'!C200="",'schema-frequency'!$B$11,vlookup('source-upstream'!C200,FREQUENCY_MAP, 3, FALSE))</f>
        <v>not-provided</v>
      </c>
      <c r="D200" s="89" t="str">
        <f>'source-upstream'!D200</f>
        <v>Not provided</v>
      </c>
      <c r="E200" s="70" t="str">
        <f>if('source-upstream'!E200="",'schema-yn'!$A$5,vlookup('source-upstream'!E200,YN_MAP,3,FALSE))</f>
        <v>not-provided</v>
      </c>
      <c r="F200" s="70" t="str">
        <f>if('source-upstream'!F200="",'schema-yn'!$A$5,vlookup('source-upstream'!F200,YN_MAP,3,FALSE))</f>
        <v>not-provided</v>
      </c>
      <c r="G200" s="70" t="str">
        <f>if('source-upstream'!G200="",'schema-yn'!$A$5,vlookup('source-upstream'!G200,YN_MAP,3,FALSE))</f>
        <v>not-provided</v>
      </c>
      <c r="H200" s="70" t="str">
        <f>if('source-upstream'!H200="",'schema-yn'!$A$5,vlookup('source-upstream'!H200,RESILIENCE_OPTION_MAP,3,FALSE))</f>
        <v>not-provided</v>
      </c>
      <c r="I200" s="70" t="str">
        <f>if(iserror(vlookup('source-upstream'!I200,'data-cleansing-maps'!N$5:N$10,1,FALSE)),'source-upstream'!I200,"")</f>
        <v/>
      </c>
      <c r="J200" s="89" t="str">
        <f>'source-upstream'!J200</f>
        <v>Not provided</v>
      </c>
      <c r="K200" s="70" t="str">
        <f>if('source-upstream'!K200="",'schema-yn'!$A$5,vlookup('source-upstream'!K200,YN_MAP,3,FALSE))</f>
        <v>not-provided</v>
      </c>
      <c r="L200" s="90" t="str">
        <f>if('source-upstream'!L200="Not provided","",'source-upstream'!L200)</f>
        <v/>
      </c>
      <c r="M200" s="65" t="str">
        <f>if('source-upstream'!M200="",'schema-rv-services'!$B$26,vlookup(vlookup('source-upstream'!$M200,'analysis-rv-services'!$C:$E,3,FALSE),'schema-rv-services'!$A:$B,2, FALSE))</f>
        <v>feedstock</v>
      </c>
      <c r="N200" s="70"/>
    </row>
    <row r="201" ht="15.0" customHeight="1">
      <c r="A201" s="88" t="str">
        <f>Substitute(SUBSTITUTE(substitute(substitute(substitute(substitute(substitute(substitute(substitute(lower('source-upstream'!A201)," ","-"),"(",""),")",""),"&gt;",""),"&lt;",""),"---","-"),".","-"),"--","-"),"&amp;","-and-")</f>
        <v>spotted-koala</v>
      </c>
      <c r="B201" s="88" t="str">
        <f>Substitute(SUBSTITUTE(substitute(substitute(substitute(substitute(substitute(substitute(substitute(lower('source-upstream'!B201)," ","-"),"(",""),")",""),"&gt;",""),"&lt;",""),"---","-"),".","-"),"--","-"),"&amp;","-and-")</f>
        <v>swift-bush-stone-curlew</v>
      </c>
      <c r="C201" s="70" t="str">
        <f>if('source-upstream'!C201="",'schema-frequency'!$B$11,vlookup('source-upstream'!C201,FREQUENCY_MAP, 3, FALSE))</f>
        <v>not-provided</v>
      </c>
      <c r="D201" s="89" t="str">
        <f>'source-upstream'!D201</f>
        <v>Not provided</v>
      </c>
      <c r="E201" s="70" t="str">
        <f>if('source-upstream'!E201="",'schema-yn'!$A$5,vlookup('source-upstream'!E201,YN_MAP,3,FALSE))</f>
        <v>not-provided</v>
      </c>
      <c r="F201" s="70" t="str">
        <f>if('source-upstream'!F201="",'schema-yn'!$A$5,vlookup('source-upstream'!F201,YN_MAP,3,FALSE))</f>
        <v>not-provided</v>
      </c>
      <c r="G201" s="70" t="str">
        <f>if('source-upstream'!G201="",'schema-yn'!$A$5,vlookup('source-upstream'!G201,YN_MAP,3,FALSE))</f>
        <v>not-provided</v>
      </c>
      <c r="H201" s="70" t="str">
        <f>if('source-upstream'!H201="",'schema-yn'!$A$5,vlookup('source-upstream'!H201,RESILIENCE_OPTION_MAP,3,FALSE))</f>
        <v>not-provided</v>
      </c>
      <c r="I201" s="70" t="str">
        <f>if(iserror(vlookup('source-upstream'!I201,'data-cleansing-maps'!N$5:N$10,1,FALSE)),'source-upstream'!I201,"")</f>
        <v/>
      </c>
      <c r="J201" s="89" t="str">
        <f>'source-upstream'!J201</f>
        <v>No comments provided</v>
      </c>
      <c r="K201" s="70" t="str">
        <f>if('source-upstream'!K201="",'schema-yn'!$A$5,vlookup('source-upstream'!K201,YN_MAP,3,FALSE))</f>
        <v>not-provided</v>
      </c>
      <c r="L201" s="90" t="str">
        <f>if('source-upstream'!L201="Not provided","",'source-upstream'!L201)</f>
        <v/>
      </c>
      <c r="M201" s="65" t="str">
        <f>if('source-upstream'!M201="",'schema-rv-services'!$B$26,vlookup(vlookup('source-upstream'!$M201,'analysis-rv-services'!$C:$E,3,FALSE),'schema-rv-services'!$A:$B,2, FALSE))</f>
        <v>water</v>
      </c>
      <c r="N201" s="70"/>
    </row>
    <row r="202" ht="15.0" customHeight="1">
      <c r="A202" s="88" t="str">
        <f>Substitute(SUBSTITUTE(substitute(substitute(substitute(substitute(substitute(substitute(substitute(lower('source-upstream'!A202)," ","-"),"(",""),")",""),"&gt;",""),"&lt;",""),"---","-"),".","-"),"--","-"),"&amp;","-and-")</f>
        <v>spotted-koala</v>
      </c>
      <c r="B202" s="88" t="str">
        <f>Substitute(SUBSTITUTE(substitute(substitute(substitute(substitute(substitute(substitute(substitute(lower('source-upstream'!B202)," ","-"),"(",""),")",""),"&gt;",""),"&lt;",""),"---","-"),".","-"),"--","-"),"&amp;","-and-")</f>
        <v>yellow-redback-spider</v>
      </c>
      <c r="C202" s="70" t="str">
        <f>if('source-upstream'!C202="",'schema-frequency'!$B$11,vlookup('source-upstream'!C202,FREQUENCY_MAP, 3, FALSE))</f>
        <v>not-provided</v>
      </c>
      <c r="D202" s="89" t="str">
        <f>'source-upstream'!D202</f>
        <v>Not provided</v>
      </c>
      <c r="E202" s="70" t="str">
        <f>if('source-upstream'!E202="",'schema-yn'!$A$5,vlookup('source-upstream'!E202,YN_MAP,3,FALSE))</f>
        <v>not-provided</v>
      </c>
      <c r="F202" s="70" t="str">
        <f>if('source-upstream'!F202="",'schema-yn'!$A$5,vlookup('source-upstream'!F202,YN_MAP,3,FALSE))</f>
        <v>not-provided</v>
      </c>
      <c r="G202" s="70" t="str">
        <f>if('source-upstream'!G202="",'schema-yn'!$A$5,vlookup('source-upstream'!G202,YN_MAP,3,FALSE))</f>
        <v>not-provided</v>
      </c>
      <c r="H202" s="70" t="str">
        <f>if('source-upstream'!H202="",'schema-yn'!$A$5,vlookup('source-upstream'!H202,RESILIENCE_OPTION_MAP,3,FALSE))</f>
        <v>not-provided</v>
      </c>
      <c r="I202" s="70" t="str">
        <f>if(iserror(vlookup('source-upstream'!I202,'data-cleansing-maps'!N$5:N$10,1,FALSE)),'source-upstream'!I202,"")</f>
        <v/>
      </c>
      <c r="J202" s="89" t="str">
        <f>'source-upstream'!J202</f>
        <v>No comments provided</v>
      </c>
      <c r="K202" s="70" t="str">
        <f>if('source-upstream'!K202="",'schema-yn'!$A$5,vlookup('source-upstream'!K202,YN_MAP,3,FALSE))</f>
        <v>not-provided</v>
      </c>
      <c r="L202" s="90" t="str">
        <f>if('source-upstream'!L202="Not provided","",'source-upstream'!L202)</f>
        <v/>
      </c>
      <c r="M202" s="65" t="str">
        <f>if('source-upstream'!M202="",'schema-rv-services'!$B$26,vlookup(vlookup('source-upstream'!$M202,'analysis-rv-services'!$C:$E,3,FALSE),'schema-rv-services'!$A:$B,2, FALSE))</f>
        <v>water</v>
      </c>
      <c r="N202" s="70"/>
    </row>
    <row r="203" ht="15.0" customHeight="1">
      <c r="A203" s="88" t="str">
        <f>Substitute(SUBSTITUTE(substitute(substitute(substitute(substitute(substitute(substitute(substitute(lower('source-upstream'!A203)," ","-"),"(",""),")",""),"&gt;",""),"&lt;",""),"---","-"),".","-"),"--","-"),"&amp;","-and-")</f>
        <v>spotted-koala</v>
      </c>
      <c r="B203" s="88" t="str">
        <f>Substitute(SUBSTITUTE(substitute(substitute(substitute(substitute(substitute(substitute(substitute(lower('source-upstream'!B203)," ","-"),"(",""),")",""),"&gt;",""),"&lt;",""),"---","-"),".","-"),"--","-"),"&amp;","-and-")</f>
        <v>fuzzy-sugar-glider</v>
      </c>
      <c r="C203" s="70" t="str">
        <f>if('source-upstream'!C203="",'schema-frequency'!$B$11,vlookup('source-upstream'!C203,FREQUENCY_MAP, 3, FALSE))</f>
        <v>not-provided</v>
      </c>
      <c r="D203" s="89" t="str">
        <f>'source-upstream'!D203</f>
        <v>Not provided</v>
      </c>
      <c r="E203" s="70" t="str">
        <f>if('source-upstream'!E203="",'schema-yn'!$A$5,vlookup('source-upstream'!E203,YN_MAP,3,FALSE))</f>
        <v>not-provided</v>
      </c>
      <c r="F203" s="70" t="str">
        <f>if('source-upstream'!F203="",'schema-yn'!$A$5,vlookup('source-upstream'!F203,YN_MAP,3,FALSE))</f>
        <v>not-provided</v>
      </c>
      <c r="G203" s="70" t="str">
        <f>if('source-upstream'!G203="",'schema-yn'!$A$5,vlookup('source-upstream'!G203,YN_MAP,3,FALSE))</f>
        <v>not-provided</v>
      </c>
      <c r="H203" s="70" t="str">
        <f>if('source-upstream'!H203="",'schema-yn'!$A$5,vlookup('source-upstream'!H203,RESILIENCE_OPTION_MAP,3,FALSE))</f>
        <v>not-provided</v>
      </c>
      <c r="I203" s="70" t="str">
        <f>if(iserror(vlookup('source-upstream'!I203,'data-cleansing-maps'!N$5:N$10,1,FALSE)),'source-upstream'!I203,"")</f>
        <v/>
      </c>
      <c r="J203" s="89" t="str">
        <f>'source-upstream'!J203</f>
        <v>No comments provided</v>
      </c>
      <c r="K203" s="70" t="str">
        <f>if('source-upstream'!K203="",'schema-yn'!$A$5,vlookup('source-upstream'!K203,YN_MAP,3,FALSE))</f>
        <v>not-provided</v>
      </c>
      <c r="L203" s="90" t="str">
        <f>if('source-upstream'!L203="Not provided","",'source-upstream'!L203)</f>
        <v/>
      </c>
      <c r="M203" s="65" t="str">
        <f>if('source-upstream'!M203="",'schema-rv-services'!$B$26,vlookup(vlookup('source-upstream'!$M203,'analysis-rv-services'!$C:$E,3,FALSE),'schema-rv-services'!$A:$B,2, FALSE))</f>
        <v>not-provided</v>
      </c>
      <c r="N203" s="70"/>
    </row>
    <row r="204" ht="15.0" customHeight="1">
      <c r="A204" s="88" t="str">
        <f>Substitute(SUBSTITUTE(substitute(substitute(substitute(substitute(substitute(substitute(substitute(lower('source-upstream'!A204)," ","-"),"(",""),")",""),"&gt;",""),"&lt;",""),"---","-"),".","-"),"--","-"),"&amp;","-and-")</f>
        <v>spotted-koala</v>
      </c>
      <c r="B204" s="88" t="str">
        <f>Substitute(SUBSTITUTE(substitute(substitute(substitute(substitute(substitute(substitute(substitute(lower('source-upstream'!B204)," ","-"),"(",""),")",""),"&gt;",""),"&lt;",""),"---","-"),".","-"),"--","-"),"&amp;","-and-")</f>
        <v>noisy-quokka</v>
      </c>
      <c r="C204" s="70" t="str">
        <f>if('source-upstream'!C204="",'schema-frequency'!$B$11,vlookup('source-upstream'!C204,FREQUENCY_MAP, 3, FALSE))</f>
        <v>not-provided</v>
      </c>
      <c r="D204" s="89" t="str">
        <f>'source-upstream'!D204</f>
        <v>Not provided</v>
      </c>
      <c r="E204" s="70" t="str">
        <f>if('source-upstream'!E204="",'schema-yn'!$A$5,vlookup('source-upstream'!E204,YN_MAP,3,FALSE))</f>
        <v>not-provided</v>
      </c>
      <c r="F204" s="70" t="str">
        <f>if('source-upstream'!F204="",'schema-yn'!$A$5,vlookup('source-upstream'!F204,YN_MAP,3,FALSE))</f>
        <v>not-provided</v>
      </c>
      <c r="G204" s="70" t="str">
        <f>if('source-upstream'!G204="",'schema-yn'!$A$5,vlookup('source-upstream'!G204,YN_MAP,3,FALSE))</f>
        <v>not-provided</v>
      </c>
      <c r="H204" s="70" t="str">
        <f>if('source-upstream'!H204="",'schema-yn'!$A$5,vlookup('source-upstream'!H204,RESILIENCE_OPTION_MAP,3,FALSE))</f>
        <v>not-provided</v>
      </c>
      <c r="I204" s="70" t="str">
        <f>if(iserror(vlookup('source-upstream'!I204,'data-cleansing-maps'!N$5:N$10,1,FALSE)),'source-upstream'!I204,"")</f>
        <v/>
      </c>
      <c r="J204" s="89" t="str">
        <f>'source-upstream'!J204</f>
        <v>No comments provided</v>
      </c>
      <c r="K204" s="70" t="str">
        <f>if('source-upstream'!K204="",'schema-yn'!$A$5,vlookup('source-upstream'!K204,YN_MAP,3,FALSE))</f>
        <v>not-provided</v>
      </c>
      <c r="L204" s="90" t="str">
        <f>if('source-upstream'!L204="Not provided","",'source-upstream'!L204)</f>
        <v/>
      </c>
      <c r="M204" s="65" t="str">
        <f>if('source-upstream'!M204="",'schema-rv-services'!$B$26,vlookup(vlookup('source-upstream'!$M204,'analysis-rv-services'!$C:$E,3,FALSE),'schema-rv-services'!$A:$B,2, FALSE))</f>
        <v>transport</v>
      </c>
      <c r="N204" s="70"/>
    </row>
    <row r="205" ht="15.0" customHeight="1">
      <c r="A205" s="88" t="str">
        <f>Substitute(SUBSTITUTE(substitute(substitute(substitute(substitute(substitute(substitute(substitute(lower('source-upstream'!A205)," ","-"),"(",""),")",""),"&gt;",""),"&lt;",""),"---","-"),".","-"),"--","-"),"&amp;","-and-")</f>
        <v>spotted-koala</v>
      </c>
      <c r="B205" s="88" t="str">
        <f>Substitute(SUBSTITUTE(substitute(substitute(substitute(substitute(substitute(substitute(substitute(lower('source-upstream'!B205)," ","-"),"(",""),")",""),"&gt;",""),"&lt;",""),"---","-"),".","-"),"--","-"),"&amp;","-and-")</f>
        <v>wild-numbat</v>
      </c>
      <c r="C205" s="70" t="str">
        <f>if('source-upstream'!C205="",'schema-frequency'!$B$11,vlookup('source-upstream'!C205,FREQUENCY_MAP, 3, FALSE))</f>
        <v>not-provided</v>
      </c>
      <c r="D205" s="89" t="str">
        <f>'source-upstream'!D205</f>
        <v>Not provided</v>
      </c>
      <c r="E205" s="70" t="str">
        <f>if('source-upstream'!E205="",'schema-yn'!$A$5,vlookup('source-upstream'!E205,YN_MAP,3,FALSE))</f>
        <v>not-provided</v>
      </c>
      <c r="F205" s="70" t="str">
        <f>if('source-upstream'!F205="",'schema-yn'!$A$5,vlookup('source-upstream'!F205,YN_MAP,3,FALSE))</f>
        <v>not-provided</v>
      </c>
      <c r="G205" s="70" t="str">
        <f>if('source-upstream'!G205="",'schema-yn'!$A$5,vlookup('source-upstream'!G205,YN_MAP,3,FALSE))</f>
        <v>not-provided</v>
      </c>
      <c r="H205" s="70" t="str">
        <f>if('source-upstream'!H205="",'schema-yn'!$A$5,vlookup('source-upstream'!H205,RESILIENCE_OPTION_MAP,3,FALSE))</f>
        <v>not-provided</v>
      </c>
      <c r="I205" s="70" t="str">
        <f>if(iserror(vlookup('source-upstream'!I205,'data-cleansing-maps'!N$5:N$10,1,FALSE)),'source-upstream'!I205,"")</f>
        <v/>
      </c>
      <c r="J205" s="89" t="str">
        <f>'source-upstream'!J205</f>
        <v>No comments provided</v>
      </c>
      <c r="K205" s="70" t="str">
        <f>if('source-upstream'!K205="",'schema-yn'!$A$5,vlookup('source-upstream'!K205,YN_MAP,3,FALSE))</f>
        <v>not-provided</v>
      </c>
      <c r="L205" s="90" t="str">
        <f>if('source-upstream'!L205="Not provided","",'source-upstream'!L205)</f>
        <v/>
      </c>
      <c r="M205" s="65" t="str">
        <f>if('source-upstream'!M205="",'schema-rv-services'!$B$26,vlookup(vlookup('source-upstream'!$M205,'analysis-rv-services'!$C:$E,3,FALSE),'schema-rv-services'!$A:$B,2, FALSE))</f>
        <v>not-provided</v>
      </c>
      <c r="N205" s="70"/>
    </row>
    <row r="206" ht="15.0" customHeight="1">
      <c r="A206" s="88" t="str">
        <f>Substitute(SUBSTITUTE(substitute(substitute(substitute(substitute(substitute(substitute(substitute(lower('source-upstream'!A206)," ","-"),"(",""),")",""),"&gt;",""),"&lt;",""),"---","-"),".","-"),"--","-"),"&amp;","-and-")</f>
        <v>spotted-koala</v>
      </c>
      <c r="B206" s="88" t="str">
        <f>Substitute(SUBSTITUTE(substitute(substitute(substitute(substitute(substitute(substitute(substitute(lower('source-upstream'!B206)," ","-"),"(",""),")",""),"&gt;",""),"&lt;",""),"---","-"),".","-"),"--","-"),"&amp;","-and-")</f>
        <v>shy-numbat</v>
      </c>
      <c r="C206" s="70" t="str">
        <f>if('source-upstream'!C206="",'schema-frequency'!$B$11,vlookup('source-upstream'!C206,FREQUENCY_MAP, 3, FALSE))</f>
        <v>not-provided</v>
      </c>
      <c r="D206" s="89" t="str">
        <f>'source-upstream'!D206</f>
        <v>Not provided</v>
      </c>
      <c r="E206" s="70" t="str">
        <f>if('source-upstream'!E206="",'schema-yn'!$A$5,vlookup('source-upstream'!E206,YN_MAP,3,FALSE))</f>
        <v>not-provided</v>
      </c>
      <c r="F206" s="70" t="str">
        <f>if('source-upstream'!F206="",'schema-yn'!$A$5,vlookup('source-upstream'!F206,YN_MAP,3,FALSE))</f>
        <v>not-provided</v>
      </c>
      <c r="G206" s="70" t="str">
        <f>if('source-upstream'!G206="",'schema-yn'!$A$5,vlookup('source-upstream'!G206,YN_MAP,3,FALSE))</f>
        <v>not-provided</v>
      </c>
      <c r="H206" s="70" t="str">
        <f>if('source-upstream'!H206="",'schema-yn'!$A$5,vlookup('source-upstream'!H206,RESILIENCE_OPTION_MAP,3,FALSE))</f>
        <v>not-provided</v>
      </c>
      <c r="I206" s="70" t="str">
        <f>if(iserror(vlookup('source-upstream'!I206,'data-cleansing-maps'!N$5:N$10,1,FALSE)),'source-upstream'!I206,"")</f>
        <v/>
      </c>
      <c r="J206" s="89" t="str">
        <f>'source-upstream'!J206</f>
        <v>No comments provided</v>
      </c>
      <c r="K206" s="70" t="str">
        <f>if('source-upstream'!K206="",'schema-yn'!$A$5,vlookup('source-upstream'!K206,YN_MAP,3,FALSE))</f>
        <v>not-provided</v>
      </c>
      <c r="L206" s="90" t="str">
        <f>if('source-upstream'!L206="Not provided","",'source-upstream'!L206)</f>
        <v/>
      </c>
      <c r="M206" s="65" t="str">
        <f>if('source-upstream'!M206="",'schema-rv-services'!$B$26,vlookup(vlookup('source-upstream'!$M206,'analysis-rv-services'!$C:$E,3,FALSE),'schema-rv-services'!$A:$B,2, FALSE))</f>
        <v>not-provided</v>
      </c>
      <c r="N206" s="70"/>
    </row>
    <row r="207" ht="15.0" customHeight="1">
      <c r="A207" s="88" t="str">
        <f>Substitute(SUBSTITUTE(substitute(substitute(substitute(substitute(substitute(substitute(substitute(lower('source-upstream'!A207)," ","-"),"(",""),")",""),"&gt;",""),"&lt;",""),"---","-"),".","-"),"--","-"),"&amp;","-and-")</f>
        <v>striped-frilled-neck-lizard</v>
      </c>
      <c r="B207" s="88" t="str">
        <f>Substitute(SUBSTITUTE(substitute(substitute(substitute(substitute(substitute(substitute(substitute(lower('source-upstream'!B207)," ","-"),"(",""),")",""),"&gt;",""),"&lt;",""),"---","-"),".","-"),"--","-"),"&amp;","-and-")</f>
        <v>noisy-possum</v>
      </c>
      <c r="C207" s="70" t="str">
        <f>if('source-upstream'!C207="",'schema-frequency'!$B$11,vlookup('source-upstream'!C207,FREQUENCY_MAP, 3, FALSE))</f>
        <v>not-provided</v>
      </c>
      <c r="D207" s="89" t="str">
        <f>'source-upstream'!D207</f>
        <v>Electricity</v>
      </c>
      <c r="E207" s="70" t="str">
        <f>if('source-upstream'!E207="",'schema-yn'!$A$5,vlookup('source-upstream'!E207,YN_MAP,3,FALSE))</f>
        <v>yes</v>
      </c>
      <c r="F207" s="70" t="str">
        <f>if('source-upstream'!F207="",'schema-yn'!$A$5,vlookup('source-upstream'!F207,YN_MAP,3,FALSE))</f>
        <v>yes</v>
      </c>
      <c r="G207" s="70" t="str">
        <f>if('source-upstream'!G207="",'schema-yn'!$A$5,vlookup('source-upstream'!G207,YN_MAP,3,FALSE))</f>
        <v>yes</v>
      </c>
      <c r="H207" s="70" t="str">
        <f>if('source-upstream'!H207="",'schema-yn'!$A$5,vlookup('source-upstream'!H207,RESILIENCE_OPTION_MAP,3,FALSE))</f>
        <v>bc-strategy</v>
      </c>
      <c r="I207" s="70" t="str">
        <f>if(iserror(vlookup('source-upstream'!I207,'data-cleansing-maps'!N$5:N$10,1,FALSE)),'source-upstream'!I207,"")</f>
        <v/>
      </c>
      <c r="J207" s="89" t="str">
        <f>'source-upstream'!J207</f>
        <v>Only basic operations would be performed</v>
      </c>
      <c r="K207" s="70" t="str">
        <f>if('source-upstream'!K207="",'schema-yn'!$A$5,vlookup('source-upstream'!K207,YN_MAP,3,FALSE))</f>
        <v>not-provided</v>
      </c>
      <c r="L207" s="90" t="str">
        <f>if('source-upstream'!L207="Not provided","",'source-upstream'!L207)</f>
        <v/>
      </c>
      <c r="M207" s="65" t="str">
        <f>if('source-upstream'!M207="",'schema-rv-services'!$B$26,vlookup(vlookup('source-upstream'!$M207,'analysis-rv-services'!$C:$E,3,FALSE),'schema-rv-services'!$A:$B,2, FALSE))</f>
        <v>power</v>
      </c>
      <c r="N207" s="70"/>
    </row>
    <row r="208" ht="15.0" customHeight="1">
      <c r="A208" s="88" t="str">
        <f>Substitute(SUBSTITUTE(substitute(substitute(substitute(substitute(substitute(substitute(substitute(lower('source-upstream'!A208)," ","-"),"(",""),")",""),"&gt;",""),"&lt;",""),"---","-"),".","-"),"--","-"),"&amp;","-and-")</f>
        <v>striped-frilled-neck-lizard</v>
      </c>
      <c r="B208" s="88" t="str">
        <f>Substitute(SUBSTITUTE(substitute(substitute(substitute(substitute(substitute(substitute(substitute(lower('source-upstream'!B208)," ","-"),"(",""),")",""),"&gt;",""),"&lt;",""),"---","-"),".","-"),"--","-"),"&amp;","-and-")</f>
        <v>wild-blue-tongue-skink</v>
      </c>
      <c r="C208" s="70" t="str">
        <f>if('source-upstream'!C208="",'schema-frequency'!$B$11,vlookup('source-upstream'!C208,FREQUENCY_MAP, 3, FALSE))</f>
        <v>ad-hoc</v>
      </c>
      <c r="D208" s="89" t="str">
        <f>'source-upstream'!D208</f>
        <v>Contamination clean up</v>
      </c>
      <c r="E208" s="70" t="str">
        <f>if('source-upstream'!E208="",'schema-yn'!$A$5,vlookup('source-upstream'!E208,YN_MAP,3,FALSE))</f>
        <v>yes</v>
      </c>
      <c r="F208" s="70" t="str">
        <f>if('source-upstream'!F208="",'schema-yn'!$A$5,vlookup('source-upstream'!F208,YN_MAP,3,FALSE))</f>
        <v>no</v>
      </c>
      <c r="G208" s="70" t="str">
        <f>if('source-upstream'!G208="",'schema-yn'!$A$5,vlookup('source-upstream'!G208,YN_MAP,3,FALSE))</f>
        <v>yes</v>
      </c>
      <c r="H208" s="70" t="str">
        <f>if('source-upstream'!H208="",'schema-yn'!$A$5,vlookup('source-upstream'!H208,RESILIENCE_OPTION_MAP,3,FALSE))</f>
        <v>alternative-supplier</v>
      </c>
      <c r="I208" s="70" t="str">
        <f>if(iserror(vlookup('source-upstream'!I208,'data-cleansing-maps'!N$5:N$10,1,FALSE)),'source-upstream'!I208,"")</f>
        <v/>
      </c>
      <c r="J208" s="89" t="str">
        <f>'source-upstream'!J208</f>
        <v>No comments provided</v>
      </c>
      <c r="K208" s="70" t="str">
        <f>if('source-upstream'!K208="",'schema-yn'!$A$5,vlookup('source-upstream'!K208,YN_MAP,3,FALSE))</f>
        <v>not-provided</v>
      </c>
      <c r="L208" s="90" t="str">
        <f>if('source-upstream'!L208="Not provided","",'source-upstream'!L208)</f>
        <v/>
      </c>
      <c r="M208" s="65" t="str">
        <f>if('source-upstream'!M208="",'schema-rv-services'!$B$26,vlookup(vlookup('source-upstream'!$M208,'analysis-rv-services'!$C:$E,3,FALSE),'schema-rv-services'!$A:$B,2, FALSE))</f>
        <v>cleaning</v>
      </c>
      <c r="N208" s="70"/>
    </row>
    <row r="209" ht="15.0" customHeight="1">
      <c r="A209" s="88" t="str">
        <f>Substitute(SUBSTITUTE(substitute(substitute(substitute(substitute(substitute(substitute(substitute(lower('source-upstream'!A209)," ","-"),"(",""),")",""),"&gt;",""),"&lt;",""),"---","-"),".","-"),"--","-"),"&amp;","-and-")</f>
        <v>striped-frilled-neck-lizard</v>
      </c>
      <c r="B209" s="88" t="str">
        <f>Substitute(SUBSTITUTE(substitute(substitute(substitute(substitute(substitute(substitute(substitute(lower('source-upstream'!B209)," ","-"),"(",""),")",""),"&gt;",""),"&lt;",""),"---","-"),".","-"),"--","-"),"&amp;","-and-")</f>
        <v>happy-frilled-neck-lizard</v>
      </c>
      <c r="C209" s="70" t="str">
        <f>if('source-upstream'!C209="",'schema-frequency'!$B$11,vlookup('source-upstream'!C209,FREQUENCY_MAP, 3, FALSE))</f>
        <v>ad-hoc</v>
      </c>
      <c r="D209" s="89" t="str">
        <f>'source-upstream'!D209</f>
        <v>Maintenance</v>
      </c>
      <c r="E209" s="70" t="str">
        <f>if('source-upstream'!E209="",'schema-yn'!$A$5,vlookup('source-upstream'!E209,YN_MAP,3,FALSE))</f>
        <v>yes</v>
      </c>
      <c r="F209" s="70" t="str">
        <f>if('source-upstream'!F209="",'schema-yn'!$A$5,vlookup('source-upstream'!F209,YN_MAP,3,FALSE))</f>
        <v>no</v>
      </c>
      <c r="G209" s="70" t="str">
        <f>if('source-upstream'!G209="",'schema-yn'!$A$5,vlookup('source-upstream'!G209,YN_MAP,3,FALSE))</f>
        <v>yes</v>
      </c>
      <c r="H209" s="70" t="str">
        <f>if('source-upstream'!H209="",'schema-yn'!$A$5,vlookup('source-upstream'!H209,RESILIENCE_OPTION_MAP,3,FALSE))</f>
        <v>alternative-supplier</v>
      </c>
      <c r="I209" s="70" t="str">
        <f>if(iserror(vlookup('source-upstream'!I209,'data-cleansing-maps'!N$5:N$10,1,FALSE)),'source-upstream'!I209,"")</f>
        <v/>
      </c>
      <c r="J209" s="89" t="str">
        <f>'source-upstream'!J209</f>
        <v>No comments provided</v>
      </c>
      <c r="K209" s="70" t="str">
        <f>if('source-upstream'!K209="",'schema-yn'!$A$5,vlookup('source-upstream'!K209,YN_MAP,3,FALSE))</f>
        <v>not-provided</v>
      </c>
      <c r="L209" s="90" t="str">
        <f>if('source-upstream'!L209="Not provided","",'source-upstream'!L209)</f>
        <v/>
      </c>
      <c r="M209" s="65" t="str">
        <f>if('source-upstream'!M209="",'schema-rv-services'!$B$26,vlookup(vlookup('source-upstream'!$M209,'analysis-rv-services'!$C:$E,3,FALSE),'schema-rv-services'!$A:$B,2, FALSE))</f>
        <v>repairs-and-maintenance</v>
      </c>
      <c r="N209" s="70"/>
    </row>
    <row r="210" ht="15.0" customHeight="1">
      <c r="A210" s="88" t="str">
        <f>Substitute(SUBSTITUTE(substitute(substitute(substitute(substitute(substitute(substitute(substitute(lower('source-upstream'!A210)," ","-"),"(",""),")",""),"&gt;",""),"&lt;",""),"---","-"),".","-"),"--","-"),"&amp;","-and-")</f>
        <v>striped-frilled-neck-lizard</v>
      </c>
      <c r="B210" s="88" t="str">
        <f>Substitute(SUBSTITUTE(substitute(substitute(substitute(substitute(substitute(substitute(substitute(lower('source-upstream'!B210)," ","-"),"(",""),")",""),"&gt;",""),"&lt;",""),"---","-"),".","-"),"--","-"),"&amp;","-and-")</f>
        <v>wild-quokka</v>
      </c>
      <c r="C210" s="70" t="str">
        <f>if('source-upstream'!C210="",'schema-frequency'!$B$11,vlookup('source-upstream'!C210,FREQUENCY_MAP, 3, FALSE))</f>
        <v>not-provided</v>
      </c>
      <c r="D210" s="89" t="str">
        <f>'source-upstream'!D210</f>
        <v>Containers</v>
      </c>
      <c r="E210" s="70" t="str">
        <f>if('source-upstream'!E210="",'schema-yn'!$A$5,vlookup('source-upstream'!E210,YN_MAP,3,FALSE))</f>
        <v>yes</v>
      </c>
      <c r="F210" s="70" t="str">
        <f>if('source-upstream'!F210="",'schema-yn'!$A$5,vlookup('source-upstream'!F210,YN_MAP,3,FALSE))</f>
        <v>no</v>
      </c>
      <c r="G210" s="70" t="str">
        <f>if('source-upstream'!G210="",'schema-yn'!$A$5,vlookup('source-upstream'!G210,YN_MAP,3,FALSE))</f>
        <v>yes</v>
      </c>
      <c r="H210" s="70" t="str">
        <f>if('source-upstream'!H210="",'schema-yn'!$A$5,vlookup('source-upstream'!H210,RESILIENCE_OPTION_MAP,3,FALSE))</f>
        <v>alternative-supplier</v>
      </c>
      <c r="I210" s="70" t="str">
        <f>if(iserror(vlookup('source-upstream'!I210,'data-cleansing-maps'!N$5:N$10,1,FALSE)),'source-upstream'!I210,"")</f>
        <v/>
      </c>
      <c r="J210" s="89" t="str">
        <f>'source-upstream'!J210</f>
        <v>No comments provided</v>
      </c>
      <c r="K210" s="70" t="str">
        <f>if('source-upstream'!K210="",'schema-yn'!$A$5,vlookup('source-upstream'!K210,YN_MAP,3,FALSE))</f>
        <v>not-provided</v>
      </c>
      <c r="L210" s="90" t="str">
        <f>if('source-upstream'!L210="Not provided","",'source-upstream'!L210)</f>
        <v/>
      </c>
      <c r="M210" s="65" t="str">
        <f>if('source-upstream'!M210="",'schema-rv-services'!$B$26,vlookup(vlookup('source-upstream'!$M210,'analysis-rv-services'!$C:$E,3,FALSE),'schema-rv-services'!$A:$B,2, FALSE))</f>
        <v>plant-and-equipment</v>
      </c>
      <c r="N210" s="70"/>
    </row>
    <row r="211" ht="15.0" customHeight="1">
      <c r="A211" s="88" t="str">
        <f>Substitute(SUBSTITUTE(substitute(substitute(substitute(substitute(substitute(substitute(substitute(lower('source-upstream'!A211)," ","-"),"(",""),")",""),"&gt;",""),"&lt;",""),"---","-"),".","-"),"--","-"),"&amp;","-and-")</f>
        <v>striped-koala</v>
      </c>
      <c r="B211" s="88" t="str">
        <f>Substitute(SUBSTITUTE(substitute(substitute(substitute(substitute(substitute(substitute(substitute(lower('source-upstream'!B211)," ","-"),"(",""),")",""),"&gt;",""),"&lt;",""),"---","-"),".","-"),"--","-"),"&amp;","-and-")</f>
        <v>fuzzy-sugar-glider</v>
      </c>
      <c r="C211" s="70" t="str">
        <f>if('source-upstream'!C211="",'schema-frequency'!$B$11,vlookup('source-upstream'!C211,FREQUENCY_MAP, 3, FALSE))</f>
        <v>not-provided</v>
      </c>
      <c r="D211" s="89" t="str">
        <f>'source-upstream'!D211</f>
        <v>Freight Management</v>
      </c>
      <c r="E211" s="70" t="str">
        <f>if('source-upstream'!E211="",'schema-yn'!$A$5,vlookup('source-upstream'!E211,YN_MAP,3,FALSE))</f>
        <v>yes</v>
      </c>
      <c r="F211" s="70" t="str">
        <f>if('source-upstream'!F211="",'schema-yn'!$A$5,vlookup('source-upstream'!F211,YN_MAP,3,FALSE))</f>
        <v>not-provided</v>
      </c>
      <c r="G211" s="70" t="str">
        <f>if('source-upstream'!G211="",'schema-yn'!$A$5,vlookup('source-upstream'!G211,YN_MAP,3,FALSE))</f>
        <v>yes</v>
      </c>
      <c r="H211" s="70" t="str">
        <f>if('source-upstream'!H211="",'schema-yn'!$A$5,vlookup('source-upstream'!H211,RESILIENCE_OPTION_MAP,3,FALSE))</f>
        <v>alternative-supplier</v>
      </c>
      <c r="I211" s="70" t="str">
        <f>if(iserror(vlookup('source-upstream'!I211,'data-cleansing-maps'!N$5:N$10,1,FALSE)),'source-upstream'!I211,"")</f>
        <v/>
      </c>
      <c r="J211" s="89" t="str">
        <f>'source-upstream'!J211</f>
        <v>possible short term down time</v>
      </c>
      <c r="K211" s="70" t="str">
        <f>if('source-upstream'!K211="",'schema-yn'!$A$5,vlookup('source-upstream'!K211,YN_MAP,3,FALSE))</f>
        <v>not-provided</v>
      </c>
      <c r="L211" s="90" t="str">
        <f>if('source-upstream'!L211="Not provided","",'source-upstream'!L211)</f>
        <v/>
      </c>
      <c r="M211" s="65" t="str">
        <f>if('source-upstream'!M211="",'schema-rv-services'!$B$26,vlookup(vlookup('source-upstream'!$M211,'analysis-rv-services'!$C:$E,3,FALSE),'schema-rv-services'!$A:$B,2, FALSE))</f>
        <v>transport</v>
      </c>
      <c r="N211" s="70"/>
    </row>
    <row r="212" ht="15.0" customHeight="1">
      <c r="A212" s="88" t="str">
        <f>Substitute(SUBSTITUTE(substitute(substitute(substitute(substitute(substitute(substitute(substitute(lower('source-upstream'!A212)," ","-"),"(",""),")",""),"&gt;",""),"&lt;",""),"---","-"),".","-"),"--","-"),"&amp;","-and-")</f>
        <v>striped-koala</v>
      </c>
      <c r="B212" s="88" t="str">
        <f>Substitute(SUBSTITUTE(substitute(substitute(substitute(substitute(substitute(substitute(substitute(lower('source-upstream'!B212)," ","-"),"(",""),")",""),"&gt;",""),"&lt;",""),"---","-"),".","-"),"--","-"),"&amp;","-and-")</f>
        <v>giant-dingo</v>
      </c>
      <c r="C212" s="70" t="str">
        <f>if('source-upstream'!C212="",'schema-frequency'!$B$11,vlookup('source-upstream'!C212,FREQUENCY_MAP, 3, FALSE))</f>
        <v>not-provided</v>
      </c>
      <c r="D212" s="89" t="str">
        <f>'source-upstream'!D212</f>
        <v>Transport</v>
      </c>
      <c r="E212" s="70" t="str">
        <f>if('source-upstream'!E212="",'schema-yn'!$A$5,vlookup('source-upstream'!E212,YN_MAP,3,FALSE))</f>
        <v>yes</v>
      </c>
      <c r="F212" s="70" t="str">
        <f>if('source-upstream'!F212="",'schema-yn'!$A$5,vlookup('source-upstream'!F212,YN_MAP,3,FALSE))</f>
        <v>not-provided</v>
      </c>
      <c r="G212" s="70" t="str">
        <f>if('source-upstream'!G212="",'schema-yn'!$A$5,vlookup('source-upstream'!G212,YN_MAP,3,FALSE))</f>
        <v>yes</v>
      </c>
      <c r="H212" s="70" t="str">
        <f>if('source-upstream'!H212="",'schema-yn'!$A$5,vlookup('source-upstream'!H212,RESILIENCE_OPTION_MAP,3,FALSE))</f>
        <v>alternative-supplier</v>
      </c>
      <c r="I212" s="70" t="str">
        <f>if(iserror(vlookup('source-upstream'!I212,'data-cleansing-maps'!N$5:N$10,1,FALSE)),'source-upstream'!I212,"")</f>
        <v/>
      </c>
      <c r="J212" s="89" t="str">
        <f>'source-upstream'!J212</f>
        <v>possible short term down time</v>
      </c>
      <c r="K212" s="70" t="str">
        <f>if('source-upstream'!K212="",'schema-yn'!$A$5,vlookup('source-upstream'!K212,YN_MAP,3,FALSE))</f>
        <v>not-provided</v>
      </c>
      <c r="L212" s="90" t="str">
        <f>if('source-upstream'!L212="Not provided","",'source-upstream'!L212)</f>
        <v/>
      </c>
      <c r="M212" s="65" t="str">
        <f>if('source-upstream'!M212="",'schema-rv-services'!$B$26,vlookup(vlookup('source-upstream'!$M212,'analysis-rv-services'!$C:$E,3,FALSE),'schema-rv-services'!$A:$B,2, FALSE))</f>
        <v>transport</v>
      </c>
      <c r="N212" s="70"/>
    </row>
    <row r="213" ht="15.0" customHeight="1">
      <c r="A213" s="88" t="str">
        <f>Substitute(SUBSTITUTE(substitute(substitute(substitute(substitute(substitute(substitute(substitute(lower('source-upstream'!A213)," ","-"),"(",""),")",""),"&gt;",""),"&lt;",""),"---","-"),".","-"),"--","-"),"&amp;","-and-")</f>
        <v>striped-koala</v>
      </c>
      <c r="B213" s="88" t="str">
        <f>Substitute(SUBSTITUTE(substitute(substitute(substitute(substitute(substitute(substitute(substitute(lower('source-upstream'!B213)," ","-"),"(",""),")",""),"&gt;",""),"&lt;",""),"---","-"),".","-"),"--","-"),"&amp;","-and-")</f>
        <v>sleepy-wombat</v>
      </c>
      <c r="C213" s="70" t="str">
        <f>if('source-upstream'!C213="",'schema-frequency'!$B$11,vlookup('source-upstream'!C213,FREQUENCY_MAP, 3, FALSE))</f>
        <v>not-provided</v>
      </c>
      <c r="D213" s="89" t="str">
        <f>'source-upstream'!D213</f>
        <v>ERP System Provider</v>
      </c>
      <c r="E213" s="70" t="str">
        <f>if('source-upstream'!E213="",'schema-yn'!$A$5,vlookup('source-upstream'!E213,YN_MAP,3,FALSE))</f>
        <v>yes</v>
      </c>
      <c r="F213" s="70" t="str">
        <f>if('source-upstream'!F213="",'schema-yn'!$A$5,vlookup('source-upstream'!F213,YN_MAP,3,FALSE))</f>
        <v>not-provided</v>
      </c>
      <c r="G213" s="70" t="str">
        <f>if('source-upstream'!G213="",'schema-yn'!$A$5,vlookup('source-upstream'!G213,YN_MAP,3,FALSE))</f>
        <v>yes</v>
      </c>
      <c r="H213" s="70" t="str">
        <f>if('source-upstream'!H213="",'schema-yn'!$A$5,vlookup('source-upstream'!H213,RESILIENCE_OPTION_MAP,3,FALSE))</f>
        <v>alternative-supplier</v>
      </c>
      <c r="I213" s="70" t="str">
        <f>if(iserror(vlookup('source-upstream'!I213,'data-cleansing-maps'!N$5:N$10,1,FALSE)),'source-upstream'!I213,"")</f>
        <v/>
      </c>
      <c r="J213" s="89" t="str">
        <f>'source-upstream'!J213</f>
        <v>possible short term down time</v>
      </c>
      <c r="K213" s="70" t="str">
        <f>if('source-upstream'!K213="",'schema-yn'!$A$5,vlookup('source-upstream'!K213,YN_MAP,3,FALSE))</f>
        <v>not-provided</v>
      </c>
      <c r="L213" s="90" t="str">
        <f>if('source-upstream'!L213="Not provided","",'source-upstream'!L213)</f>
        <v/>
      </c>
      <c r="M213" s="65" t="str">
        <f>if('source-upstream'!M213="",'schema-rv-services'!$B$26,vlookup(vlookup('source-upstream'!$M213,'analysis-rv-services'!$C:$E,3,FALSE),'schema-rv-services'!$A:$B,2, FALSE))</f>
        <v>techonology</v>
      </c>
      <c r="N213" s="70"/>
    </row>
    <row r="214" ht="15.0" customHeight="1">
      <c r="A214" s="88" t="str">
        <f>Substitute(SUBSTITUTE(substitute(substitute(substitute(substitute(substitute(substitute(substitute(lower('source-upstream'!A214)," ","-"),"(",""),")",""),"&gt;",""),"&lt;",""),"---","-"),".","-"),"--","-"),"&amp;","-and-")</f>
        <v>striped-koala</v>
      </c>
      <c r="B214" s="88" t="str">
        <f>Substitute(SUBSTITUTE(substitute(substitute(substitute(substitute(substitute(substitute(substitute(lower('source-upstream'!B214)," ","-"),"(",""),")",""),"&gt;",""),"&lt;",""),"---","-"),".","-"),"--","-"),"&amp;","-and-")</f>
        <v>red-koala</v>
      </c>
      <c r="C214" s="70" t="str">
        <f>if('source-upstream'!C214="",'schema-frequency'!$B$11,vlookup('source-upstream'!C214,FREQUENCY_MAP, 3, FALSE))</f>
        <v>not-provided</v>
      </c>
      <c r="D214" s="89" t="str">
        <f>'source-upstream'!D214</f>
        <v>Diesel Supplier</v>
      </c>
      <c r="E214" s="70" t="str">
        <f>if('source-upstream'!E214="",'schema-yn'!$A$5,vlookup('source-upstream'!E214,YN_MAP,3,FALSE))</f>
        <v>yes</v>
      </c>
      <c r="F214" s="70" t="str">
        <f>if('source-upstream'!F214="",'schema-yn'!$A$5,vlookup('source-upstream'!F214,YN_MAP,3,FALSE))</f>
        <v>not-provided</v>
      </c>
      <c r="G214" s="70" t="str">
        <f>if('source-upstream'!G214="",'schema-yn'!$A$5,vlookup('source-upstream'!G214,YN_MAP,3,FALSE))</f>
        <v>yes</v>
      </c>
      <c r="H214" s="70" t="str">
        <f>if('source-upstream'!H214="",'schema-yn'!$A$5,vlookup('source-upstream'!H214,RESILIENCE_OPTION_MAP,3,FALSE))</f>
        <v>alternative-supplier</v>
      </c>
      <c r="I214" s="70" t="str">
        <f>if(iserror(vlookup('source-upstream'!I214,'data-cleansing-maps'!N$5:N$10,1,FALSE)),'source-upstream'!I214,"")</f>
        <v/>
      </c>
      <c r="J214" s="89" t="str">
        <f>'source-upstream'!J214</f>
        <v>possible short term down time</v>
      </c>
      <c r="K214" s="70" t="str">
        <f>if('source-upstream'!K214="",'schema-yn'!$A$5,vlookup('source-upstream'!K214,YN_MAP,3,FALSE))</f>
        <v>not-provided</v>
      </c>
      <c r="L214" s="90" t="str">
        <f>if('source-upstream'!L214="Not provided","",'source-upstream'!L214)</f>
        <v/>
      </c>
      <c r="M214" s="65" t="str">
        <f>if('source-upstream'!M214="",'schema-rv-services'!$B$26,vlookup(vlookup('source-upstream'!$M214,'analysis-rv-services'!$C:$E,3,FALSE),'schema-rv-services'!$A:$B,2, FALSE))</f>
        <v>fuel</v>
      </c>
      <c r="N214" s="70"/>
    </row>
    <row r="215" ht="15.0" customHeight="1">
      <c r="A215" s="88" t="str">
        <f>Substitute(SUBSTITUTE(substitute(substitute(substitute(substitute(substitute(substitute(substitute(lower('source-upstream'!A215)," ","-"),"(",""),")",""),"&gt;",""),"&lt;",""),"---","-"),".","-"),"--","-"),"&amp;","-and-")</f>
        <v>striped-koala</v>
      </c>
      <c r="B215" s="88" t="str">
        <f>Substitute(SUBSTITUTE(substitute(substitute(substitute(substitute(substitute(substitute(substitute(lower('source-upstream'!B215)," ","-"),"(",""),")",""),"&gt;",""),"&lt;",""),"---","-"),".","-"),"--","-"),"&amp;","-and-")</f>
        <v>tiny-cockatoo</v>
      </c>
      <c r="C215" s="70" t="str">
        <f>if('source-upstream'!C215="",'schema-frequency'!$B$11,vlookup('source-upstream'!C215,FREQUENCY_MAP, 3, FALSE))</f>
        <v>not-provided</v>
      </c>
      <c r="D215" s="89" t="str">
        <f>'source-upstream'!D215</f>
        <v>LPG Gas Provider</v>
      </c>
      <c r="E215" s="70" t="str">
        <f>if('source-upstream'!E215="",'schema-yn'!$A$5,vlookup('source-upstream'!E215,YN_MAP,3,FALSE))</f>
        <v>no</v>
      </c>
      <c r="F215" s="70" t="str">
        <f>if('source-upstream'!F215="",'schema-yn'!$A$5,vlookup('source-upstream'!F215,YN_MAP,3,FALSE))</f>
        <v>not-provided</v>
      </c>
      <c r="G215" s="70" t="str">
        <f>if('source-upstream'!G215="",'schema-yn'!$A$5,vlookup('source-upstream'!G215,YN_MAP,3,FALSE))</f>
        <v>yes</v>
      </c>
      <c r="H215" s="70" t="str">
        <f>if('source-upstream'!H215="",'schema-yn'!$A$5,vlookup('source-upstream'!H215,RESILIENCE_OPTION_MAP,3,FALSE))</f>
        <v>alternative-supplier</v>
      </c>
      <c r="I215" s="70" t="str">
        <f>if(iserror(vlookup('source-upstream'!I215,'data-cleansing-maps'!N$5:N$10,1,FALSE)),'source-upstream'!I215,"")</f>
        <v/>
      </c>
      <c r="J215" s="89" t="str">
        <f>'source-upstream'!J215</f>
        <v>possible short term down time</v>
      </c>
      <c r="K215" s="70" t="str">
        <f>if('source-upstream'!K215="",'schema-yn'!$A$5,vlookup('source-upstream'!K215,YN_MAP,3,FALSE))</f>
        <v>not-provided</v>
      </c>
      <c r="L215" s="90" t="str">
        <f>if('source-upstream'!L215="Not provided","",'source-upstream'!L215)</f>
        <v/>
      </c>
      <c r="M215" s="65" t="str">
        <f>if('source-upstream'!M215="",'schema-rv-services'!$B$26,vlookup(vlookup('source-upstream'!$M215,'analysis-rv-services'!$C:$E,3,FALSE),'schema-rv-services'!$A:$B,2, FALSE))</f>
        <v>fuel</v>
      </c>
      <c r="N215" s="70"/>
    </row>
    <row r="216" ht="15.0" customHeight="1">
      <c r="A216" s="88" t="str">
        <f>Substitute(SUBSTITUTE(substitute(substitute(substitute(substitute(substitute(substitute(substitute(lower('source-upstream'!A216)," ","-"),"(",""),")",""),"&gt;",""),"&lt;",""),"---","-"),".","-"),"--","-"),"&amp;","-and-")</f>
        <v>striped-koala</v>
      </c>
      <c r="B216" s="88" t="str">
        <f>Substitute(SUBSTITUTE(substitute(substitute(substitute(substitute(substitute(substitute(substitute(lower('source-upstream'!B216)," ","-"),"(",""),")",""),"&gt;",""),"&lt;",""),"---","-"),".","-"),"--","-"),"&amp;","-and-")</f>
        <v>red-numbat</v>
      </c>
      <c r="C216" s="70" t="str">
        <f>if('source-upstream'!C216="",'schema-frequency'!$B$11,vlookup('source-upstream'!C216,FREQUENCY_MAP, 3, FALSE))</f>
        <v>not-provided</v>
      </c>
      <c r="D216" s="89" t="str">
        <f>'source-upstream'!D216</f>
        <v>Ewaste</v>
      </c>
      <c r="E216" s="70" t="str">
        <f>if('source-upstream'!E216="",'schema-yn'!$A$5,vlookup('source-upstream'!E216,YN_MAP,3,FALSE))</f>
        <v>not-provided</v>
      </c>
      <c r="F216" s="70" t="str">
        <f>if('source-upstream'!F216="",'schema-yn'!$A$5,vlookup('source-upstream'!F216,YN_MAP,3,FALSE))</f>
        <v>not-provided</v>
      </c>
      <c r="G216" s="70" t="str">
        <f>if('source-upstream'!G216="",'schema-yn'!$A$5,vlookup('source-upstream'!G216,YN_MAP,3,FALSE))</f>
        <v>not-provided</v>
      </c>
      <c r="H216" s="70" t="str">
        <f>if('source-upstream'!H216="",'schema-yn'!$A$5,vlookup('source-upstream'!H216,RESILIENCE_OPTION_MAP,3,FALSE))</f>
        <v>alternative-supplier</v>
      </c>
      <c r="I216" s="70" t="str">
        <f>if(iserror(vlookup('source-upstream'!I216,'data-cleansing-maps'!N$5:N$10,1,FALSE)),'source-upstream'!I216,"")</f>
        <v/>
      </c>
      <c r="J216" s="89" t="str">
        <f>'source-upstream'!J216</f>
        <v>Not provided</v>
      </c>
      <c r="K216" s="70" t="str">
        <f>if('source-upstream'!K216="",'schema-yn'!$A$5,vlookup('source-upstream'!K216,YN_MAP,3,FALSE))</f>
        <v>no</v>
      </c>
      <c r="L216" s="90" t="str">
        <f>if('source-upstream'!L216="Not provided","",'source-upstream'!L216)</f>
        <v/>
      </c>
      <c r="M216" s="65" t="str">
        <f>if('source-upstream'!M216="",'schema-rv-services'!$B$26,vlookup(vlookup('source-upstream'!$M216,'analysis-rv-services'!$C:$E,3,FALSE),'schema-rv-services'!$A:$B,2, FALSE))</f>
        <v>feedstock</v>
      </c>
      <c r="N216" s="70"/>
    </row>
    <row r="217" ht="15.0" customHeight="1">
      <c r="A217" s="88" t="str">
        <f>Substitute(SUBSTITUTE(substitute(substitute(substitute(substitute(substitute(substitute(substitute(lower('source-upstream'!A217)," ","-"),"(",""),")",""),"&gt;",""),"&lt;",""),"---","-"),".","-"),"--","-"),"&amp;","-and-")</f>
        <v>striped-koala</v>
      </c>
      <c r="B217" s="88" t="str">
        <f>Substitute(SUBSTITUTE(substitute(substitute(substitute(substitute(substitute(substitute(substitute(lower('source-upstream'!B217)," ","-"),"(",""),")",""),"&gt;",""),"&lt;",""),"---","-"),".","-"),"--","-"),"&amp;","-and-")</f>
        <v>red-numbat</v>
      </c>
      <c r="C217" s="70" t="str">
        <f>if('source-upstream'!C217="",'schema-frequency'!$B$11,vlookup('source-upstream'!C217,FREQUENCY_MAP, 3, FALSE))</f>
        <v>not-provided</v>
      </c>
      <c r="D217" s="89" t="str">
        <f>'source-upstream'!D217</f>
        <v>Ewaste</v>
      </c>
      <c r="E217" s="70" t="str">
        <f>if('source-upstream'!E217="",'schema-yn'!$A$5,vlookup('source-upstream'!E217,YN_MAP,3,FALSE))</f>
        <v>not-provided</v>
      </c>
      <c r="F217" s="70" t="str">
        <f>if('source-upstream'!F217="",'schema-yn'!$A$5,vlookup('source-upstream'!F217,YN_MAP,3,FALSE))</f>
        <v>not-provided</v>
      </c>
      <c r="G217" s="70" t="str">
        <f>if('source-upstream'!G217="",'schema-yn'!$A$5,vlookup('source-upstream'!G217,YN_MAP,3,FALSE))</f>
        <v>not-provided</v>
      </c>
      <c r="H217" s="70" t="str">
        <f>if('source-upstream'!H217="",'schema-yn'!$A$5,vlookup('source-upstream'!H217,RESILIENCE_OPTION_MAP,3,FALSE))</f>
        <v>alternative-supplier</v>
      </c>
      <c r="I217" s="70" t="str">
        <f>if(iserror(vlookup('source-upstream'!I217,'data-cleansing-maps'!N$5:N$10,1,FALSE)),'source-upstream'!I217,"")</f>
        <v/>
      </c>
      <c r="J217" s="89" t="str">
        <f>'source-upstream'!J217</f>
        <v>Not provided</v>
      </c>
      <c r="K217" s="70" t="str">
        <f>if('source-upstream'!K217="",'schema-yn'!$A$5,vlookup('source-upstream'!K217,YN_MAP,3,FALSE))</f>
        <v>no</v>
      </c>
      <c r="L217" s="90" t="str">
        <f>if('source-upstream'!L217="Not provided","",'source-upstream'!L217)</f>
        <v/>
      </c>
      <c r="M217" s="65" t="str">
        <f>if('source-upstream'!M217="",'schema-rv-services'!$B$26,vlookup(vlookup('source-upstream'!$M217,'analysis-rv-services'!$C:$E,3,FALSE),'schema-rv-services'!$A:$B,2, FALSE))</f>
        <v>feedstock</v>
      </c>
      <c r="N217" s="70"/>
    </row>
    <row r="218" ht="15.0" customHeight="1">
      <c r="A218" s="88" t="str">
        <f>Substitute(SUBSTITUTE(substitute(substitute(substitute(substitute(substitute(substitute(substitute(lower('source-upstream'!A218)," ","-"),"(",""),")",""),"&gt;",""),"&lt;",""),"---","-"),".","-"),"--","-"),"&amp;","-and-")</f>
        <v>striped-koala</v>
      </c>
      <c r="B218" s="88" t="str">
        <f>Substitute(SUBSTITUTE(substitute(substitute(substitute(substitute(substitute(substitute(substitute(lower('source-upstream'!B218)," ","-"),"(",""),")",""),"&gt;",""),"&lt;",""),"---","-"),".","-"),"--","-"),"&amp;","-and-")</f>
        <v>red-numbat</v>
      </c>
      <c r="C218" s="70" t="str">
        <f>if('source-upstream'!C218="",'schema-frequency'!$B$11,vlookup('source-upstream'!C218,FREQUENCY_MAP, 3, FALSE))</f>
        <v>not-provided</v>
      </c>
      <c r="D218" s="89" t="str">
        <f>'source-upstream'!D218</f>
        <v>Ewaste</v>
      </c>
      <c r="E218" s="70" t="str">
        <f>if('source-upstream'!E218="",'schema-yn'!$A$5,vlookup('source-upstream'!E218,YN_MAP,3,FALSE))</f>
        <v>not-provided</v>
      </c>
      <c r="F218" s="70" t="str">
        <f>if('source-upstream'!F218="",'schema-yn'!$A$5,vlookup('source-upstream'!F218,YN_MAP,3,FALSE))</f>
        <v>not-provided</v>
      </c>
      <c r="G218" s="70" t="str">
        <f>if('source-upstream'!G218="",'schema-yn'!$A$5,vlookup('source-upstream'!G218,YN_MAP,3,FALSE))</f>
        <v>not-provided</v>
      </c>
      <c r="H218" s="70" t="str">
        <f>if('source-upstream'!H218="",'schema-yn'!$A$5,vlookup('source-upstream'!H218,RESILIENCE_OPTION_MAP,3,FALSE))</f>
        <v>alternative-supplier</v>
      </c>
      <c r="I218" s="70" t="str">
        <f>if(iserror(vlookup('source-upstream'!I218,'data-cleansing-maps'!N$5:N$10,1,FALSE)),'source-upstream'!I218,"")</f>
        <v/>
      </c>
      <c r="J218" s="89" t="str">
        <f>'source-upstream'!J218</f>
        <v>Not provided</v>
      </c>
      <c r="K218" s="70" t="str">
        <f>if('source-upstream'!K218="",'schema-yn'!$A$5,vlookup('source-upstream'!K218,YN_MAP,3,FALSE))</f>
        <v>no</v>
      </c>
      <c r="L218" s="90" t="str">
        <f>if('source-upstream'!L218="Not provided","",'source-upstream'!L218)</f>
        <v/>
      </c>
      <c r="M218" s="65" t="str">
        <f>if('source-upstream'!M218="",'schema-rv-services'!$B$26,vlookup(vlookup('source-upstream'!$M218,'analysis-rv-services'!$C:$E,3,FALSE),'schema-rv-services'!$A:$B,2, FALSE))</f>
        <v>feedstock</v>
      </c>
      <c r="N218" s="70"/>
    </row>
    <row r="219" ht="15.0" customHeight="1">
      <c r="A219" s="88" t="str">
        <f>Substitute(SUBSTITUTE(substitute(substitute(substitute(substitute(substitute(substitute(substitute(lower('source-upstream'!A219)," ","-"),"(",""),")",""),"&gt;",""),"&lt;",""),"---","-"),".","-"),"--","-"),"&amp;","-and-")</f>
        <v>striped-koala</v>
      </c>
      <c r="B219" s="88" t="str">
        <f>Substitute(SUBSTITUTE(substitute(substitute(substitute(substitute(substitute(substitute(substitute(lower('source-upstream'!B219)," ","-"),"(",""),")",""),"&gt;",""),"&lt;",""),"---","-"),".","-"),"--","-"),"&amp;","-and-")</f>
        <v>red-numbat</v>
      </c>
      <c r="C219" s="70" t="str">
        <f>if('source-upstream'!C219="",'schema-frequency'!$B$11,vlookup('source-upstream'!C219,FREQUENCY_MAP, 3, FALSE))</f>
        <v>not-provided</v>
      </c>
      <c r="D219" s="89" t="str">
        <f>'source-upstream'!D219</f>
        <v>Ewaste</v>
      </c>
      <c r="E219" s="70" t="str">
        <f>if('source-upstream'!E219="",'schema-yn'!$A$5,vlookup('source-upstream'!E219,YN_MAP,3,FALSE))</f>
        <v>not-provided</v>
      </c>
      <c r="F219" s="70" t="str">
        <f>if('source-upstream'!F219="",'schema-yn'!$A$5,vlookup('source-upstream'!F219,YN_MAP,3,FALSE))</f>
        <v>not-provided</v>
      </c>
      <c r="G219" s="70" t="str">
        <f>if('source-upstream'!G219="",'schema-yn'!$A$5,vlookup('source-upstream'!G219,YN_MAP,3,FALSE))</f>
        <v>not-provided</v>
      </c>
      <c r="H219" s="70" t="str">
        <f>if('source-upstream'!H219="",'schema-yn'!$A$5,vlookup('source-upstream'!H219,RESILIENCE_OPTION_MAP,3,FALSE))</f>
        <v>alternative-supplier</v>
      </c>
      <c r="I219" s="70" t="str">
        <f>if(iserror(vlookup('source-upstream'!I219,'data-cleansing-maps'!N$5:N$10,1,FALSE)),'source-upstream'!I219,"")</f>
        <v/>
      </c>
      <c r="J219" s="89" t="str">
        <f>'source-upstream'!J219</f>
        <v>Not provided</v>
      </c>
      <c r="K219" s="70" t="str">
        <f>if('source-upstream'!K219="",'schema-yn'!$A$5,vlookup('source-upstream'!K219,YN_MAP,3,FALSE))</f>
        <v>no</v>
      </c>
      <c r="L219" s="90" t="str">
        <f>if('source-upstream'!L219="Not provided","",'source-upstream'!L219)</f>
        <v/>
      </c>
      <c r="M219" s="65" t="str">
        <f>if('source-upstream'!M219="",'schema-rv-services'!$B$26,vlookup(vlookup('source-upstream'!$M219,'analysis-rv-services'!$C:$E,3,FALSE),'schema-rv-services'!$A:$B,2, FALSE))</f>
        <v>feedstock</v>
      </c>
      <c r="N219" s="70"/>
    </row>
    <row r="220" ht="15.0" customHeight="1">
      <c r="A220" s="88" t="str">
        <f>Substitute(SUBSTITUTE(substitute(substitute(substitute(substitute(substitute(substitute(substitute(lower('source-upstream'!A220)," ","-"),"(",""),")",""),"&gt;",""),"&lt;",""),"---","-"),".","-"),"--","-"),"&amp;","-and-")</f>
        <v>striped-koala</v>
      </c>
      <c r="B220" s="88" t="str">
        <f>Substitute(SUBSTITUTE(substitute(substitute(substitute(substitute(substitute(substitute(substitute(lower('source-upstream'!B220)," ","-"),"(",""),")",""),"&gt;",""),"&lt;",""),"---","-"),".","-"),"--","-"),"&amp;","-and-")</f>
        <v>red-numbat</v>
      </c>
      <c r="C220" s="70" t="str">
        <f>if('source-upstream'!C220="",'schema-frequency'!$B$11,vlookup('source-upstream'!C220,FREQUENCY_MAP, 3, FALSE))</f>
        <v>not-provided</v>
      </c>
      <c r="D220" s="89" t="str">
        <f>'source-upstream'!D220</f>
        <v>Ewaste</v>
      </c>
      <c r="E220" s="70" t="str">
        <f>if('source-upstream'!E220="",'schema-yn'!$A$5,vlookup('source-upstream'!E220,YN_MAP,3,FALSE))</f>
        <v>not-provided</v>
      </c>
      <c r="F220" s="70" t="str">
        <f>if('source-upstream'!F220="",'schema-yn'!$A$5,vlookup('source-upstream'!F220,YN_MAP,3,FALSE))</f>
        <v>not-provided</v>
      </c>
      <c r="G220" s="70" t="str">
        <f>if('source-upstream'!G220="",'schema-yn'!$A$5,vlookup('source-upstream'!G220,YN_MAP,3,FALSE))</f>
        <v>not-provided</v>
      </c>
      <c r="H220" s="70" t="str">
        <f>if('source-upstream'!H220="",'schema-yn'!$A$5,vlookup('source-upstream'!H220,RESILIENCE_OPTION_MAP,3,FALSE))</f>
        <v>alternative-supplier</v>
      </c>
      <c r="I220" s="70" t="str">
        <f>if(iserror(vlookup('source-upstream'!I220,'data-cleansing-maps'!N$5:N$10,1,FALSE)),'source-upstream'!I220,"")</f>
        <v/>
      </c>
      <c r="J220" s="89" t="str">
        <f>'source-upstream'!J220</f>
        <v>Not provided</v>
      </c>
      <c r="K220" s="70" t="str">
        <f>if('source-upstream'!K220="",'schema-yn'!$A$5,vlookup('source-upstream'!K220,YN_MAP,3,FALSE))</f>
        <v>no</v>
      </c>
      <c r="L220" s="90" t="str">
        <f>if('source-upstream'!L220="Not provided","",'source-upstream'!L220)</f>
        <v/>
      </c>
      <c r="M220" s="65" t="str">
        <f>if('source-upstream'!M220="",'schema-rv-services'!$B$26,vlookup(vlookup('source-upstream'!$M220,'analysis-rv-services'!$C:$E,3,FALSE),'schema-rv-services'!$A:$B,2, FALSE))</f>
        <v>feedstock</v>
      </c>
      <c r="N220" s="70"/>
    </row>
    <row r="221" ht="15.0" customHeight="1">
      <c r="A221" s="88" t="str">
        <f>Substitute(SUBSTITUTE(substitute(substitute(substitute(substitute(substitute(substitute(substitute(lower('source-upstream'!A221)," ","-"),"(",""),")",""),"&gt;",""),"&lt;",""),"---","-"),".","-"),"--","-"),"&amp;","-and-")</f>
        <v>striped-koala</v>
      </c>
      <c r="B221" s="88" t="str">
        <f>Substitute(SUBSTITUTE(substitute(substitute(substitute(substitute(substitute(substitute(substitute(lower('source-upstream'!B221)," ","-"),"(",""),")",""),"&gt;",""),"&lt;",""),"---","-"),".","-"),"--","-"),"&amp;","-and-")</f>
        <v>red-numbat</v>
      </c>
      <c r="C221" s="70" t="str">
        <f>if('source-upstream'!C221="",'schema-frequency'!$B$11,vlookup('source-upstream'!C221,FREQUENCY_MAP, 3, FALSE))</f>
        <v>not-provided</v>
      </c>
      <c r="D221" s="89" t="str">
        <f>'source-upstream'!D221</f>
        <v>Ewaste</v>
      </c>
      <c r="E221" s="70" t="str">
        <f>if('source-upstream'!E221="",'schema-yn'!$A$5,vlookup('source-upstream'!E221,YN_MAP,3,FALSE))</f>
        <v>not-provided</v>
      </c>
      <c r="F221" s="70" t="str">
        <f>if('source-upstream'!F221="",'schema-yn'!$A$5,vlookup('source-upstream'!F221,YN_MAP,3,FALSE))</f>
        <v>not-provided</v>
      </c>
      <c r="G221" s="70" t="str">
        <f>if('source-upstream'!G221="",'schema-yn'!$A$5,vlookup('source-upstream'!G221,YN_MAP,3,FALSE))</f>
        <v>not-provided</v>
      </c>
      <c r="H221" s="70" t="str">
        <f>if('source-upstream'!H221="",'schema-yn'!$A$5,vlookup('source-upstream'!H221,RESILIENCE_OPTION_MAP,3,FALSE))</f>
        <v>alternative-supplier</v>
      </c>
      <c r="I221" s="70" t="str">
        <f>if(iserror(vlookup('source-upstream'!I221,'data-cleansing-maps'!N$5:N$10,1,FALSE)),'source-upstream'!I221,"")</f>
        <v/>
      </c>
      <c r="J221" s="89" t="str">
        <f>'source-upstream'!J221</f>
        <v>Not provided</v>
      </c>
      <c r="K221" s="70" t="str">
        <f>if('source-upstream'!K221="",'schema-yn'!$A$5,vlookup('source-upstream'!K221,YN_MAP,3,FALSE))</f>
        <v>no</v>
      </c>
      <c r="L221" s="90" t="str">
        <f>if('source-upstream'!L221="Not provided","",'source-upstream'!L221)</f>
        <v/>
      </c>
      <c r="M221" s="65" t="str">
        <f>if('source-upstream'!M221="",'schema-rv-services'!$B$26,vlookup(vlookup('source-upstream'!$M221,'analysis-rv-services'!$C:$E,3,FALSE),'schema-rv-services'!$A:$B,2, FALSE))</f>
        <v>feedstock</v>
      </c>
      <c r="N221" s="70"/>
    </row>
    <row r="222" ht="15.0" customHeight="1">
      <c r="A222" s="88" t="str">
        <f>Substitute(SUBSTITUTE(substitute(substitute(substitute(substitute(substitute(substitute(substitute(lower('source-upstream'!A222)," ","-"),"(",""),")",""),"&gt;",""),"&lt;",""),"---","-"),".","-"),"--","-"),"&amp;","-and-")</f>
        <v>striped-koala</v>
      </c>
      <c r="B222" s="88" t="str">
        <f>Substitute(SUBSTITUTE(substitute(substitute(substitute(substitute(substitute(substitute(substitute(lower('source-upstream'!B222)," ","-"),"(",""),")",""),"&gt;",""),"&lt;",""),"---","-"),".","-"),"--","-"),"&amp;","-and-")</f>
        <v>red-numbat</v>
      </c>
      <c r="C222" s="70" t="str">
        <f>if('source-upstream'!C222="",'schema-frequency'!$B$11,vlookup('source-upstream'!C222,FREQUENCY_MAP, 3, FALSE))</f>
        <v>not-provided</v>
      </c>
      <c r="D222" s="89" t="str">
        <f>'source-upstream'!D222</f>
        <v>Ewaste</v>
      </c>
      <c r="E222" s="70" t="str">
        <f>if('source-upstream'!E222="",'schema-yn'!$A$5,vlookup('source-upstream'!E222,YN_MAP,3,FALSE))</f>
        <v>not-provided</v>
      </c>
      <c r="F222" s="70" t="str">
        <f>if('source-upstream'!F222="",'schema-yn'!$A$5,vlookup('source-upstream'!F222,YN_MAP,3,FALSE))</f>
        <v>not-provided</v>
      </c>
      <c r="G222" s="70" t="str">
        <f>if('source-upstream'!G222="",'schema-yn'!$A$5,vlookup('source-upstream'!G222,YN_MAP,3,FALSE))</f>
        <v>not-provided</v>
      </c>
      <c r="H222" s="70" t="str">
        <f>if('source-upstream'!H222="",'schema-yn'!$A$5,vlookup('source-upstream'!H222,RESILIENCE_OPTION_MAP,3,FALSE))</f>
        <v>alternative-supplier</v>
      </c>
      <c r="I222" s="70" t="str">
        <f>if(iserror(vlookup('source-upstream'!I222,'data-cleansing-maps'!N$5:N$10,1,FALSE)),'source-upstream'!I222,"")</f>
        <v/>
      </c>
      <c r="J222" s="89" t="str">
        <f>'source-upstream'!J222</f>
        <v>Not provided</v>
      </c>
      <c r="K222" s="70" t="str">
        <f>if('source-upstream'!K222="",'schema-yn'!$A$5,vlookup('source-upstream'!K222,YN_MAP,3,FALSE))</f>
        <v>no</v>
      </c>
      <c r="L222" s="90" t="str">
        <f>if('source-upstream'!L222="Not provided","",'source-upstream'!L222)</f>
        <v/>
      </c>
      <c r="M222" s="65" t="str">
        <f>if('source-upstream'!M222="",'schema-rv-services'!$B$26,vlookup(vlookup('source-upstream'!$M222,'analysis-rv-services'!$C:$E,3,FALSE),'schema-rv-services'!$A:$B,2, FALSE))</f>
        <v>feedstock</v>
      </c>
      <c r="N222" s="70"/>
    </row>
    <row r="223" ht="15.0" customHeight="1">
      <c r="A223" s="88" t="str">
        <f>Substitute(SUBSTITUTE(substitute(substitute(substitute(substitute(substitute(substitute(substitute(lower('source-upstream'!A223)," ","-"),"(",""),")",""),"&gt;",""),"&lt;",""),"---","-"),".","-"),"--","-"),"&amp;","-and-")</f>
        <v>striped-koala</v>
      </c>
      <c r="B223" s="88" t="str">
        <f>Substitute(SUBSTITUTE(substitute(substitute(substitute(substitute(substitute(substitute(substitute(lower('source-upstream'!B223)," ","-"),"(",""),")",""),"&gt;",""),"&lt;",""),"---","-"),".","-"),"--","-"),"&amp;","-and-")</f>
        <v>red-numbat</v>
      </c>
      <c r="C223" s="70" t="str">
        <f>if('source-upstream'!C223="",'schema-frequency'!$B$11,vlookup('source-upstream'!C223,FREQUENCY_MAP, 3, FALSE))</f>
        <v>not-provided</v>
      </c>
      <c r="D223" s="89" t="str">
        <f>'source-upstream'!D223</f>
        <v>Ewaste</v>
      </c>
      <c r="E223" s="70" t="str">
        <f>if('source-upstream'!E223="",'schema-yn'!$A$5,vlookup('source-upstream'!E223,YN_MAP,3,FALSE))</f>
        <v>not-provided</v>
      </c>
      <c r="F223" s="70" t="str">
        <f>if('source-upstream'!F223="",'schema-yn'!$A$5,vlookup('source-upstream'!F223,YN_MAP,3,FALSE))</f>
        <v>not-provided</v>
      </c>
      <c r="G223" s="70" t="str">
        <f>if('source-upstream'!G223="",'schema-yn'!$A$5,vlookup('source-upstream'!G223,YN_MAP,3,FALSE))</f>
        <v>not-provided</v>
      </c>
      <c r="H223" s="70" t="str">
        <f>if('source-upstream'!H223="",'schema-yn'!$A$5,vlookup('source-upstream'!H223,RESILIENCE_OPTION_MAP,3,FALSE))</f>
        <v>alternative-supplier</v>
      </c>
      <c r="I223" s="70" t="str">
        <f>if(iserror(vlookup('source-upstream'!I223,'data-cleansing-maps'!N$5:N$10,1,FALSE)),'source-upstream'!I223,"")</f>
        <v/>
      </c>
      <c r="J223" s="89" t="str">
        <f>'source-upstream'!J223</f>
        <v>Not provided</v>
      </c>
      <c r="K223" s="70" t="str">
        <f>if('source-upstream'!K223="",'schema-yn'!$A$5,vlookup('source-upstream'!K223,YN_MAP,3,FALSE))</f>
        <v>no</v>
      </c>
      <c r="L223" s="90" t="str">
        <f>if('source-upstream'!L223="Not provided","",'source-upstream'!L223)</f>
        <v/>
      </c>
      <c r="M223" s="65" t="str">
        <f>if('source-upstream'!M223="",'schema-rv-services'!$B$26,vlookup(vlookup('source-upstream'!$M223,'analysis-rv-services'!$C:$E,3,FALSE),'schema-rv-services'!$A:$B,2, FALSE))</f>
        <v>feedstock</v>
      </c>
      <c r="N223" s="70"/>
    </row>
    <row r="224" ht="15.0" customHeight="1">
      <c r="A224" s="88" t="str">
        <f>Substitute(SUBSTITUTE(substitute(substitute(substitute(substitute(substitute(substitute(substitute(lower('source-upstream'!A224)," ","-"),"(",""),")",""),"&gt;",""),"&lt;",""),"---","-"),".","-"),"--","-"),"&amp;","-and-")</f>
        <v>striped-koala</v>
      </c>
      <c r="B224" s="88" t="str">
        <f>Substitute(SUBSTITUTE(substitute(substitute(substitute(substitute(substitute(substitute(substitute(lower('source-upstream'!B224)," ","-"),"(",""),")",""),"&gt;",""),"&lt;",""),"---","-"),".","-"),"--","-"),"&amp;","-and-")</f>
        <v>red-numbat</v>
      </c>
      <c r="C224" s="70" t="str">
        <f>if('source-upstream'!C224="",'schema-frequency'!$B$11,vlookup('source-upstream'!C224,FREQUENCY_MAP, 3, FALSE))</f>
        <v>not-provided</v>
      </c>
      <c r="D224" s="89" t="str">
        <f>'source-upstream'!D224</f>
        <v>Ewaste</v>
      </c>
      <c r="E224" s="70" t="str">
        <f>if('source-upstream'!E224="",'schema-yn'!$A$5,vlookup('source-upstream'!E224,YN_MAP,3,FALSE))</f>
        <v>not-provided</v>
      </c>
      <c r="F224" s="70" t="str">
        <f>if('source-upstream'!F224="",'schema-yn'!$A$5,vlookup('source-upstream'!F224,YN_MAP,3,FALSE))</f>
        <v>not-provided</v>
      </c>
      <c r="G224" s="70" t="str">
        <f>if('source-upstream'!G224="",'schema-yn'!$A$5,vlookup('source-upstream'!G224,YN_MAP,3,FALSE))</f>
        <v>not-provided</v>
      </c>
      <c r="H224" s="70" t="str">
        <f>if('source-upstream'!H224="",'schema-yn'!$A$5,vlookup('source-upstream'!H224,RESILIENCE_OPTION_MAP,3,FALSE))</f>
        <v>alternative-supplier</v>
      </c>
      <c r="I224" s="70" t="str">
        <f>if(iserror(vlookup('source-upstream'!I224,'data-cleansing-maps'!N$5:N$10,1,FALSE)),'source-upstream'!I224,"")</f>
        <v/>
      </c>
      <c r="J224" s="89" t="str">
        <f>'source-upstream'!J224</f>
        <v>Not provided</v>
      </c>
      <c r="K224" s="70" t="str">
        <f>if('source-upstream'!K224="",'schema-yn'!$A$5,vlookup('source-upstream'!K224,YN_MAP,3,FALSE))</f>
        <v>no</v>
      </c>
      <c r="L224" s="90" t="str">
        <f>if('source-upstream'!L224="Not provided","",'source-upstream'!L224)</f>
        <v/>
      </c>
      <c r="M224" s="65" t="str">
        <f>if('source-upstream'!M224="",'schema-rv-services'!$B$26,vlookup(vlookup('source-upstream'!$M224,'analysis-rv-services'!$C:$E,3,FALSE),'schema-rv-services'!$A:$B,2, FALSE))</f>
        <v>feedstock</v>
      </c>
      <c r="N224" s="70"/>
    </row>
    <row r="225" ht="15.0" customHeight="1">
      <c r="A225" s="88" t="str">
        <f>Substitute(SUBSTITUTE(substitute(substitute(substitute(substitute(substitute(substitute(substitute(lower('source-upstream'!A225)," ","-"),"(",""),")",""),"&gt;",""),"&lt;",""),"---","-"),".","-"),"--","-"),"&amp;","-and-")</f>
        <v>striped-koala</v>
      </c>
      <c r="B225" s="88" t="str">
        <f>Substitute(SUBSTITUTE(substitute(substitute(substitute(substitute(substitute(substitute(substitute(lower('source-upstream'!B225)," ","-"),"(",""),")",""),"&gt;",""),"&lt;",""),"---","-"),".","-"),"--","-"),"&amp;","-and-")</f>
        <v>red-numbat</v>
      </c>
      <c r="C225" s="70" t="str">
        <f>if('source-upstream'!C225="",'schema-frequency'!$B$11,vlookup('source-upstream'!C225,FREQUENCY_MAP, 3, FALSE))</f>
        <v>not-provided</v>
      </c>
      <c r="D225" s="89" t="str">
        <f>'source-upstream'!D225</f>
        <v>Ewaste</v>
      </c>
      <c r="E225" s="70" t="str">
        <f>if('source-upstream'!E225="",'schema-yn'!$A$5,vlookup('source-upstream'!E225,YN_MAP,3,FALSE))</f>
        <v>not-provided</v>
      </c>
      <c r="F225" s="70" t="str">
        <f>if('source-upstream'!F225="",'schema-yn'!$A$5,vlookup('source-upstream'!F225,YN_MAP,3,FALSE))</f>
        <v>not-provided</v>
      </c>
      <c r="G225" s="70" t="str">
        <f>if('source-upstream'!G225="",'schema-yn'!$A$5,vlookup('source-upstream'!G225,YN_MAP,3,FALSE))</f>
        <v>not-provided</v>
      </c>
      <c r="H225" s="70" t="str">
        <f>if('source-upstream'!H225="",'schema-yn'!$A$5,vlookup('source-upstream'!H225,RESILIENCE_OPTION_MAP,3,FALSE))</f>
        <v>alternative-supplier</v>
      </c>
      <c r="I225" s="70" t="str">
        <f>if(iserror(vlookup('source-upstream'!I225,'data-cleansing-maps'!N$5:N$10,1,FALSE)),'source-upstream'!I225,"")</f>
        <v/>
      </c>
      <c r="J225" s="89" t="str">
        <f>'source-upstream'!J225</f>
        <v>Not provided</v>
      </c>
      <c r="K225" s="70" t="str">
        <f>if('source-upstream'!K225="",'schema-yn'!$A$5,vlookup('source-upstream'!K225,YN_MAP,3,FALSE))</f>
        <v>no</v>
      </c>
      <c r="L225" s="90" t="str">
        <f>if('source-upstream'!L225="Not provided","",'source-upstream'!L225)</f>
        <v/>
      </c>
      <c r="M225" s="65" t="str">
        <f>if('source-upstream'!M225="",'schema-rv-services'!$B$26,vlookup(vlookup('source-upstream'!$M225,'analysis-rv-services'!$C:$E,3,FALSE),'schema-rv-services'!$A:$B,2, FALSE))</f>
        <v>feedstock</v>
      </c>
      <c r="N225" s="70"/>
    </row>
    <row r="226" ht="15.0" customHeight="1">
      <c r="A226" s="88" t="str">
        <f>Substitute(SUBSTITUTE(substitute(substitute(substitute(substitute(substitute(substitute(substitute(lower('source-upstream'!A226)," ","-"),"(",""),")",""),"&gt;",""),"&lt;",""),"---","-"),".","-"),"--","-"),"&amp;","-and-")</f>
        <v>striped-koala</v>
      </c>
      <c r="B226" s="88" t="str">
        <f>Substitute(SUBSTITUTE(substitute(substitute(substitute(substitute(substitute(substitute(substitute(lower('source-upstream'!B226)," ","-"),"(",""),")",""),"&gt;",""),"&lt;",""),"---","-"),".","-"),"--","-"),"&amp;","-and-")</f>
        <v>red-numbat</v>
      </c>
      <c r="C226" s="70" t="str">
        <f>if('source-upstream'!C226="",'schema-frequency'!$B$11,vlookup('source-upstream'!C226,FREQUENCY_MAP, 3, FALSE))</f>
        <v>not-provided</v>
      </c>
      <c r="D226" s="89" t="str">
        <f>'source-upstream'!D226</f>
        <v>Ewaste</v>
      </c>
      <c r="E226" s="70" t="str">
        <f>if('source-upstream'!E226="",'schema-yn'!$A$5,vlookup('source-upstream'!E226,YN_MAP,3,FALSE))</f>
        <v>not-provided</v>
      </c>
      <c r="F226" s="70" t="str">
        <f>if('source-upstream'!F226="",'schema-yn'!$A$5,vlookup('source-upstream'!F226,YN_MAP,3,FALSE))</f>
        <v>not-provided</v>
      </c>
      <c r="G226" s="70" t="str">
        <f>if('source-upstream'!G226="",'schema-yn'!$A$5,vlookup('source-upstream'!G226,YN_MAP,3,FALSE))</f>
        <v>not-provided</v>
      </c>
      <c r="H226" s="70" t="str">
        <f>if('source-upstream'!H226="",'schema-yn'!$A$5,vlookup('source-upstream'!H226,RESILIENCE_OPTION_MAP,3,FALSE))</f>
        <v>alternative-supplier</v>
      </c>
      <c r="I226" s="70" t="str">
        <f>if(iserror(vlookup('source-upstream'!I226,'data-cleansing-maps'!N$5:N$10,1,FALSE)),'source-upstream'!I226,"")</f>
        <v/>
      </c>
      <c r="J226" s="89" t="str">
        <f>'source-upstream'!J226</f>
        <v>Not provided</v>
      </c>
      <c r="K226" s="70" t="str">
        <f>if('source-upstream'!K226="",'schema-yn'!$A$5,vlookup('source-upstream'!K226,YN_MAP,3,FALSE))</f>
        <v>no</v>
      </c>
      <c r="L226" s="90" t="str">
        <f>if('source-upstream'!L226="Not provided","",'source-upstream'!L226)</f>
        <v/>
      </c>
      <c r="M226" s="65" t="str">
        <f>if('source-upstream'!M226="",'schema-rv-services'!$B$26,vlookup(vlookup('source-upstream'!$M226,'analysis-rv-services'!$C:$E,3,FALSE),'schema-rv-services'!$A:$B,2, FALSE))</f>
        <v>feedstock</v>
      </c>
      <c r="N226" s="70"/>
    </row>
    <row r="227" ht="15.0" customHeight="1">
      <c r="A227" s="88" t="str">
        <f>Substitute(SUBSTITUTE(substitute(substitute(substitute(substitute(substitute(substitute(substitute(lower('source-upstream'!A227)," ","-"),"(",""),")",""),"&gt;",""),"&lt;",""),"---","-"),".","-"),"--","-"),"&amp;","-and-")</f>
        <v>striped-koala</v>
      </c>
      <c r="B227" s="88" t="str">
        <f>Substitute(SUBSTITUTE(substitute(substitute(substitute(substitute(substitute(substitute(substitute(lower('source-upstream'!B227)," ","-"),"(",""),")",""),"&gt;",""),"&lt;",""),"---","-"),".","-"),"--","-"),"&amp;","-and-")</f>
        <v>red-numbat</v>
      </c>
      <c r="C227" s="70" t="str">
        <f>if('source-upstream'!C227="",'schema-frequency'!$B$11,vlookup('source-upstream'!C227,FREQUENCY_MAP, 3, FALSE))</f>
        <v>not-provided</v>
      </c>
      <c r="D227" s="89" t="str">
        <f>'source-upstream'!D227</f>
        <v>Ewaste</v>
      </c>
      <c r="E227" s="70" t="str">
        <f>if('source-upstream'!E227="",'schema-yn'!$A$5,vlookup('source-upstream'!E227,YN_MAP,3,FALSE))</f>
        <v>not-provided</v>
      </c>
      <c r="F227" s="70" t="str">
        <f>if('source-upstream'!F227="",'schema-yn'!$A$5,vlookup('source-upstream'!F227,YN_MAP,3,FALSE))</f>
        <v>not-provided</v>
      </c>
      <c r="G227" s="70" t="str">
        <f>if('source-upstream'!G227="",'schema-yn'!$A$5,vlookup('source-upstream'!G227,YN_MAP,3,FALSE))</f>
        <v>not-provided</v>
      </c>
      <c r="H227" s="70" t="str">
        <f>if('source-upstream'!H227="",'schema-yn'!$A$5,vlookup('source-upstream'!H227,RESILIENCE_OPTION_MAP,3,FALSE))</f>
        <v>alternative-supplier</v>
      </c>
      <c r="I227" s="70" t="str">
        <f>if(iserror(vlookup('source-upstream'!I227,'data-cleansing-maps'!N$5:N$10,1,FALSE)),'source-upstream'!I227,"")</f>
        <v/>
      </c>
      <c r="J227" s="89" t="str">
        <f>'source-upstream'!J227</f>
        <v/>
      </c>
      <c r="K227" s="70" t="str">
        <f>if('source-upstream'!K227="",'schema-yn'!$A$5,vlookup('source-upstream'!K227,YN_MAP,3,FALSE))</f>
        <v>no</v>
      </c>
      <c r="L227" s="90" t="str">
        <f>if('source-upstream'!L227="Not provided","",'source-upstream'!L227)</f>
        <v/>
      </c>
      <c r="M227" s="65" t="str">
        <f>if('source-upstream'!M227="",'schema-rv-services'!$B$26,vlookup(vlookup('source-upstream'!$M227,'analysis-rv-services'!$C:$E,3,FALSE),'schema-rv-services'!$A:$B,2, FALSE))</f>
        <v>feedstock</v>
      </c>
      <c r="N227" s="70"/>
    </row>
    <row r="228" ht="15.0" customHeight="1">
      <c r="A228" s="88" t="str">
        <f>Substitute(SUBSTITUTE(substitute(substitute(substitute(substitute(substitute(substitute(substitute(lower('source-upstream'!A228)," ","-"),"(",""),")",""),"&gt;",""),"&lt;",""),"---","-"),".","-"),"--","-"),"&amp;","-and-")</f>
        <v>swift-blue-tongue-skink</v>
      </c>
      <c r="B228" s="88" t="str">
        <f>Substitute(SUBSTITUTE(substitute(substitute(substitute(substitute(substitute(substitute(substitute(lower('source-upstream'!B228)," ","-"),"(",""),")",""),"&gt;",""),"&lt;",""),"---","-"),".","-"),"--","-"),"&amp;","-and-")</f>
        <v>clever-koala</v>
      </c>
      <c r="C228" s="70" t="str">
        <f>if('source-upstream'!C228="",'schema-frequency'!$B$11,vlookup('source-upstream'!C228,FREQUENCY_MAP, 3, FALSE))</f>
        <v>not-provided</v>
      </c>
      <c r="D228" s="89" t="str">
        <f>'source-upstream'!D228</f>
        <v>Not provided</v>
      </c>
      <c r="E228" s="70" t="str">
        <f>if('source-upstream'!E228="",'schema-yn'!$A$5,vlookup('source-upstream'!E228,YN_MAP,3,FALSE))</f>
        <v>not-provided</v>
      </c>
      <c r="F228" s="70" t="str">
        <f>if('source-upstream'!F228="",'schema-yn'!$A$5,vlookup('source-upstream'!F228,YN_MAP,3,FALSE))</f>
        <v>not-provided</v>
      </c>
      <c r="G228" s="70" t="str">
        <f>if('source-upstream'!G228="",'schema-yn'!$A$5,vlookup('source-upstream'!G228,YN_MAP,3,FALSE))</f>
        <v>not-provided</v>
      </c>
      <c r="H228" s="70" t="str">
        <f>if('source-upstream'!H228="",'schema-yn'!$A$5,vlookup('source-upstream'!H228,RESILIENCE_OPTION_MAP,3,FALSE))</f>
        <v>not-provided</v>
      </c>
      <c r="I228" s="70" t="str">
        <f>if(iserror(vlookup('source-upstream'!I228,'data-cleansing-maps'!N$5:N$10,1,FALSE)),'source-upstream'!I228,"")</f>
        <v/>
      </c>
      <c r="J228" s="89" t="str">
        <f>'source-upstream'!J228</f>
        <v>No comments provided</v>
      </c>
      <c r="K228" s="70" t="str">
        <f>if('source-upstream'!K228="",'schema-yn'!$A$5,vlookup('source-upstream'!K228,YN_MAP,3,FALSE))</f>
        <v>not-provided</v>
      </c>
      <c r="L228" s="90" t="str">
        <f>if('source-upstream'!L228="Not provided","",'source-upstream'!L228)</f>
        <v/>
      </c>
      <c r="M228" s="65" t="str">
        <f>if('source-upstream'!M228="",'schema-rv-services'!$B$26,vlookup(vlookup('source-upstream'!$M228,'analysis-rv-services'!$C:$E,3,FALSE),'schema-rv-services'!$A:$B,2, FALSE))</f>
        <v>repairs-and-maintenance</v>
      </c>
      <c r="N228" s="70"/>
    </row>
    <row r="229" ht="15.0" customHeight="1">
      <c r="A229" s="88" t="str">
        <f>Substitute(SUBSTITUTE(substitute(substitute(substitute(substitute(substitute(substitute(substitute(lower('source-upstream'!A229)," ","-"),"(",""),")",""),"&gt;",""),"&lt;",""),"---","-"),".","-"),"--","-"),"&amp;","-and-")</f>
        <v>swift-blue-tongue-skink</v>
      </c>
      <c r="B229" s="88" t="str">
        <f>Substitute(SUBSTITUTE(substitute(substitute(substitute(substitute(substitute(substitute(substitute(lower('source-upstream'!B229)," ","-"),"(",""),")",""),"&gt;",""),"&lt;",""),"---","-"),".","-"),"--","-"),"&amp;","-and-")</f>
        <v>red-koala</v>
      </c>
      <c r="C229" s="70" t="str">
        <f>if('source-upstream'!C229="",'schema-frequency'!$B$11,vlookup('source-upstream'!C229,FREQUENCY_MAP, 3, FALSE))</f>
        <v>not-provided</v>
      </c>
      <c r="D229" s="89" t="str">
        <f>'source-upstream'!D229</f>
        <v>Not provided</v>
      </c>
      <c r="E229" s="70" t="str">
        <f>if('source-upstream'!E229="",'schema-yn'!$A$5,vlookup('source-upstream'!E229,YN_MAP,3,FALSE))</f>
        <v>not-provided</v>
      </c>
      <c r="F229" s="70" t="str">
        <f>if('source-upstream'!F229="",'schema-yn'!$A$5,vlookup('source-upstream'!F229,YN_MAP,3,FALSE))</f>
        <v>not-provided</v>
      </c>
      <c r="G229" s="70" t="str">
        <f>if('source-upstream'!G229="",'schema-yn'!$A$5,vlookup('source-upstream'!G229,YN_MAP,3,FALSE))</f>
        <v>not-provided</v>
      </c>
      <c r="H229" s="70" t="str">
        <f>if('source-upstream'!H229="",'schema-yn'!$A$5,vlookup('source-upstream'!H229,RESILIENCE_OPTION_MAP,3,FALSE))</f>
        <v>not-provided</v>
      </c>
      <c r="I229" s="70" t="str">
        <f>if(iserror(vlookup('source-upstream'!I229,'data-cleansing-maps'!N$5:N$10,1,FALSE)),'source-upstream'!I229,"")</f>
        <v/>
      </c>
      <c r="J229" s="89" t="str">
        <f>'source-upstream'!J229</f>
        <v>No comments provided</v>
      </c>
      <c r="K229" s="70" t="str">
        <f>if('source-upstream'!K229="",'schema-yn'!$A$5,vlookup('source-upstream'!K229,YN_MAP,3,FALSE))</f>
        <v>not-provided</v>
      </c>
      <c r="L229" s="90" t="str">
        <f>if('source-upstream'!L229="Not provided","",'source-upstream'!L229)</f>
        <v/>
      </c>
      <c r="M229" s="65" t="str">
        <f>if('source-upstream'!M229="",'schema-rv-services'!$B$26,vlookup(vlookup('source-upstream'!$M229,'analysis-rv-services'!$C:$E,3,FALSE),'schema-rv-services'!$A:$B,2, FALSE))</f>
        <v>fuel</v>
      </c>
      <c r="N229" s="70"/>
    </row>
    <row r="230" ht="15.0" customHeight="1">
      <c r="A230" s="88" t="str">
        <f>Substitute(SUBSTITUTE(substitute(substitute(substitute(substitute(substitute(substitute(substitute(lower('source-upstream'!A230)," ","-"),"(",""),")",""),"&gt;",""),"&lt;",""),"---","-"),".","-"),"--","-"),"&amp;","-and-")</f>
        <v>swift-blue-tongue-skink</v>
      </c>
      <c r="B230" s="88" t="str">
        <f>Substitute(SUBSTITUTE(substitute(substitute(substitute(substitute(substitute(substitute(substitute(lower('source-upstream'!B230)," ","-"),"(",""),")",""),"&gt;",""),"&lt;",""),"---","-"),".","-"),"--","-"),"&amp;","-and-")</f>
        <v>clever-quokka</v>
      </c>
      <c r="C230" s="70" t="str">
        <f>if('source-upstream'!C230="",'schema-frequency'!$B$11,vlookup('source-upstream'!C230,FREQUENCY_MAP, 3, FALSE))</f>
        <v>not-provided</v>
      </c>
      <c r="D230" s="89" t="str">
        <f>'source-upstream'!D230</f>
        <v>Not provided</v>
      </c>
      <c r="E230" s="70" t="str">
        <f>if('source-upstream'!E230="",'schema-yn'!$A$5,vlookup('source-upstream'!E230,YN_MAP,3,FALSE))</f>
        <v>not-provided</v>
      </c>
      <c r="F230" s="70" t="str">
        <f>if('source-upstream'!F230="",'schema-yn'!$A$5,vlookup('source-upstream'!F230,YN_MAP,3,FALSE))</f>
        <v>not-provided</v>
      </c>
      <c r="G230" s="70" t="str">
        <f>if('source-upstream'!G230="",'schema-yn'!$A$5,vlookup('source-upstream'!G230,YN_MAP,3,FALSE))</f>
        <v>not-provided</v>
      </c>
      <c r="H230" s="70" t="str">
        <f>if('source-upstream'!H230="",'schema-yn'!$A$5,vlookup('source-upstream'!H230,RESILIENCE_OPTION_MAP,3,FALSE))</f>
        <v>not-provided</v>
      </c>
      <c r="I230" s="70" t="str">
        <f>if(iserror(vlookup('source-upstream'!I230,'data-cleansing-maps'!N$5:N$10,1,FALSE)),'source-upstream'!I230,"")</f>
        <v/>
      </c>
      <c r="J230" s="89" t="str">
        <f>'source-upstream'!J230</f>
        <v>No comments provided</v>
      </c>
      <c r="K230" s="70" t="str">
        <f>if('source-upstream'!K230="",'schema-yn'!$A$5,vlookup('source-upstream'!K230,YN_MAP,3,FALSE))</f>
        <v>not-provided</v>
      </c>
      <c r="L230" s="90" t="str">
        <f>if('source-upstream'!L230="Not provided","",'source-upstream'!L230)</f>
        <v/>
      </c>
      <c r="M230" s="65" t="str">
        <f>if('source-upstream'!M230="",'schema-rv-services'!$B$26,vlookup(vlookup('source-upstream'!$M230,'analysis-rv-services'!$C:$E,3,FALSE),'schema-rv-services'!$A:$B,2, FALSE))</f>
        <v>plant-and-equipment</v>
      </c>
      <c r="N230" s="70"/>
    </row>
    <row r="231" ht="15.0" customHeight="1">
      <c r="A231" s="88" t="str">
        <f>Substitute(SUBSTITUTE(substitute(substitute(substitute(substitute(substitute(substitute(substitute(lower('source-upstream'!A231)," ","-"),"(",""),")",""),"&gt;",""),"&lt;",""),"---","-"),".","-"),"--","-"),"&amp;","-and-")</f>
        <v>swift-blue-tongue-skink</v>
      </c>
      <c r="B231" s="88" t="str">
        <f>Substitute(SUBSTITUTE(substitute(substitute(substitute(substitute(substitute(substitute(substitute(lower('source-upstream'!B231)," ","-"),"(",""),")",""),"&gt;",""),"&lt;",""),"---","-"),".","-"),"--","-"),"&amp;","-and-")</f>
        <v>noisy-kangaroo</v>
      </c>
      <c r="C231" s="70" t="str">
        <f>if('source-upstream'!C231="",'schema-frequency'!$B$11,vlookup('source-upstream'!C231,FREQUENCY_MAP, 3, FALSE))</f>
        <v>not-provided</v>
      </c>
      <c r="D231" s="89" t="str">
        <f>'source-upstream'!D231</f>
        <v>Not provided</v>
      </c>
      <c r="E231" s="70" t="str">
        <f>if('source-upstream'!E231="",'schema-yn'!$A$5,vlookup('source-upstream'!E231,YN_MAP,3,FALSE))</f>
        <v>not-provided</v>
      </c>
      <c r="F231" s="70" t="str">
        <f>if('source-upstream'!F231="",'schema-yn'!$A$5,vlookup('source-upstream'!F231,YN_MAP,3,FALSE))</f>
        <v>not-provided</v>
      </c>
      <c r="G231" s="70" t="str">
        <f>if('source-upstream'!G231="",'schema-yn'!$A$5,vlookup('source-upstream'!G231,YN_MAP,3,FALSE))</f>
        <v>not-provided</v>
      </c>
      <c r="H231" s="70" t="str">
        <f>if('source-upstream'!H231="",'schema-yn'!$A$5,vlookup('source-upstream'!H231,RESILIENCE_OPTION_MAP,3,FALSE))</f>
        <v>not-provided</v>
      </c>
      <c r="I231" s="70" t="str">
        <f>if(iserror(vlookup('source-upstream'!I231,'data-cleansing-maps'!N$5:N$10,1,FALSE)),'source-upstream'!I231,"")</f>
        <v/>
      </c>
      <c r="J231" s="89" t="str">
        <f>'source-upstream'!J231</f>
        <v>No comments provided</v>
      </c>
      <c r="K231" s="70" t="str">
        <f>if('source-upstream'!K231="",'schema-yn'!$A$5,vlookup('source-upstream'!K231,YN_MAP,3,FALSE))</f>
        <v>not-provided</v>
      </c>
      <c r="L231" s="90" t="str">
        <f>if('source-upstream'!L231="Not provided","",'source-upstream'!L231)</f>
        <v/>
      </c>
      <c r="M231" s="65" t="str">
        <f>if('source-upstream'!M231="",'schema-rv-services'!$B$26,vlookup(vlookup('source-upstream'!$M231,'analysis-rv-services'!$C:$E,3,FALSE),'schema-rv-services'!$A:$B,2, FALSE))</f>
        <v>plant-and-equipment</v>
      </c>
      <c r="N231" s="70"/>
    </row>
    <row r="232" ht="15.0" customHeight="1">
      <c r="A232" s="88" t="str">
        <f>Substitute(SUBSTITUTE(substitute(substitute(substitute(substitute(substitute(substitute(substitute(lower('source-upstream'!A232)," ","-"),"(",""),")",""),"&gt;",""),"&lt;",""),"---","-"),".","-"),"--","-"),"&amp;","-and-")</f>
        <v>swift-blue-tongue-skink</v>
      </c>
      <c r="B232" s="88" t="str">
        <f>Substitute(SUBSTITUTE(substitute(substitute(substitute(substitute(substitute(substitute(substitute(lower('source-upstream'!B232)," ","-"),"(",""),")",""),"&gt;",""),"&lt;",""),"---","-"),".","-"),"--","-"),"&amp;","-and-")</f>
        <v>brave-bilby</v>
      </c>
      <c r="C232" s="70" t="str">
        <f>if('source-upstream'!C232="",'schema-frequency'!$B$11,vlookup('source-upstream'!C232,FREQUENCY_MAP, 3, FALSE))</f>
        <v>not-provided</v>
      </c>
      <c r="D232" s="89" t="str">
        <f>'source-upstream'!D232</f>
        <v>Not provided</v>
      </c>
      <c r="E232" s="70" t="str">
        <f>if('source-upstream'!E232="",'schema-yn'!$A$5,vlookup('source-upstream'!E232,YN_MAP,3,FALSE))</f>
        <v>not-provided</v>
      </c>
      <c r="F232" s="70" t="str">
        <f>if('source-upstream'!F232="",'schema-yn'!$A$5,vlookup('source-upstream'!F232,YN_MAP,3,FALSE))</f>
        <v>not-provided</v>
      </c>
      <c r="G232" s="70" t="str">
        <f>if('source-upstream'!G232="",'schema-yn'!$A$5,vlookup('source-upstream'!G232,YN_MAP,3,FALSE))</f>
        <v>not-provided</v>
      </c>
      <c r="H232" s="70" t="str">
        <f>if('source-upstream'!H232="",'schema-yn'!$A$5,vlookup('source-upstream'!H232,RESILIENCE_OPTION_MAP,3,FALSE))</f>
        <v>not-provided</v>
      </c>
      <c r="I232" s="70" t="str">
        <f>if(iserror(vlookup('source-upstream'!I232,'data-cleansing-maps'!N$5:N$10,1,FALSE)),'source-upstream'!I232,"")</f>
        <v/>
      </c>
      <c r="J232" s="89" t="str">
        <f>'source-upstream'!J232</f>
        <v>No comments provided</v>
      </c>
      <c r="K232" s="70" t="str">
        <f>if('source-upstream'!K232="",'schema-yn'!$A$5,vlookup('source-upstream'!K232,YN_MAP,3,FALSE))</f>
        <v>not-provided</v>
      </c>
      <c r="L232" s="90" t="str">
        <f>if('source-upstream'!L232="Not provided","",'source-upstream'!L232)</f>
        <v/>
      </c>
      <c r="M232" s="65" t="str">
        <f>if('source-upstream'!M232="",'schema-rv-services'!$B$26,vlookup(vlookup('source-upstream'!$M232,'analysis-rv-services'!$C:$E,3,FALSE),'schema-rv-services'!$A:$B,2, FALSE))</f>
        <v>components</v>
      </c>
      <c r="N232" s="70"/>
    </row>
    <row r="233" ht="15.0" customHeight="1">
      <c r="A233" s="88" t="str">
        <f>Substitute(SUBSTITUTE(substitute(substitute(substitute(substitute(substitute(substitute(substitute(lower('source-upstream'!A233)," ","-"),"(",""),")",""),"&gt;",""),"&lt;",""),"---","-"),".","-"),"--","-"),"&amp;","-and-")</f>
        <v>swift-blue-tongue-skink</v>
      </c>
      <c r="B233" s="88" t="str">
        <f>Substitute(SUBSTITUTE(substitute(substitute(substitute(substitute(substitute(substitute(substitute(lower('source-upstream'!B233)," ","-"),"(",""),")",""),"&gt;",""),"&lt;",""),"---","-"),".","-"),"--","-"),"&amp;","-and-")</f>
        <v>blue-bandicoot</v>
      </c>
      <c r="C233" s="70" t="str">
        <f>if('source-upstream'!C233="",'schema-frequency'!$B$11,vlookup('source-upstream'!C233,FREQUENCY_MAP, 3, FALSE))</f>
        <v>not-provided</v>
      </c>
      <c r="D233" s="89" t="str">
        <f>'source-upstream'!D233</f>
        <v>Not provided</v>
      </c>
      <c r="E233" s="70" t="str">
        <f>if('source-upstream'!E233="",'schema-yn'!$A$5,vlookup('source-upstream'!E233,YN_MAP,3,FALSE))</f>
        <v>not-provided</v>
      </c>
      <c r="F233" s="70" t="str">
        <f>if('source-upstream'!F233="",'schema-yn'!$A$5,vlookup('source-upstream'!F233,YN_MAP,3,FALSE))</f>
        <v>not-provided</v>
      </c>
      <c r="G233" s="70" t="str">
        <f>if('source-upstream'!G233="",'schema-yn'!$A$5,vlookup('source-upstream'!G233,YN_MAP,3,FALSE))</f>
        <v>not-provided</v>
      </c>
      <c r="H233" s="70" t="str">
        <f>if('source-upstream'!H233="",'schema-yn'!$A$5,vlookup('source-upstream'!H233,RESILIENCE_OPTION_MAP,3,FALSE))</f>
        <v>not-provided</v>
      </c>
      <c r="I233" s="70" t="str">
        <f>if(iserror(vlookup('source-upstream'!I233,'data-cleansing-maps'!N$5:N$10,1,FALSE)),'source-upstream'!I233,"")</f>
        <v/>
      </c>
      <c r="J233" s="89" t="str">
        <f>'source-upstream'!J233</f>
        <v>No comments provided</v>
      </c>
      <c r="K233" s="70" t="str">
        <f>if('source-upstream'!K233="",'schema-yn'!$A$5,vlookup('source-upstream'!K233,YN_MAP,3,FALSE))</f>
        <v>not-provided</v>
      </c>
      <c r="L233" s="90" t="str">
        <f>if('source-upstream'!L233="Not provided","",'source-upstream'!L233)</f>
        <v/>
      </c>
      <c r="M233" s="65" t="str">
        <f>if('source-upstream'!M233="",'schema-rv-services'!$B$26,vlookup(vlookup('source-upstream'!$M233,'analysis-rv-services'!$C:$E,3,FALSE),'schema-rv-services'!$A:$B,2, FALSE))</f>
        <v>techonology</v>
      </c>
      <c r="N233" s="70"/>
    </row>
    <row r="234" ht="15.0" customHeight="1">
      <c r="A234" s="88" t="str">
        <f>Substitute(SUBSTITUTE(substitute(substitute(substitute(substitute(substitute(substitute(substitute(lower('source-upstream'!A234)," ","-"),"(",""),")",""),"&gt;",""),"&lt;",""),"---","-"),".","-"),"--","-"),"&amp;","-and-")</f>
        <v>swift-blue-tongue-skink</v>
      </c>
      <c r="B234" s="88" t="str">
        <f>Substitute(SUBSTITUTE(substitute(substitute(substitute(substitute(substitute(substitute(substitute(lower('source-upstream'!B234)," ","-"),"(",""),")",""),"&gt;",""),"&lt;",""),"---","-"),".","-"),"--","-"),"&amp;","-and-")</f>
        <v>giant-emu</v>
      </c>
      <c r="C234" s="70" t="str">
        <f>if('source-upstream'!C234="",'schema-frequency'!$B$11,vlookup('source-upstream'!C234,FREQUENCY_MAP, 3, FALSE))</f>
        <v>not-provided</v>
      </c>
      <c r="D234" s="89" t="str">
        <f>'source-upstream'!D234</f>
        <v>Not provided</v>
      </c>
      <c r="E234" s="70" t="str">
        <f>if('source-upstream'!E234="",'schema-yn'!$A$5,vlookup('source-upstream'!E234,YN_MAP,3,FALSE))</f>
        <v>not-provided</v>
      </c>
      <c r="F234" s="70" t="str">
        <f>if('source-upstream'!F234="",'schema-yn'!$A$5,vlookup('source-upstream'!F234,YN_MAP,3,FALSE))</f>
        <v>not-provided</v>
      </c>
      <c r="G234" s="70" t="str">
        <f>if('source-upstream'!G234="",'schema-yn'!$A$5,vlookup('source-upstream'!G234,YN_MAP,3,FALSE))</f>
        <v>not-provided</v>
      </c>
      <c r="H234" s="70" t="str">
        <f>if('source-upstream'!H234="",'schema-yn'!$A$5,vlookup('source-upstream'!H234,RESILIENCE_OPTION_MAP,3,FALSE))</f>
        <v>not-provided</v>
      </c>
      <c r="I234" s="70" t="str">
        <f>if(iserror(vlookup('source-upstream'!I234,'data-cleansing-maps'!N$5:N$10,1,FALSE)),'source-upstream'!I234,"")</f>
        <v/>
      </c>
      <c r="J234" s="89" t="str">
        <f>'source-upstream'!J234</f>
        <v>No comments provided</v>
      </c>
      <c r="K234" s="70" t="str">
        <f>if('source-upstream'!K234="",'schema-yn'!$A$5,vlookup('source-upstream'!K234,YN_MAP,3,FALSE))</f>
        <v>not-provided</v>
      </c>
      <c r="L234" s="90" t="str">
        <f>if('source-upstream'!L234="Not provided","",'source-upstream'!L234)</f>
        <v/>
      </c>
      <c r="M234" s="65" t="str">
        <f>if('source-upstream'!M234="",'schema-rv-services'!$B$26,vlookup(vlookup('source-upstream'!$M234,'analysis-rv-services'!$C:$E,3,FALSE),'schema-rv-services'!$A:$B,2, FALSE))</f>
        <v>telecommunications</v>
      </c>
      <c r="N234" s="70"/>
    </row>
    <row r="235" ht="15.0" customHeight="1">
      <c r="A235" s="88" t="str">
        <f>Substitute(SUBSTITUTE(substitute(substitute(substitute(substitute(substitute(substitute(substitute(lower('source-upstream'!A235)," ","-"),"(",""),")",""),"&gt;",""),"&lt;",""),"---","-"),".","-"),"--","-"),"&amp;","-and-")</f>
        <v>swift-blue-tongue-skink</v>
      </c>
      <c r="B235" s="88" t="str">
        <f>Substitute(SUBSTITUTE(substitute(substitute(substitute(substitute(substitute(substitute(substitute(lower('source-upstream'!B235)," ","-"),"(",""),")",""),"&gt;",""),"&lt;",""),"---","-"),".","-"),"--","-"),"&amp;","-and-")</f>
        <v>wild-koala</v>
      </c>
      <c r="C235" s="70" t="str">
        <f>if('source-upstream'!C235="",'schema-frequency'!$B$11,vlookup('source-upstream'!C235,FREQUENCY_MAP, 3, FALSE))</f>
        <v>not-provided</v>
      </c>
      <c r="D235" s="89" t="str">
        <f>'source-upstream'!D235</f>
        <v>Not provided</v>
      </c>
      <c r="E235" s="70" t="str">
        <f>if('source-upstream'!E235="",'schema-yn'!$A$5,vlookup('source-upstream'!E235,YN_MAP,3,FALSE))</f>
        <v>not-provided</v>
      </c>
      <c r="F235" s="70" t="str">
        <f>if('source-upstream'!F235="",'schema-yn'!$A$5,vlookup('source-upstream'!F235,YN_MAP,3,FALSE))</f>
        <v>not-provided</v>
      </c>
      <c r="G235" s="70" t="str">
        <f>if('source-upstream'!G235="",'schema-yn'!$A$5,vlookup('source-upstream'!G235,YN_MAP,3,FALSE))</f>
        <v>not-provided</v>
      </c>
      <c r="H235" s="70" t="str">
        <f>if('source-upstream'!H235="",'schema-yn'!$A$5,vlookup('source-upstream'!H235,RESILIENCE_OPTION_MAP,3,FALSE))</f>
        <v>not-provided</v>
      </c>
      <c r="I235" s="70" t="str">
        <f>if(iserror(vlookup('source-upstream'!I235,'data-cleansing-maps'!N$5:N$10,1,FALSE)),'source-upstream'!I235,"")</f>
        <v/>
      </c>
      <c r="J235" s="89" t="str">
        <f>'source-upstream'!J235</f>
        <v>No comments provided</v>
      </c>
      <c r="K235" s="70" t="str">
        <f>if('source-upstream'!K235="",'schema-yn'!$A$5,vlookup('source-upstream'!K235,YN_MAP,3,FALSE))</f>
        <v>not-provided</v>
      </c>
      <c r="L235" s="90" t="str">
        <f>if('source-upstream'!L235="Not provided","",'source-upstream'!L235)</f>
        <v/>
      </c>
      <c r="M235" s="65" t="str">
        <f>if('source-upstream'!M235="",'schema-rv-services'!$B$26,vlookup(vlookup('source-upstream'!$M235,'analysis-rv-services'!$C:$E,3,FALSE),'schema-rv-services'!$A:$B,2, FALSE))</f>
        <v>repairs-and-maintenance</v>
      </c>
      <c r="N235" s="70"/>
    </row>
    <row r="236" ht="15.0" customHeight="1">
      <c r="A236" s="88" t="str">
        <f>Substitute(SUBSTITUTE(substitute(substitute(substitute(substitute(substitute(substitute(substitute(lower('source-upstream'!A236)," ","-"),"(",""),")",""),"&gt;",""),"&lt;",""),"---","-"),".","-"),"--","-"),"&amp;","-and-")</f>
        <v>swift-blue-tongue-skink</v>
      </c>
      <c r="B236" s="88" t="str">
        <f>Substitute(SUBSTITUTE(substitute(substitute(substitute(substitute(substitute(substitute(substitute(lower('source-upstream'!B236)," ","-"),"(",""),")",""),"&gt;",""),"&lt;",""),"---","-"),".","-"),"--","-"),"&amp;","-and-")</f>
        <v>giant-tasmanian-devil</v>
      </c>
      <c r="C236" s="70" t="str">
        <f>if('source-upstream'!C236="",'schema-frequency'!$B$11,vlookup('source-upstream'!C236,FREQUENCY_MAP, 3, FALSE))</f>
        <v>not-provided</v>
      </c>
      <c r="D236" s="89" t="str">
        <f>'source-upstream'!D236</f>
        <v>Not provided</v>
      </c>
      <c r="E236" s="70" t="str">
        <f>if('source-upstream'!E236="",'schema-yn'!$A$5,vlookup('source-upstream'!E236,YN_MAP,3,FALSE))</f>
        <v>not-provided</v>
      </c>
      <c r="F236" s="70" t="str">
        <f>if('source-upstream'!F236="",'schema-yn'!$A$5,vlookup('source-upstream'!F236,YN_MAP,3,FALSE))</f>
        <v>not-provided</v>
      </c>
      <c r="G236" s="70" t="str">
        <f>if('source-upstream'!G236="",'schema-yn'!$A$5,vlookup('source-upstream'!G236,YN_MAP,3,FALSE))</f>
        <v>not-provided</v>
      </c>
      <c r="H236" s="70" t="str">
        <f>if('source-upstream'!H236="",'schema-yn'!$A$5,vlookup('source-upstream'!H236,RESILIENCE_OPTION_MAP,3,FALSE))</f>
        <v>not-provided</v>
      </c>
      <c r="I236" s="70" t="str">
        <f>if(iserror(vlookup('source-upstream'!I236,'data-cleansing-maps'!N$5:N$10,1,FALSE)),'source-upstream'!I236,"")</f>
        <v/>
      </c>
      <c r="J236" s="89" t="str">
        <f>'source-upstream'!J236</f>
        <v>No comments provided</v>
      </c>
      <c r="K236" s="70" t="str">
        <f>if('source-upstream'!K236="",'schema-yn'!$A$5,vlookup('source-upstream'!K236,YN_MAP,3,FALSE))</f>
        <v>not-provided</v>
      </c>
      <c r="L236" s="90" t="str">
        <f>if('source-upstream'!L236="Not provided","",'source-upstream'!L236)</f>
        <v/>
      </c>
      <c r="M236" s="65" t="str">
        <f>if('source-upstream'!M236="",'schema-rv-services'!$B$26,vlookup(vlookup('source-upstream'!$M236,'analysis-rv-services'!$C:$E,3,FALSE),'schema-rv-services'!$A:$B,2, FALSE))</f>
        <v>repairs-and-maintenance</v>
      </c>
      <c r="N236" s="70"/>
    </row>
    <row r="237" ht="15.0" customHeight="1">
      <c r="A237" s="88" t="str">
        <f>Substitute(SUBSTITUTE(substitute(substitute(substitute(substitute(substitute(substitute(substitute(lower('source-upstream'!A237)," ","-"),"(",""),")",""),"&gt;",""),"&lt;",""),"---","-"),".","-"),"--","-"),"&amp;","-and-")</f>
        <v>swift-blue-tongue-skink</v>
      </c>
      <c r="B237" s="88" t="str">
        <f>Substitute(SUBSTITUTE(substitute(substitute(substitute(substitute(substitute(substitute(substitute(lower('source-upstream'!B237)," ","-"),"(",""),")",""),"&gt;",""),"&lt;",""),"---","-"),".","-"),"--","-"),"&amp;","-and-")</f>
        <v>spotted-tasmanian-devil</v>
      </c>
      <c r="C237" s="70" t="str">
        <f>if('source-upstream'!C237="",'schema-frequency'!$B$11,vlookup('source-upstream'!C237,FREQUENCY_MAP, 3, FALSE))</f>
        <v>not-provided</v>
      </c>
      <c r="D237" s="89" t="str">
        <f>'source-upstream'!D237</f>
        <v>Not provided</v>
      </c>
      <c r="E237" s="70" t="str">
        <f>if('source-upstream'!E237="",'schema-yn'!$A$5,vlookup('source-upstream'!E237,YN_MAP,3,FALSE))</f>
        <v>not-provided</v>
      </c>
      <c r="F237" s="70" t="str">
        <f>if('source-upstream'!F237="",'schema-yn'!$A$5,vlookup('source-upstream'!F237,YN_MAP,3,FALSE))</f>
        <v>not-provided</v>
      </c>
      <c r="G237" s="70" t="str">
        <f>if('source-upstream'!G237="",'schema-yn'!$A$5,vlookup('source-upstream'!G237,YN_MAP,3,FALSE))</f>
        <v>not-provided</v>
      </c>
      <c r="H237" s="70" t="str">
        <f>if('source-upstream'!H237="",'schema-yn'!$A$5,vlookup('source-upstream'!H237,RESILIENCE_OPTION_MAP,3,FALSE))</f>
        <v>not-provided</v>
      </c>
      <c r="I237" s="70" t="str">
        <f>if(iserror(vlookup('source-upstream'!I237,'data-cleansing-maps'!N$5:N$10,1,FALSE)),'source-upstream'!I237,"")</f>
        <v/>
      </c>
      <c r="J237" s="89" t="str">
        <f>'source-upstream'!J237</f>
        <v>No comments provided</v>
      </c>
      <c r="K237" s="70" t="str">
        <f>if('source-upstream'!K237="",'schema-yn'!$A$5,vlookup('source-upstream'!K237,YN_MAP,3,FALSE))</f>
        <v>not-provided</v>
      </c>
      <c r="L237" s="90" t="str">
        <f>if('source-upstream'!L237="Not provided","",'source-upstream'!L237)</f>
        <v/>
      </c>
      <c r="M237" s="65" t="str">
        <f>if('source-upstream'!M237="",'schema-rv-services'!$B$26,vlookup(vlookup('source-upstream'!$M237,'analysis-rv-services'!$C:$E,3,FALSE),'schema-rv-services'!$A:$B,2, FALSE))</f>
        <v>plant-and-equipment</v>
      </c>
      <c r="N237" s="70"/>
    </row>
    <row r="238" ht="15.0" customHeight="1">
      <c r="A238" s="88" t="str">
        <f>Substitute(SUBSTITUTE(substitute(substitute(substitute(substitute(substitute(substitute(substitute(lower('source-upstream'!A238)," ","-"),"(",""),")",""),"&gt;",""),"&lt;",""),"---","-"),".","-"),"--","-"),"&amp;","-and-")</f>
        <v>swift-blue-tongue-skink</v>
      </c>
      <c r="B238" s="88" t="str">
        <f>Substitute(SUBSTITUTE(substitute(substitute(substitute(substitute(substitute(substitute(substitute(lower('source-upstream'!B238)," ","-"),"(",""),")",""),"&gt;",""),"&lt;",""),"---","-"),".","-"),"--","-"),"&amp;","-and-")</f>
        <v>lazy-quokka</v>
      </c>
      <c r="C238" s="70" t="str">
        <f>if('source-upstream'!C238="",'schema-frequency'!$B$11,vlookup('source-upstream'!C238,FREQUENCY_MAP, 3, FALSE))</f>
        <v>not-provided</v>
      </c>
      <c r="D238" s="89" t="str">
        <f>'source-upstream'!D238</f>
        <v>Not provided</v>
      </c>
      <c r="E238" s="70" t="str">
        <f>if('source-upstream'!E238="",'schema-yn'!$A$5,vlookup('source-upstream'!E238,YN_MAP,3,FALSE))</f>
        <v>not-provided</v>
      </c>
      <c r="F238" s="70" t="str">
        <f>if('source-upstream'!F238="",'schema-yn'!$A$5,vlookup('source-upstream'!F238,YN_MAP,3,FALSE))</f>
        <v>not-provided</v>
      </c>
      <c r="G238" s="70" t="str">
        <f>if('source-upstream'!G238="",'schema-yn'!$A$5,vlookup('source-upstream'!G238,YN_MAP,3,FALSE))</f>
        <v>not-provided</v>
      </c>
      <c r="H238" s="70" t="str">
        <f>if('source-upstream'!H238="",'schema-yn'!$A$5,vlookup('source-upstream'!H238,RESILIENCE_OPTION_MAP,3,FALSE))</f>
        <v>not-provided</v>
      </c>
      <c r="I238" s="70" t="str">
        <f>if(iserror(vlookup('source-upstream'!I238,'data-cleansing-maps'!N$5:N$10,1,FALSE)),'source-upstream'!I238,"")</f>
        <v/>
      </c>
      <c r="J238" s="89" t="str">
        <f>'source-upstream'!J238</f>
        <v>No comments provided</v>
      </c>
      <c r="K238" s="70" t="str">
        <f>if('source-upstream'!K238="",'schema-yn'!$A$5,vlookup('source-upstream'!K238,YN_MAP,3,FALSE))</f>
        <v>not-provided</v>
      </c>
      <c r="L238" s="90" t="str">
        <f>if('source-upstream'!L238="Not provided","",'source-upstream'!L238)</f>
        <v/>
      </c>
      <c r="M238" s="65" t="str">
        <f>if('source-upstream'!M238="",'schema-rv-services'!$B$26,vlookup(vlookup('source-upstream'!$M238,'analysis-rv-services'!$C:$E,3,FALSE),'schema-rv-services'!$A:$B,2, FALSE))</f>
        <v>repairs-and-maintenance</v>
      </c>
      <c r="N238" s="70"/>
    </row>
    <row r="239" ht="15.0" customHeight="1">
      <c r="A239" s="88" t="str">
        <f>Substitute(SUBSTITUTE(substitute(substitute(substitute(substitute(substitute(substitute(substitute(lower('source-upstream'!A239)," ","-"),"(",""),")",""),"&gt;",""),"&lt;",""),"---","-"),".","-"),"--","-"),"&amp;","-and-")</f>
        <v>tiny-platypus</v>
      </c>
      <c r="B239" s="88" t="str">
        <f>Substitute(SUBSTITUTE(substitute(substitute(substitute(substitute(substitute(substitute(substitute(lower('source-upstream'!B239)," ","-"),"(",""),")",""),"&gt;",""),"&lt;",""),"---","-"),".","-"),"--","-"),"&amp;","-and-")</f>
        <v>fuzzy-sugar-glider</v>
      </c>
      <c r="C239" s="70" t="str">
        <f>if('source-upstream'!C239="",'schema-frequency'!$B$11,vlookup('source-upstream'!C239,FREQUENCY_MAP, 3, FALSE))</f>
        <v>not-provided</v>
      </c>
      <c r="D239" s="89" t="str">
        <f>'source-upstream'!D239</f>
        <v>logistics</v>
      </c>
      <c r="E239" s="70" t="str">
        <f>if('source-upstream'!E239="",'schema-yn'!$A$5,vlookup('source-upstream'!E239,YN_MAP,3,FALSE))</f>
        <v>yes</v>
      </c>
      <c r="F239" s="70" t="str">
        <f>if('source-upstream'!F239="",'schema-yn'!$A$5,vlookup('source-upstream'!F239,YN_MAP,3,FALSE))</f>
        <v>not-provided</v>
      </c>
      <c r="G239" s="70" t="str">
        <f>if('source-upstream'!G239="",'schema-yn'!$A$5,vlookup('source-upstream'!G239,YN_MAP,3,FALSE))</f>
        <v>partially</v>
      </c>
      <c r="H239" s="70" t="str">
        <f>if('source-upstream'!H239="",'schema-yn'!$A$5,vlookup('source-upstream'!H239,RESILIENCE_OPTION_MAP,3,FALSE))</f>
        <v>not-provided</v>
      </c>
      <c r="I239" s="70" t="str">
        <f>if(iserror(vlookup('source-upstream'!I239,'data-cleansing-maps'!N$5:N$10,1,FALSE)),'source-upstream'!I239,"")</f>
        <v/>
      </c>
      <c r="J239" s="89" t="str">
        <f>'source-upstream'!J239</f>
        <v>also sorting and IT systems</v>
      </c>
      <c r="K239" s="70" t="str">
        <f>if('source-upstream'!K239="",'schema-yn'!$A$5,vlookup('source-upstream'!K239,YN_MAP,3,FALSE))</f>
        <v>not-provided</v>
      </c>
      <c r="L239" s="90" t="str">
        <f>if('source-upstream'!L239="Not provided","",'source-upstream'!L239)</f>
        <v/>
      </c>
      <c r="M239" s="65" t="str">
        <f>if('source-upstream'!M239="",'schema-rv-services'!$B$26,vlookup(vlookup('source-upstream'!$M239,'analysis-rv-services'!$C:$E,3,FALSE),'schema-rv-services'!$A:$B,2, FALSE))</f>
        <v>transport</v>
      </c>
      <c r="N239" s="70"/>
    </row>
    <row r="240" ht="15.0" customHeight="1">
      <c r="A240" s="88" t="str">
        <f>Substitute(SUBSTITUTE(substitute(substitute(substitute(substitute(substitute(substitute(substitute(lower('source-upstream'!A240)," ","-"),"(",""),")",""),"&gt;",""),"&lt;",""),"---","-"),".","-"),"--","-"),"&amp;","-and-")</f>
        <v>tiny-platypus</v>
      </c>
      <c r="B240" s="88" t="str">
        <f>Substitute(SUBSTITUTE(substitute(substitute(substitute(substitute(substitute(substitute(substitute(lower('source-upstream'!B240)," ","-"),"(",""),")",""),"&gt;",""),"&lt;",""),"---","-"),".","-"),"--","-"),"&amp;","-and-")</f>
        <v>tiny-possum</v>
      </c>
      <c r="C240" s="70" t="str">
        <f>if('source-upstream'!C240="",'schema-frequency'!$B$11,vlookup('source-upstream'!C240,FREQUENCY_MAP, 3, FALSE))</f>
        <v>not-provided</v>
      </c>
      <c r="D240" s="89" t="str">
        <f>'source-upstream'!D240</f>
        <v>collection point services (RVMs)</v>
      </c>
      <c r="E240" s="70" t="str">
        <f>if('source-upstream'!E240="",'schema-yn'!$A$5,vlookup('source-upstream'!E240,YN_MAP,3,FALSE))</f>
        <v>yes</v>
      </c>
      <c r="F240" s="70" t="str">
        <f>if('source-upstream'!F240="",'schema-yn'!$A$5,vlookup('source-upstream'!F240,YN_MAP,3,FALSE))</f>
        <v>not-provided</v>
      </c>
      <c r="G240" s="70" t="str">
        <f>if('source-upstream'!G240="",'schema-yn'!$A$5,vlookup('source-upstream'!G240,YN_MAP,3,FALSE))</f>
        <v>partially</v>
      </c>
      <c r="H240" s="70" t="str">
        <f>if('source-upstream'!H240="",'schema-yn'!$A$5,vlookup('source-upstream'!H240,RESILIENCE_OPTION_MAP,3,FALSE))</f>
        <v>not-provided</v>
      </c>
      <c r="I240" s="70" t="str">
        <f>if(iserror(vlookup('source-upstream'!I240,'data-cleansing-maps'!N$5:N$10,1,FALSE)),'source-upstream'!I240,"")</f>
        <v/>
      </c>
      <c r="J240" s="89" t="str">
        <f>'source-upstream'!J240</f>
        <v>also technology servcies</v>
      </c>
      <c r="K240" s="70" t="str">
        <f>if('source-upstream'!K240="",'schema-yn'!$A$5,vlookup('source-upstream'!K240,YN_MAP,3,FALSE))</f>
        <v>not-provided</v>
      </c>
      <c r="L240" s="90" t="str">
        <f>if('source-upstream'!L240="Not provided","",'source-upstream'!L240)</f>
        <v/>
      </c>
      <c r="M240" s="65" t="str">
        <f>if('source-upstream'!M240="",'schema-rv-services'!$B$26,vlookup(vlookup('source-upstream'!$M240,'analysis-rv-services'!$C:$E,3,FALSE),'schema-rv-services'!$A:$B,2, FALSE))</f>
        <v>transport</v>
      </c>
      <c r="N240" s="70"/>
    </row>
    <row r="241" ht="15.0" customHeight="1">
      <c r="A241" s="88" t="str">
        <f>Substitute(SUBSTITUTE(substitute(substitute(substitute(substitute(substitute(substitute(substitute(lower('source-upstream'!A241)," ","-"),"(",""),")",""),"&gt;",""),"&lt;",""),"---","-"),".","-"),"--","-"),"&amp;","-and-")</f>
        <v>wild-cassowary</v>
      </c>
      <c r="B241" s="88" t="str">
        <f>Substitute(SUBSTITUTE(substitute(substitute(substitute(substitute(substitute(substitute(substitute(lower('source-upstream'!B241)," ","-"),"(",""),")",""),"&gt;",""),"&lt;",""),"---","-"),".","-"),"--","-"),"&amp;","-and-")</f>
        <v>red-numbat</v>
      </c>
      <c r="C241" s="70" t="str">
        <f>if('source-upstream'!C241="",'schema-frequency'!$B$11,vlookup('source-upstream'!C241,FREQUENCY_MAP, 3, FALSE))</f>
        <v>not-provided</v>
      </c>
      <c r="D241" s="89" t="str">
        <f>'source-upstream'!D241</f>
        <v>Building approval</v>
      </c>
      <c r="E241" s="70" t="str">
        <f>if('source-upstream'!E241="",'schema-yn'!$A$5,vlookup('source-upstream'!E241,YN_MAP,3,FALSE))</f>
        <v>not-provided</v>
      </c>
      <c r="F241" s="70" t="str">
        <f>if('source-upstream'!F241="",'schema-yn'!$A$5,vlookup('source-upstream'!F241,YN_MAP,3,FALSE))</f>
        <v>not-provided</v>
      </c>
      <c r="G241" s="70" t="str">
        <f>if('source-upstream'!G241="",'schema-yn'!$A$5,vlookup('source-upstream'!G241,YN_MAP,3,FALSE))</f>
        <v>not-provided</v>
      </c>
      <c r="H241" s="70" t="str">
        <f>if('source-upstream'!H241="",'schema-yn'!$A$5,vlookup('source-upstream'!H241,RESILIENCE_OPTION_MAP,3,FALSE))</f>
        <v>not-provided</v>
      </c>
      <c r="I241" s="70" t="str">
        <f>if(iserror(vlookup('source-upstream'!I241,'data-cleansing-maps'!N$5:N$10,1,FALSE)),'source-upstream'!I241,"")</f>
        <v/>
      </c>
      <c r="J241" s="89" t="str">
        <f>'source-upstream'!J241</f>
        <v>No comments provided</v>
      </c>
      <c r="K241" s="70" t="str">
        <f>if('source-upstream'!K241="",'schema-yn'!$A$5,vlookup('source-upstream'!K241,YN_MAP,3,FALSE))</f>
        <v>not-provided</v>
      </c>
      <c r="L241" s="90" t="str">
        <f>if('source-upstream'!L241="Not provided","",'source-upstream'!L241)</f>
        <v/>
      </c>
      <c r="M241" s="65" t="str">
        <f>if('source-upstream'!M241="",'schema-rv-services'!$B$26,vlookup(vlookup('source-upstream'!$M241,'analysis-rv-services'!$C:$E,3,FALSE),'schema-rv-services'!$A:$B,2, FALSE))</f>
        <v>not-provided</v>
      </c>
      <c r="N241" s="70"/>
    </row>
    <row r="242" ht="15.0" customHeight="1">
      <c r="A242" s="88" t="str">
        <f>Substitute(SUBSTITUTE(substitute(substitute(substitute(substitute(substitute(substitute(substitute(lower('source-upstream'!A242)," ","-"),"(",""),")",""),"&gt;",""),"&lt;",""),"---","-"),".","-"),"--","-"),"&amp;","-and-")</f>
        <v>wild-cassowary</v>
      </c>
      <c r="B242" s="88" t="str">
        <f>Substitute(SUBSTITUTE(substitute(substitute(substitute(substitute(substitute(substitute(substitute(lower('source-upstream'!B242)," ","-"),"(",""),")",""),"&gt;",""),"&lt;",""),"---","-"),".","-"),"--","-"),"&amp;","-and-")</f>
        <v>green-dingo</v>
      </c>
      <c r="C242" s="70" t="str">
        <f>if('source-upstream'!C242="",'schema-frequency'!$B$11,vlookup('source-upstream'!C242,FREQUENCY_MAP, 3, FALSE))</f>
        <v>not-provided</v>
      </c>
      <c r="D242" s="89" t="str">
        <f>'source-upstream'!D242</f>
        <v>Licencing</v>
      </c>
      <c r="E242" s="70" t="str">
        <f>if('source-upstream'!E242="",'schema-yn'!$A$5,vlookup('source-upstream'!E242,YN_MAP,3,FALSE))</f>
        <v>not-provided</v>
      </c>
      <c r="F242" s="70" t="str">
        <f>if('source-upstream'!F242="",'schema-yn'!$A$5,vlookup('source-upstream'!F242,YN_MAP,3,FALSE))</f>
        <v>not-provided</v>
      </c>
      <c r="G242" s="70" t="str">
        <f>if('source-upstream'!G242="",'schema-yn'!$A$5,vlookup('source-upstream'!G242,YN_MAP,3,FALSE))</f>
        <v>not-provided</v>
      </c>
      <c r="H242" s="70" t="str">
        <f>if('source-upstream'!H242="",'schema-yn'!$A$5,vlookup('source-upstream'!H242,RESILIENCE_OPTION_MAP,3,FALSE))</f>
        <v>not-provided</v>
      </c>
      <c r="I242" s="70" t="str">
        <f>if(iserror(vlookup('source-upstream'!I242,'data-cleansing-maps'!N$5:N$10,1,FALSE)),'source-upstream'!I242,"")</f>
        <v/>
      </c>
      <c r="J242" s="89" t="str">
        <f>'source-upstream'!J242</f>
        <v>No comments provided</v>
      </c>
      <c r="K242" s="70" t="str">
        <f>if('source-upstream'!K242="",'schema-yn'!$A$5,vlookup('source-upstream'!K242,YN_MAP,3,FALSE))</f>
        <v>not-provided</v>
      </c>
      <c r="L242" s="90" t="str">
        <f>if('source-upstream'!L242="Not provided","",'source-upstream'!L242)</f>
        <v/>
      </c>
      <c r="M242" s="65" t="str">
        <f>if('source-upstream'!M242="",'schema-rv-services'!$B$26,vlookup(vlookup('source-upstream'!$M242,'analysis-rv-services'!$C:$E,3,FALSE),'schema-rv-services'!$A:$B,2, FALSE))</f>
        <v>regulator</v>
      </c>
      <c r="N242" s="70"/>
    </row>
    <row r="243" ht="15.0" customHeight="1">
      <c r="A243" s="88" t="str">
        <f>Substitute(SUBSTITUTE(substitute(substitute(substitute(substitute(substitute(substitute(substitute(lower('source-upstream'!A243)," ","-"),"(",""),")",""),"&gt;",""),"&lt;",""),"---","-"),".","-"),"--","-"),"&amp;","-and-")</f>
        <v>wild-cassowary</v>
      </c>
      <c r="B243" s="88" t="str">
        <f>Substitute(SUBSTITUTE(substitute(substitute(substitute(substitute(substitute(substitute(substitute(lower('source-upstream'!B243)," ","-"),"(",""),")",""),"&gt;",""),"&lt;",""),"---","-"),".","-"),"--","-"),"&amp;","-and-")</f>
        <v>red-numbat</v>
      </c>
      <c r="C243" s="70" t="str">
        <f>if('source-upstream'!C243="",'schema-frequency'!$B$11,vlookup('source-upstream'!C243,FREQUENCY_MAP, 3, FALSE))</f>
        <v>not-provided</v>
      </c>
      <c r="D243" s="89" t="str">
        <f>'source-upstream'!D243</f>
        <v>Building approval</v>
      </c>
      <c r="E243" s="70" t="str">
        <f>if('source-upstream'!E243="",'schema-yn'!$A$5,vlookup('source-upstream'!E243,YN_MAP,3,FALSE))</f>
        <v>not-provided</v>
      </c>
      <c r="F243" s="70" t="str">
        <f>if('source-upstream'!F243="",'schema-yn'!$A$5,vlookup('source-upstream'!F243,YN_MAP,3,FALSE))</f>
        <v>not-provided</v>
      </c>
      <c r="G243" s="70" t="str">
        <f>if('source-upstream'!G243="",'schema-yn'!$A$5,vlookup('source-upstream'!G243,YN_MAP,3,FALSE))</f>
        <v>not-provided</v>
      </c>
      <c r="H243" s="70" t="str">
        <f>if('source-upstream'!H243="",'schema-yn'!$A$5,vlookup('source-upstream'!H243,RESILIENCE_OPTION_MAP,3,FALSE))</f>
        <v>not-provided</v>
      </c>
      <c r="I243" s="70" t="str">
        <f>if(iserror(vlookup('source-upstream'!I243,'data-cleansing-maps'!N$5:N$10,1,FALSE)),'source-upstream'!I243,"")</f>
        <v/>
      </c>
      <c r="J243" s="89" t="str">
        <f>'source-upstream'!J243</f>
        <v>No comments provided</v>
      </c>
      <c r="K243" s="70" t="str">
        <f>if('source-upstream'!K243="",'schema-yn'!$A$5,vlookup('source-upstream'!K243,YN_MAP,3,FALSE))</f>
        <v>not-provided</v>
      </c>
      <c r="L243" s="90" t="str">
        <f>if('source-upstream'!L243="Not provided","",'source-upstream'!L243)</f>
        <v/>
      </c>
      <c r="M243" s="65" t="str">
        <f>if('source-upstream'!M243="",'schema-rv-services'!$B$26,vlookup(vlookup('source-upstream'!$M243,'analysis-rv-services'!$C:$E,3,FALSE),'schema-rv-services'!$A:$B,2, FALSE))</f>
        <v>local-government</v>
      </c>
      <c r="N243" s="70"/>
    </row>
    <row r="244" ht="15.0" customHeight="1">
      <c r="A244" s="88" t="str">
        <f>Substitute(SUBSTITUTE(substitute(substitute(substitute(substitute(substitute(substitute(substitute(lower('source-upstream'!A244)," ","-"),"(",""),")",""),"&gt;",""),"&lt;",""),"---","-"),".","-"),"--","-"),"&amp;","-and-")</f>
        <v>wild-cassowary</v>
      </c>
      <c r="B244" s="88" t="str">
        <f>Substitute(SUBSTITUTE(substitute(substitute(substitute(substitute(substitute(substitute(substitute(lower('source-upstream'!B244)," ","-"),"(",""),")",""),"&gt;",""),"&lt;",""),"---","-"),".","-"),"--","-"),"&amp;","-and-")</f>
        <v>red-dingo</v>
      </c>
      <c r="C244" s="70" t="str">
        <f>if('source-upstream'!C244="",'schema-frequency'!$B$11,vlookup('source-upstream'!C244,FREQUENCY_MAP, 3, FALSE))</f>
        <v>not-provided</v>
      </c>
      <c r="D244" s="89" t="str">
        <f>'source-upstream'!D244</f>
        <v>Freight management</v>
      </c>
      <c r="E244" s="70" t="str">
        <f>if('source-upstream'!E244="",'schema-yn'!$A$5,vlookup('source-upstream'!E244,YN_MAP,3,FALSE))</f>
        <v>not-provided</v>
      </c>
      <c r="F244" s="70" t="str">
        <f>if('source-upstream'!F244="",'schema-yn'!$A$5,vlookup('source-upstream'!F244,YN_MAP,3,FALSE))</f>
        <v>not-provided</v>
      </c>
      <c r="G244" s="70" t="str">
        <f>if('source-upstream'!G244="",'schema-yn'!$A$5,vlookup('source-upstream'!G244,YN_MAP,3,FALSE))</f>
        <v>not-provided</v>
      </c>
      <c r="H244" s="70" t="str">
        <f>if('source-upstream'!H244="",'schema-yn'!$A$5,vlookup('source-upstream'!H244,RESILIENCE_OPTION_MAP,3,FALSE))</f>
        <v>not-provided</v>
      </c>
      <c r="I244" s="70" t="str">
        <f>if(iserror(vlookup('source-upstream'!I244,'data-cleansing-maps'!N$5:N$10,1,FALSE)),'source-upstream'!I244,"")</f>
        <v/>
      </c>
      <c r="J244" s="89" t="str">
        <f>'source-upstream'!J244</f>
        <v>No comments provided</v>
      </c>
      <c r="K244" s="70" t="str">
        <f>if('source-upstream'!K244="",'schema-yn'!$A$5,vlookup('source-upstream'!K244,YN_MAP,3,FALSE))</f>
        <v>not-provided</v>
      </c>
      <c r="L244" s="90" t="str">
        <f>if('source-upstream'!L244="Not provided","",'source-upstream'!L244)</f>
        <v/>
      </c>
      <c r="M244" s="65" t="str">
        <f>if('source-upstream'!M244="",'schema-rv-services'!$B$26,vlookup(vlookup('source-upstream'!$M244,'analysis-rv-services'!$C:$E,3,FALSE),'schema-rv-services'!$A:$B,2, FALSE))</f>
        <v>transport</v>
      </c>
      <c r="N244" s="70"/>
    </row>
    <row r="245" ht="15.0" customHeight="1">
      <c r="A245" s="88" t="str">
        <f>Substitute(SUBSTITUTE(substitute(substitute(substitute(substitute(substitute(substitute(substitute(lower('source-upstream'!A245)," ","-"),"(",""),")",""),"&gt;",""),"&lt;",""),"---","-"),".","-"),"--","-"),"&amp;","-and-")</f>
        <v>wild-cassowary</v>
      </c>
      <c r="B245" s="88" t="str">
        <f>Substitute(SUBSTITUTE(substitute(substitute(substitute(substitute(substitute(substitute(substitute(lower('source-upstream'!B245)," ","-"),"(",""),")",""),"&gt;",""),"&lt;",""),"---","-"),".","-"),"--","-"),"&amp;","-and-")</f>
        <v>shy-dingo</v>
      </c>
      <c r="C245" s="70" t="str">
        <f>if('source-upstream'!C245="",'schema-frequency'!$B$11,vlookup('source-upstream'!C245,FREQUENCY_MAP, 3, FALSE))</f>
        <v>not-provided</v>
      </c>
      <c r="D245" s="89" t="str">
        <f>'source-upstream'!D245</f>
        <v>Freight management</v>
      </c>
      <c r="E245" s="70" t="str">
        <f>if('source-upstream'!E245="",'schema-yn'!$A$5,vlookup('source-upstream'!E245,YN_MAP,3,FALSE))</f>
        <v>not-provided</v>
      </c>
      <c r="F245" s="70" t="str">
        <f>if('source-upstream'!F245="",'schema-yn'!$A$5,vlookup('source-upstream'!F245,YN_MAP,3,FALSE))</f>
        <v>not-provided</v>
      </c>
      <c r="G245" s="70" t="str">
        <f>if('source-upstream'!G245="",'schema-yn'!$A$5,vlookup('source-upstream'!G245,YN_MAP,3,FALSE))</f>
        <v>not-provided</v>
      </c>
      <c r="H245" s="70" t="str">
        <f>if('source-upstream'!H245="",'schema-yn'!$A$5,vlookup('source-upstream'!H245,RESILIENCE_OPTION_MAP,3,FALSE))</f>
        <v>not-provided</v>
      </c>
      <c r="I245" s="70" t="str">
        <f>if(iserror(vlookup('source-upstream'!I245,'data-cleansing-maps'!N$5:N$10,1,FALSE)),'source-upstream'!I245,"")</f>
        <v/>
      </c>
      <c r="J245" s="89" t="str">
        <f>'source-upstream'!J245</f>
        <v>No comments provided</v>
      </c>
      <c r="K245" s="70" t="str">
        <f>if('source-upstream'!K245="",'schema-yn'!$A$5,vlookup('source-upstream'!K245,YN_MAP,3,FALSE))</f>
        <v>not-provided</v>
      </c>
      <c r="L245" s="90" t="str">
        <f>if('source-upstream'!L245="Not provided","",'source-upstream'!L245)</f>
        <v/>
      </c>
      <c r="M245" s="65" t="str">
        <f>if('source-upstream'!M245="",'schema-rv-services'!$B$26,vlookup(vlookup('source-upstream'!$M245,'analysis-rv-services'!$C:$E,3,FALSE),'schema-rv-services'!$A:$B,2, FALSE))</f>
        <v>transport</v>
      </c>
      <c r="N245" s="70"/>
    </row>
    <row r="246" ht="15.0" customHeight="1">
      <c r="A246" s="88" t="str">
        <f>Substitute(SUBSTITUTE(substitute(substitute(substitute(substitute(substitute(substitute(substitute(lower('source-upstream'!A246)," ","-"),"(",""),")",""),"&gt;",""),"&lt;",""),"---","-"),".","-"),"--","-"),"&amp;","-and-")</f>
        <v>wild-cassowary</v>
      </c>
      <c r="B246" s="88" t="str">
        <f>Substitute(SUBSTITUTE(substitute(substitute(substitute(substitute(substitute(substitute(substitute(lower('source-upstream'!B246)," ","-"),"(",""),")",""),"&gt;",""),"&lt;",""),"---","-"),".","-"),"--","-"),"&amp;","-and-")</f>
        <v>golden-tasmanian-devil</v>
      </c>
      <c r="C246" s="70" t="str">
        <f>if('source-upstream'!C246="",'schema-frequency'!$B$11,vlookup('source-upstream'!C246,FREQUENCY_MAP, 3, FALSE))</f>
        <v>not-provided</v>
      </c>
      <c r="D246" s="89" t="str">
        <f>'source-upstream'!D246</f>
        <v>Critical spares</v>
      </c>
      <c r="E246" s="70" t="str">
        <f>if('source-upstream'!E246="",'schema-yn'!$A$5,vlookup('source-upstream'!E246,YN_MAP,3,FALSE))</f>
        <v>not-provided</v>
      </c>
      <c r="F246" s="70" t="str">
        <f>if('source-upstream'!F246="",'schema-yn'!$A$5,vlookup('source-upstream'!F246,YN_MAP,3,FALSE))</f>
        <v>not-provided</v>
      </c>
      <c r="G246" s="70" t="str">
        <f>if('source-upstream'!G246="",'schema-yn'!$A$5,vlookup('source-upstream'!G246,YN_MAP,3,FALSE))</f>
        <v>not-provided</v>
      </c>
      <c r="H246" s="70" t="str">
        <f>if('source-upstream'!H246="",'schema-yn'!$A$5,vlookup('source-upstream'!H246,RESILIENCE_OPTION_MAP,3,FALSE))</f>
        <v>not-provided</v>
      </c>
      <c r="I246" s="70" t="str">
        <f>if(iserror(vlookup('source-upstream'!I246,'data-cleansing-maps'!N$5:N$10,1,FALSE)),'source-upstream'!I246,"")</f>
        <v/>
      </c>
      <c r="J246" s="89" t="str">
        <f>'source-upstream'!J246</f>
        <v>No comments provided</v>
      </c>
      <c r="K246" s="70" t="str">
        <f>if('source-upstream'!K246="",'schema-yn'!$A$5,vlookup('source-upstream'!K246,YN_MAP,3,FALSE))</f>
        <v>not-provided</v>
      </c>
      <c r="L246" s="90" t="str">
        <f>if('source-upstream'!L246="Not provided","",'source-upstream'!L246)</f>
        <v/>
      </c>
      <c r="M246" s="65" t="str">
        <f>if('source-upstream'!M246="",'schema-rv-services'!$B$26,vlookup(vlookup('source-upstream'!$M246,'analysis-rv-services'!$C:$E,3,FALSE),'schema-rv-services'!$A:$B,2, FALSE))</f>
        <v>plant-and-equipment</v>
      </c>
      <c r="N246" s="70"/>
    </row>
    <row r="247" ht="15.0" customHeight="1">
      <c r="A247" s="88" t="str">
        <f>Substitute(SUBSTITUTE(substitute(substitute(substitute(substitute(substitute(substitute(substitute(lower('source-upstream'!A247)," ","-"),"(",""),")",""),"&gt;",""),"&lt;",""),"---","-"),".","-"),"--","-"),"&amp;","-and-")</f>
        <v>wild-cassowary</v>
      </c>
      <c r="B247" s="88" t="str">
        <f>Substitute(SUBSTITUTE(substitute(substitute(substitute(substitute(substitute(substitute(substitute(lower('source-upstream'!B247)," ","-"),"(",""),")",""),"&gt;",""),"&lt;",""),"---","-"),".","-"),"--","-"),"&amp;","-and-")</f>
        <v>giant-redback-spider</v>
      </c>
      <c r="C247" s="70" t="str">
        <f>if('source-upstream'!C247="",'schema-frequency'!$B$11,vlookup('source-upstream'!C247,FREQUENCY_MAP, 3, FALSE))</f>
        <v>not-provided</v>
      </c>
      <c r="D247" s="89" t="str">
        <f>'source-upstream'!D247</f>
        <v>Critical spares</v>
      </c>
      <c r="E247" s="70" t="str">
        <f>if('source-upstream'!E247="",'schema-yn'!$A$5,vlookup('source-upstream'!E247,YN_MAP,3,FALSE))</f>
        <v>not-provided</v>
      </c>
      <c r="F247" s="70" t="str">
        <f>if('source-upstream'!F247="",'schema-yn'!$A$5,vlookup('source-upstream'!F247,YN_MAP,3,FALSE))</f>
        <v>not-provided</v>
      </c>
      <c r="G247" s="70" t="str">
        <f>if('source-upstream'!G247="",'schema-yn'!$A$5,vlookup('source-upstream'!G247,YN_MAP,3,FALSE))</f>
        <v>not-provided</v>
      </c>
      <c r="H247" s="70" t="str">
        <f>if('source-upstream'!H247="",'schema-yn'!$A$5,vlookup('source-upstream'!H247,RESILIENCE_OPTION_MAP,3,FALSE))</f>
        <v>not-provided</v>
      </c>
      <c r="I247" s="70" t="str">
        <f>if(iserror(vlookup('source-upstream'!I247,'data-cleansing-maps'!N$5:N$10,1,FALSE)),'source-upstream'!I247,"")</f>
        <v/>
      </c>
      <c r="J247" s="89" t="str">
        <f>'source-upstream'!J247</f>
        <v>No comments provided</v>
      </c>
      <c r="K247" s="70" t="str">
        <f>if('source-upstream'!K247="",'schema-yn'!$A$5,vlookup('source-upstream'!K247,YN_MAP,3,FALSE))</f>
        <v>not-provided</v>
      </c>
      <c r="L247" s="90" t="str">
        <f>if('source-upstream'!L247="Not provided","",'source-upstream'!L247)</f>
        <v/>
      </c>
      <c r="M247" s="65" t="str">
        <f>if('source-upstream'!M247="",'schema-rv-services'!$B$26,vlookup(vlookup('source-upstream'!$M247,'analysis-rv-services'!$C:$E,3,FALSE),'schema-rv-services'!$A:$B,2, FALSE))</f>
        <v>repairs-and-maintenance</v>
      </c>
      <c r="N247" s="70"/>
    </row>
    <row r="248" ht="15.0" customHeight="1">
      <c r="A248" s="88" t="str">
        <f>Substitute(SUBSTITUTE(substitute(substitute(substitute(substitute(substitute(substitute(substitute(lower('source-upstream'!A248)," ","-"),"(",""),")",""),"&gt;",""),"&lt;",""),"---","-"),".","-"),"--","-"),"&amp;","-and-")</f>
        <v>wild-cassowary</v>
      </c>
      <c r="B248" s="88" t="str">
        <f>Substitute(SUBSTITUTE(substitute(substitute(substitute(substitute(substitute(substitute(substitute(lower('source-upstream'!B248)," ","-"),"(",""),")",""),"&gt;",""),"&lt;",""),"---","-"),".","-"),"--","-"),"&amp;","-and-")</f>
        <v>shy-kookaburra</v>
      </c>
      <c r="C248" s="70" t="str">
        <f>if('source-upstream'!C248="",'schema-frequency'!$B$11,vlookup('source-upstream'!C248,FREQUENCY_MAP, 3, FALSE))</f>
        <v>not-provided</v>
      </c>
      <c r="D248" s="89" t="str">
        <f>'source-upstream'!D248</f>
        <v>Hazardous waste management (used tyres)</v>
      </c>
      <c r="E248" s="70" t="str">
        <f>if('source-upstream'!E248="",'schema-yn'!$A$5,vlookup('source-upstream'!E248,YN_MAP,3,FALSE))</f>
        <v>not-provided</v>
      </c>
      <c r="F248" s="70" t="str">
        <f>if('source-upstream'!F248="",'schema-yn'!$A$5,vlookup('source-upstream'!F248,YN_MAP,3,FALSE))</f>
        <v>not-provided</v>
      </c>
      <c r="G248" s="70" t="str">
        <f>if('source-upstream'!G248="",'schema-yn'!$A$5,vlookup('source-upstream'!G248,YN_MAP,3,FALSE))</f>
        <v>not-provided</v>
      </c>
      <c r="H248" s="70" t="str">
        <f>if('source-upstream'!H248="",'schema-yn'!$A$5,vlookup('source-upstream'!H248,RESILIENCE_OPTION_MAP,3,FALSE))</f>
        <v>not-provided</v>
      </c>
      <c r="I248" s="70" t="str">
        <f>if(iserror(vlookup('source-upstream'!I248,'data-cleansing-maps'!N$5:N$10,1,FALSE)),'source-upstream'!I248,"")</f>
        <v/>
      </c>
      <c r="J248" s="89" t="str">
        <f>'source-upstream'!J248</f>
        <v>Not provided</v>
      </c>
      <c r="K248" s="70" t="str">
        <f>if('source-upstream'!K248="",'schema-yn'!$A$5,vlookup('source-upstream'!K248,YN_MAP,3,FALSE))</f>
        <v>not-provided</v>
      </c>
      <c r="L248" s="90" t="str">
        <f>if('source-upstream'!L248="Not provided","",'source-upstream'!L248)</f>
        <v/>
      </c>
      <c r="M248" s="65" t="str">
        <f>if('source-upstream'!M248="",'schema-rv-services'!$B$26,vlookup(vlookup('source-upstream'!$M248,'analysis-rv-services'!$C:$E,3,FALSE),'schema-rv-services'!$A:$B,2, FALSE))</f>
        <v>feedstock</v>
      </c>
      <c r="N248" s="70"/>
    </row>
    <row r="249" ht="15.0" customHeight="1">
      <c r="A249" s="88" t="str">
        <f>Substitute(SUBSTITUTE(substitute(substitute(substitute(substitute(substitute(substitute(substitute(lower('source-upstream'!A249)," ","-"),"(",""),")",""),"&gt;",""),"&lt;",""),"---","-"),".","-"),"--","-"),"&amp;","-and-")</f>
        <v>wild-cassowary</v>
      </c>
      <c r="B249" s="88" t="str">
        <f>Substitute(SUBSTITUTE(substitute(substitute(substitute(substitute(substitute(substitute(substitute(lower('source-upstream'!B249)," ","-"),"(",""),")",""),"&gt;",""),"&lt;",""),"---","-"),".","-"),"--","-"),"&amp;","-and-")</f>
        <v>clever-kangaroo</v>
      </c>
      <c r="C249" s="70" t="str">
        <f>if('source-upstream'!C249="",'schema-frequency'!$B$11,vlookup('source-upstream'!C249,FREQUENCY_MAP, 3, FALSE))</f>
        <v>not-provided</v>
      </c>
      <c r="D249" s="89" t="str">
        <f>'source-upstream'!D249</f>
        <v>Hazardous waste management (used tyres)</v>
      </c>
      <c r="E249" s="70" t="str">
        <f>if('source-upstream'!E249="",'schema-yn'!$A$5,vlookup('source-upstream'!E249,YN_MAP,3,FALSE))</f>
        <v>not-provided</v>
      </c>
      <c r="F249" s="70" t="str">
        <f>if('source-upstream'!F249="",'schema-yn'!$A$5,vlookup('source-upstream'!F249,YN_MAP,3,FALSE))</f>
        <v>not-provided</v>
      </c>
      <c r="G249" s="70" t="str">
        <f>if('source-upstream'!G249="",'schema-yn'!$A$5,vlookup('source-upstream'!G249,YN_MAP,3,FALSE))</f>
        <v>not-provided</v>
      </c>
      <c r="H249" s="70" t="str">
        <f>if('source-upstream'!H249="",'schema-yn'!$A$5,vlookup('source-upstream'!H249,RESILIENCE_OPTION_MAP,3,FALSE))</f>
        <v>not-provided</v>
      </c>
      <c r="I249" s="70" t="str">
        <f>if(iserror(vlookup('source-upstream'!I249,'data-cleansing-maps'!N$5:N$10,1,FALSE)),'source-upstream'!I249,"")</f>
        <v/>
      </c>
      <c r="J249" s="89" t="str">
        <f>'source-upstream'!J249</f>
        <v>Not provided</v>
      </c>
      <c r="K249" s="70" t="str">
        <f>if('source-upstream'!K249="",'schema-yn'!$A$5,vlookup('source-upstream'!K249,YN_MAP,3,FALSE))</f>
        <v>not-provided</v>
      </c>
      <c r="L249" s="90" t="str">
        <f>if('source-upstream'!L249="Not provided","",'source-upstream'!L249)</f>
        <v/>
      </c>
      <c r="M249" s="65" t="str">
        <f>if('source-upstream'!M249="",'schema-rv-services'!$B$26,vlookup(vlookup('source-upstream'!$M249,'analysis-rv-services'!$C:$E,3,FALSE),'schema-rv-services'!$A:$B,2, FALSE))</f>
        <v>feedstock</v>
      </c>
      <c r="N249" s="70"/>
    </row>
    <row r="250" ht="15.0" customHeight="1">
      <c r="A250" s="88" t="str">
        <f>Substitute(SUBSTITUTE(substitute(substitute(substitute(substitute(substitute(substitute(substitute(lower('source-upstream'!A250)," ","-"),"(",""),")",""),"&gt;",""),"&lt;",""),"---","-"),".","-"),"--","-"),"&amp;","-and-")</f>
        <v>wild-cassowary</v>
      </c>
      <c r="B250" s="88" t="str">
        <f>Substitute(SUBSTITUTE(substitute(substitute(substitute(substitute(substitute(substitute(substitute(lower('source-upstream'!B250)," ","-"),"(",""),")",""),"&gt;",""),"&lt;",""),"---","-"),".","-"),"--","-"),"&amp;","-and-")</f>
        <v>noisy-numbat</v>
      </c>
      <c r="C250" s="70" t="str">
        <f>if('source-upstream'!C250="",'schema-frequency'!$B$11,vlookup('source-upstream'!C250,FREQUENCY_MAP, 3, FALSE))</f>
        <v>not-provided</v>
      </c>
      <c r="D250" s="89" t="str">
        <f>'source-upstream'!D250</f>
        <v>Hazardous waste management (used tyres)</v>
      </c>
      <c r="E250" s="70" t="str">
        <f>if('source-upstream'!E250="",'schema-yn'!$A$5,vlookup('source-upstream'!E250,YN_MAP,3,FALSE))</f>
        <v>not-provided</v>
      </c>
      <c r="F250" s="70" t="str">
        <f>if('source-upstream'!F250="",'schema-yn'!$A$5,vlookup('source-upstream'!F250,YN_MAP,3,FALSE))</f>
        <v>not-provided</v>
      </c>
      <c r="G250" s="70" t="str">
        <f>if('source-upstream'!G250="",'schema-yn'!$A$5,vlookup('source-upstream'!G250,YN_MAP,3,FALSE))</f>
        <v>not-provided</v>
      </c>
      <c r="H250" s="70" t="str">
        <f>if('source-upstream'!H250="",'schema-yn'!$A$5,vlookup('source-upstream'!H250,RESILIENCE_OPTION_MAP,3,FALSE))</f>
        <v>not-provided</v>
      </c>
      <c r="I250" s="70" t="str">
        <f>if(iserror(vlookup('source-upstream'!I250,'data-cleansing-maps'!N$5:N$10,1,FALSE)),'source-upstream'!I250,"")</f>
        <v/>
      </c>
      <c r="J250" s="89" t="str">
        <f>'source-upstream'!J250</f>
        <v>Not provided</v>
      </c>
      <c r="K250" s="70" t="str">
        <f>if('source-upstream'!K250="",'schema-yn'!$A$5,vlookup('source-upstream'!K250,YN_MAP,3,FALSE))</f>
        <v>not-provided</v>
      </c>
      <c r="L250" s="90" t="str">
        <f>if('source-upstream'!L250="Not provided","",'source-upstream'!L250)</f>
        <v/>
      </c>
      <c r="M250" s="65" t="str">
        <f>if('source-upstream'!M250="",'schema-rv-services'!$B$26,vlookup(vlookup('source-upstream'!$M250,'analysis-rv-services'!$C:$E,3,FALSE),'schema-rv-services'!$A:$B,2, FALSE))</f>
        <v>feedstock</v>
      </c>
      <c r="N250" s="70"/>
    </row>
    <row r="251" ht="15.0" customHeight="1">
      <c r="A251" s="88" t="str">
        <f>Substitute(SUBSTITUTE(substitute(substitute(substitute(substitute(substitute(substitute(substitute(lower('source-upstream'!A251)," ","-"),"(",""),")",""),"&gt;",""),"&lt;",""),"---","-"),".","-"),"--","-"),"&amp;","-and-")</f>
        <v>wild-cassowary</v>
      </c>
      <c r="B251" s="88" t="str">
        <f>Substitute(SUBSTITUTE(substitute(substitute(substitute(substitute(substitute(substitute(substitute(lower('source-upstream'!B251)," ","-"),"(",""),")",""),"&gt;",""),"&lt;",""),"---","-"),".","-"),"--","-"),"&amp;","-and-")</f>
        <v>clever-koala</v>
      </c>
      <c r="C251" s="70" t="str">
        <f>if('source-upstream'!C251="",'schema-frequency'!$B$11,vlookup('source-upstream'!C251,FREQUENCY_MAP, 3, FALSE))</f>
        <v>not-provided</v>
      </c>
      <c r="D251" s="89" t="str">
        <f>'source-upstream'!D251</f>
        <v>Hazardous waste management (used tyres)</v>
      </c>
      <c r="E251" s="70" t="str">
        <f>if('source-upstream'!E251="",'schema-yn'!$A$5,vlookup('source-upstream'!E251,YN_MAP,3,FALSE))</f>
        <v>not-provided</v>
      </c>
      <c r="F251" s="70" t="str">
        <f>if('source-upstream'!F251="",'schema-yn'!$A$5,vlookup('source-upstream'!F251,YN_MAP,3,FALSE))</f>
        <v>not-provided</v>
      </c>
      <c r="G251" s="70" t="str">
        <f>if('source-upstream'!G251="",'schema-yn'!$A$5,vlookup('source-upstream'!G251,YN_MAP,3,FALSE))</f>
        <v>not-provided</v>
      </c>
      <c r="H251" s="70" t="str">
        <f>if('source-upstream'!H251="",'schema-yn'!$A$5,vlookup('source-upstream'!H251,RESILIENCE_OPTION_MAP,3,FALSE))</f>
        <v>not-provided</v>
      </c>
      <c r="I251" s="70" t="str">
        <f>if(iserror(vlookup('source-upstream'!I251,'data-cleansing-maps'!N$5:N$10,1,FALSE)),'source-upstream'!I251,"")</f>
        <v/>
      </c>
      <c r="J251" s="89" t="str">
        <f>'source-upstream'!J251</f>
        <v>Not provided</v>
      </c>
      <c r="K251" s="70" t="str">
        <f>if('source-upstream'!K251="",'schema-yn'!$A$5,vlookup('source-upstream'!K251,YN_MAP,3,FALSE))</f>
        <v>not-provided</v>
      </c>
      <c r="L251" s="90" t="str">
        <f>if('source-upstream'!L251="Not provided","",'source-upstream'!L251)</f>
        <v/>
      </c>
      <c r="M251" s="65" t="str">
        <f>if('source-upstream'!M251="",'schema-rv-services'!$B$26,vlookup(vlookup('source-upstream'!$M251,'analysis-rv-services'!$C:$E,3,FALSE),'schema-rv-services'!$A:$B,2, FALSE))</f>
        <v>feedstock</v>
      </c>
      <c r="N251" s="70"/>
    </row>
    <row r="252" ht="15.0" customHeight="1">
      <c r="A252" s="88" t="str">
        <f>Substitute(SUBSTITUTE(substitute(substitute(substitute(substitute(substitute(substitute(substitute(lower('source-upstream'!A252)," ","-"),"(",""),")",""),"&gt;",""),"&lt;",""),"---","-"),".","-"),"--","-"),"&amp;","-and-")</f>
        <v>wild-kangaroo</v>
      </c>
      <c r="B252" s="88" t="str">
        <f>Substitute(SUBSTITUTE(substitute(substitute(substitute(substitute(substitute(substitute(substitute(lower('source-upstream'!B252)," ","-"),"(",""),")",""),"&gt;",""),"&lt;",""),"---","-"),".","-"),"--","-"),"&amp;","-and-")</f>
        <v>green-dingo</v>
      </c>
      <c r="C252" s="70" t="str">
        <f>if('source-upstream'!C252="",'schema-frequency'!$B$11,vlookup('source-upstream'!C252,FREQUENCY_MAP, 3, FALSE))</f>
        <v>not-provided</v>
      </c>
      <c r="D252" s="89" t="str">
        <f>'source-upstream'!D252</f>
        <v>Regulator for facility Operating licence</v>
      </c>
      <c r="E252" s="70" t="str">
        <f>if('source-upstream'!E252="",'schema-yn'!$A$5,vlookup('source-upstream'!E252,YN_MAP,3,FALSE))</f>
        <v>not-provided</v>
      </c>
      <c r="F252" s="70" t="str">
        <f>if('source-upstream'!F252="",'schema-yn'!$A$5,vlookup('source-upstream'!F252,YN_MAP,3,FALSE))</f>
        <v>not-provided</v>
      </c>
      <c r="G252" s="70" t="str">
        <f>if('source-upstream'!G252="",'schema-yn'!$A$5,vlookup('source-upstream'!G252,YN_MAP,3,FALSE))</f>
        <v>yes</v>
      </c>
      <c r="H252" s="70" t="str">
        <f>if('source-upstream'!H252="",'schema-yn'!$A$5,vlookup('source-upstream'!H252,RESILIENCE_OPTION_MAP,3,FALSE))</f>
        <v>alternative-supplier</v>
      </c>
      <c r="I252" s="70" t="str">
        <f>if(iserror(vlookup('source-upstream'!I252,'data-cleansing-maps'!N$5:N$10,1,FALSE)),'source-upstream'!I252,"")</f>
        <v/>
      </c>
      <c r="J252" s="89" t="str">
        <f>'source-upstream'!J252</f>
        <v>The facility can leverage guidance from accredited consultants in the market who provide environmental assessments, audits, and compliance services.</v>
      </c>
      <c r="K252" s="70" t="str">
        <f>if('source-upstream'!K252="",'schema-yn'!$A$5,vlookup('source-upstream'!K252,YN_MAP,3,FALSE))</f>
        <v>not-provided</v>
      </c>
      <c r="L252" s="90" t="str">
        <f>if('source-upstream'!L252="Not provided","",'source-upstream'!L252)</f>
        <v/>
      </c>
      <c r="M252" s="65" t="str">
        <f>if('source-upstream'!M252="",'schema-rv-services'!$B$26,vlookup(vlookup('source-upstream'!$M252,'analysis-rv-services'!$C:$E,3,FALSE),'schema-rv-services'!$A:$B,2, FALSE))</f>
        <v>regulator</v>
      </c>
      <c r="N252" s="70"/>
    </row>
    <row r="253" ht="15.0" customHeight="1">
      <c r="A253" s="88" t="str">
        <f>Substitute(SUBSTITUTE(substitute(substitute(substitute(substitute(substitute(substitute(substitute(lower('source-upstream'!A253)," ","-"),"(",""),")",""),"&gt;",""),"&lt;",""),"---","-"),".","-"),"--","-"),"&amp;","-and-")</f>
        <v>wild-kangaroo</v>
      </c>
      <c r="B253" s="88" t="str">
        <f>Substitute(SUBSTITUTE(substitute(substitute(substitute(substitute(substitute(substitute(substitute(lower('source-upstream'!B253)," ","-"),"(",""),")",""),"&gt;",""),"&lt;",""),"---","-"),".","-"),"--","-"),"&amp;","-and-")</f>
        <v>fuzzy-sugar-glider</v>
      </c>
      <c r="C253" s="70" t="str">
        <f>if('source-upstream'!C253="",'schema-frequency'!$B$11,vlookup('source-upstream'!C253,FREQUENCY_MAP, 3, FALSE))</f>
        <v>daily</v>
      </c>
      <c r="D253" s="89" t="str">
        <f>'source-upstream'!D253</f>
        <v>Collections services and delivery to facility. Contracted by Council customers.</v>
      </c>
      <c r="E253" s="70" t="str">
        <f>if('source-upstream'!E253="",'schema-yn'!$A$5,vlookup('source-upstream'!E253,YN_MAP,3,FALSE))</f>
        <v>not-provided</v>
      </c>
      <c r="F253" s="70" t="str">
        <f>if('source-upstream'!F253="",'schema-yn'!$A$5,vlookup('source-upstream'!F253,YN_MAP,3,FALSE))</f>
        <v>not-provided</v>
      </c>
      <c r="G253" s="70" t="str">
        <f>if('source-upstream'!G253="",'schema-yn'!$A$5,vlookup('source-upstream'!G253,YN_MAP,3,FALSE))</f>
        <v>yes</v>
      </c>
      <c r="H253" s="70" t="str">
        <f>if('source-upstream'!H253="",'schema-yn'!$A$5,vlookup('source-upstream'!H253,RESILIENCE_OPTION_MAP,3,FALSE))</f>
        <v>alternative-supplier</v>
      </c>
      <c r="I253" s="70" t="str">
        <f>if(iserror(vlookup('source-upstream'!I253,'data-cleansing-maps'!N$5:N$10,1,FALSE)),'source-upstream'!I253,"")</f>
        <v/>
      </c>
      <c r="J253" s="89" t="str">
        <f>'source-upstream'!J253</f>
        <v>Alternative collector would need to be put in place via Council customers. Assume Council customer collections contracts have provisions for service continuity in the event of head collections contractor failure</v>
      </c>
      <c r="K253" s="70" t="str">
        <f>if('source-upstream'!K253="",'schema-yn'!$A$5,vlookup('source-upstream'!K253,YN_MAP,3,FALSE))</f>
        <v>not-provided</v>
      </c>
      <c r="L253" s="90" t="str">
        <f>if('source-upstream'!L253="Not provided","",'source-upstream'!L253)</f>
        <v/>
      </c>
      <c r="M253" s="65" t="str">
        <f>if('source-upstream'!M253="",'schema-rv-services'!$B$26,vlookup(vlookup('source-upstream'!$M253,'analysis-rv-services'!$C:$E,3,FALSE),'schema-rv-services'!$A:$B,2, FALSE))</f>
        <v>transport</v>
      </c>
      <c r="N253" s="70"/>
    </row>
    <row r="254" ht="15.0" customHeight="1">
      <c r="A254" s="88" t="str">
        <f>Substitute(SUBSTITUTE(substitute(substitute(substitute(substitute(substitute(substitute(substitute(lower('source-upstream'!A254)," ","-"),"(",""),")",""),"&gt;",""),"&lt;",""),"---","-"),".","-"),"--","-"),"&amp;","-and-")</f>
        <v>wild-kangaroo</v>
      </c>
      <c r="B254" s="88" t="str">
        <f>Substitute(SUBSTITUTE(substitute(substitute(substitute(substitute(substitute(substitute(substitute(lower('source-upstream'!B254)," ","-"),"(",""),")",""),"&gt;",""),"&lt;",""),"---","-"),".","-"),"--","-"),"&amp;","-and-")</f>
        <v>swift-blue-tongue-skink</v>
      </c>
      <c r="C254" s="70" t="str">
        <f>if('source-upstream'!C254="",'schema-frequency'!$B$11,vlookup('source-upstream'!C254,FREQUENCY_MAP, 3, FALSE))</f>
        <v>daily</v>
      </c>
      <c r="D254" s="89" t="str">
        <f>'source-upstream'!D254</f>
        <v>Collections services and delivery to facility. Contracted by Council customers.</v>
      </c>
      <c r="E254" s="70" t="str">
        <f>if('source-upstream'!E254="",'schema-yn'!$A$5,vlookup('source-upstream'!E254,YN_MAP,3,FALSE))</f>
        <v>not-provided</v>
      </c>
      <c r="F254" s="70" t="str">
        <f>if('source-upstream'!F254="",'schema-yn'!$A$5,vlookup('source-upstream'!F254,YN_MAP,3,FALSE))</f>
        <v>not-provided</v>
      </c>
      <c r="G254" s="70" t="str">
        <f>if('source-upstream'!G254="",'schema-yn'!$A$5,vlookup('source-upstream'!G254,YN_MAP,3,FALSE))</f>
        <v>yes</v>
      </c>
      <c r="H254" s="70" t="str">
        <f>if('source-upstream'!H254="",'schema-yn'!$A$5,vlookup('source-upstream'!H254,RESILIENCE_OPTION_MAP,3,FALSE))</f>
        <v>alternative-supplier</v>
      </c>
      <c r="I254" s="70" t="str">
        <f>if(iserror(vlookup('source-upstream'!I254,'data-cleansing-maps'!N$5:N$10,1,FALSE)),'source-upstream'!I254,"")</f>
        <v/>
      </c>
      <c r="J254" s="89" t="str">
        <f>'source-upstream'!J254</f>
        <v>Alternative collector would need to be put in place via Council customers. Assume Council customer collections contracts have provisions for service continuity in the event of head collections contractor failure</v>
      </c>
      <c r="K254" s="70" t="str">
        <f>if('source-upstream'!K254="",'schema-yn'!$A$5,vlookup('source-upstream'!K254,YN_MAP,3,FALSE))</f>
        <v>not-provided</v>
      </c>
      <c r="L254" s="90" t="str">
        <f>if('source-upstream'!L254="Not provided","",'source-upstream'!L254)</f>
        <v/>
      </c>
      <c r="M254" s="65" t="str">
        <f>if('source-upstream'!M254="",'schema-rv-services'!$B$26,vlookup(vlookup('source-upstream'!$M254,'analysis-rv-services'!$C:$E,3,FALSE),'schema-rv-services'!$A:$B,2, FALSE))</f>
        <v>transport</v>
      </c>
      <c r="N254" s="70"/>
    </row>
    <row r="255" ht="15.0" customHeight="1">
      <c r="A255" s="88" t="str">
        <f>Substitute(SUBSTITUTE(substitute(substitute(substitute(substitute(substitute(substitute(substitute(lower('source-upstream'!A255)," ","-"),"(",""),")",""),"&gt;",""),"&lt;",""),"---","-"),".","-"),"--","-"),"&amp;","-and-")</f>
        <v>wild-kangaroo</v>
      </c>
      <c r="B255" s="88" t="str">
        <f>Substitute(SUBSTITUTE(substitute(substitute(substitute(substitute(substitute(substitute(substitute(lower('source-upstream'!B255)," ","-"),"(",""),")",""),"&gt;",""),"&lt;",""),"---","-"),".","-"),"--","-"),"&amp;","-and-")</f>
        <v>noisy-quokka</v>
      </c>
      <c r="C255" s="70" t="str">
        <f>if('source-upstream'!C255="",'schema-frequency'!$B$11,vlookup('source-upstream'!C255,FREQUENCY_MAP, 3, FALSE))</f>
        <v>daily</v>
      </c>
      <c r="D255" s="89" t="str">
        <f>'source-upstream'!D255</f>
        <v>Collections services and delivery to facility. Contracted by Council customers.</v>
      </c>
      <c r="E255" s="70" t="str">
        <f>if('source-upstream'!E255="",'schema-yn'!$A$5,vlookup('source-upstream'!E255,YN_MAP,3,FALSE))</f>
        <v>not-provided</v>
      </c>
      <c r="F255" s="70" t="str">
        <f>if('source-upstream'!F255="",'schema-yn'!$A$5,vlookup('source-upstream'!F255,YN_MAP,3,FALSE))</f>
        <v>not-provided</v>
      </c>
      <c r="G255" s="70" t="str">
        <f>if('source-upstream'!G255="",'schema-yn'!$A$5,vlookup('source-upstream'!G255,YN_MAP,3,FALSE))</f>
        <v>yes</v>
      </c>
      <c r="H255" s="70" t="str">
        <f>if('source-upstream'!H255="",'schema-yn'!$A$5,vlookup('source-upstream'!H255,RESILIENCE_OPTION_MAP,3,FALSE))</f>
        <v>alternative-supplier</v>
      </c>
      <c r="I255" s="70" t="str">
        <f>if(iserror(vlookup('source-upstream'!I255,'data-cleansing-maps'!N$5:N$10,1,FALSE)),'source-upstream'!I255,"")</f>
        <v/>
      </c>
      <c r="J255" s="89" t="str">
        <f>'source-upstream'!J255</f>
        <v>Alternative collector would need to be put in place via Council customers. Assume Council customer collections contracts have provisions for service continuity in the event of head collections contractor failure</v>
      </c>
      <c r="K255" s="70" t="str">
        <f>if('source-upstream'!K255="",'schema-yn'!$A$5,vlookup('source-upstream'!K255,YN_MAP,3,FALSE))</f>
        <v>not-provided</v>
      </c>
      <c r="L255" s="90" t="str">
        <f>if('source-upstream'!L255="Not provided","",'source-upstream'!L255)</f>
        <v/>
      </c>
      <c r="M255" s="65" t="str">
        <f>if('source-upstream'!M255="",'schema-rv-services'!$B$26,vlookup(vlookup('source-upstream'!$M255,'analysis-rv-services'!$C:$E,3,FALSE),'schema-rv-services'!$A:$B,2, FALSE))</f>
        <v>transport</v>
      </c>
      <c r="N255" s="70"/>
    </row>
    <row r="256" ht="15.0" customHeight="1">
      <c r="A256" s="88" t="str">
        <f>Substitute(SUBSTITUTE(substitute(substitute(substitute(substitute(substitute(substitute(substitute(lower('source-upstream'!A256)," ","-"),"(",""),")",""),"&gt;",""),"&lt;",""),"---","-"),".","-"),"--","-"),"&amp;","-and-")</f>
        <v>wild-kangaroo</v>
      </c>
      <c r="B256" s="88" t="str">
        <f>Substitute(SUBSTITUTE(substitute(substitute(substitute(substitute(substitute(substitute(substitute(lower('source-upstream'!B256)," ","-"),"(",""),")",""),"&gt;",""),"&lt;",""),"---","-"),".","-"),"--","-"),"&amp;","-and-")</f>
        <v>golden-goanna</v>
      </c>
      <c r="C256" s="70" t="str">
        <f>if('source-upstream'!C256="",'schema-frequency'!$B$11,vlookup('source-upstream'!C256,FREQUENCY_MAP, 3, FALSE))</f>
        <v>not-provided</v>
      </c>
      <c r="D256" s="89" t="str">
        <f>'source-upstream'!D256</f>
        <v>Collections services and delivery to facility. Contracted by Council customers.</v>
      </c>
      <c r="E256" s="70" t="str">
        <f>if('source-upstream'!E256="",'schema-yn'!$A$5,vlookup('source-upstream'!E256,YN_MAP,3,FALSE))</f>
        <v>not-provided</v>
      </c>
      <c r="F256" s="70" t="str">
        <f>if('source-upstream'!F256="",'schema-yn'!$A$5,vlookup('source-upstream'!F256,YN_MAP,3,FALSE))</f>
        <v>not-provided</v>
      </c>
      <c r="G256" s="70" t="str">
        <f>if('source-upstream'!G256="",'schema-yn'!$A$5,vlookup('source-upstream'!G256,YN_MAP,3,FALSE))</f>
        <v>yes</v>
      </c>
      <c r="H256" s="70" t="str">
        <f>if('source-upstream'!H256="",'schema-yn'!$A$5,vlookup('source-upstream'!H256,RESILIENCE_OPTION_MAP,3,FALSE))</f>
        <v>not-provided</v>
      </c>
      <c r="I256" s="70" t="str">
        <f>if(iserror(vlookup('source-upstream'!I256,'data-cleansing-maps'!N$5:N$10,1,FALSE)),'source-upstream'!I256,"")</f>
        <v/>
      </c>
      <c r="J256" s="89" t="str">
        <f>'source-upstream'!J256</f>
        <v>Access roads are essential for trucks to deliver waste to our facility and employees to be able to come to work.</v>
      </c>
      <c r="K256" s="70" t="str">
        <f>if('source-upstream'!K256="",'schema-yn'!$A$5,vlookup('source-upstream'!K256,YN_MAP,3,FALSE))</f>
        <v>not-provided</v>
      </c>
      <c r="L256" s="90" t="str">
        <f>if('source-upstream'!L256="Not provided","",'source-upstream'!L256)</f>
        <v/>
      </c>
      <c r="M256" s="65" t="str">
        <f>if('source-upstream'!M256="",'schema-rv-services'!$B$26,vlookup(vlookup('source-upstream'!$M256,'analysis-rv-services'!$C:$E,3,FALSE),'schema-rv-services'!$A:$B,2, FALSE))</f>
        <v>regulator</v>
      </c>
      <c r="N256" s="70"/>
    </row>
    <row r="257" ht="15.0" customHeight="1">
      <c r="A257" s="88" t="str">
        <f>Substitute(SUBSTITUTE(substitute(substitute(substitute(substitute(substitute(substitute(substitute(lower('source-upstream'!A257)," ","-"),"(",""),")",""),"&gt;",""),"&lt;",""),"---","-"),".","-"),"--","-"),"&amp;","-and-")</f>
        <v>wild-kangaroo</v>
      </c>
      <c r="B257" s="88" t="str">
        <f>Substitute(SUBSTITUTE(substitute(substitute(substitute(substitute(substitute(substitute(substitute(lower('source-upstream'!B257)," ","-"),"(",""),")",""),"&gt;",""),"&lt;",""),"---","-"),".","-"),"--","-"),"&amp;","-and-")</f>
        <v>red-numbat</v>
      </c>
      <c r="C257" s="70" t="str">
        <f>if('source-upstream'!C257="",'schema-frequency'!$B$11,vlookup('source-upstream'!C257,FREQUENCY_MAP, 3, FALSE))</f>
        <v>not-provided</v>
      </c>
      <c r="D257" s="89" t="str">
        <f>'source-upstream'!D257</f>
        <v>Access roads</v>
      </c>
      <c r="E257" s="70" t="str">
        <f>if('source-upstream'!E257="",'schema-yn'!$A$5,vlookup('source-upstream'!E257,YN_MAP,3,FALSE))</f>
        <v>not-provided</v>
      </c>
      <c r="F257" s="70" t="str">
        <f>if('source-upstream'!F257="",'schema-yn'!$A$5,vlookup('source-upstream'!F257,YN_MAP,3,FALSE))</f>
        <v>not-provided</v>
      </c>
      <c r="G257" s="70" t="str">
        <f>if('source-upstream'!G257="",'schema-yn'!$A$5,vlookup('source-upstream'!G257,YN_MAP,3,FALSE))</f>
        <v>yes</v>
      </c>
      <c r="H257" s="70" t="str">
        <f>if('source-upstream'!H257="",'schema-yn'!$A$5,vlookup('source-upstream'!H257,RESILIENCE_OPTION_MAP,3,FALSE))</f>
        <v>not-provided</v>
      </c>
      <c r="I257" s="70" t="str">
        <f>if(iserror(vlookup('source-upstream'!I257,'data-cleansing-maps'!N$5:N$10,1,FALSE)),'source-upstream'!I257,"")</f>
        <v/>
      </c>
      <c r="J257" s="89" t="str">
        <f>'source-upstream'!J257</f>
        <v>Access roads are essential for trucks to deliver waste to our facility and employees to be able to come to work. Depending on where the potential blockage was, some level of service could be provided. Short term only</v>
      </c>
      <c r="K257" s="70" t="str">
        <f>if('source-upstream'!K257="",'schema-yn'!$A$5,vlookup('source-upstream'!K257,YN_MAP,3,FALSE))</f>
        <v>not-provided</v>
      </c>
      <c r="L257" s="90" t="str">
        <f>if('source-upstream'!L257="Not provided","",'source-upstream'!L257)</f>
        <v/>
      </c>
      <c r="M257" s="65" t="str">
        <f>if('source-upstream'!M257="",'schema-rv-services'!$B$26,vlookup(vlookup('source-upstream'!$M257,'analysis-rv-services'!$C:$E,3,FALSE),'schema-rv-services'!$A:$B,2, FALSE))</f>
        <v>local-government</v>
      </c>
      <c r="N257" s="70"/>
    </row>
    <row r="258" ht="15.0" customHeight="1">
      <c r="A258" s="88" t="str">
        <f>Substitute(SUBSTITUTE(substitute(substitute(substitute(substitute(substitute(substitute(substitute(lower('source-upstream'!A258)," ","-"),"(",""),")",""),"&gt;",""),"&lt;",""),"---","-"),".","-"),"--","-"),"&amp;","-and-")</f>
        <v>wild-kangaroo</v>
      </c>
      <c r="B258" s="88" t="str">
        <f>Substitute(SUBSTITUTE(substitute(substitute(substitute(substitute(substitute(substitute(substitute(lower('source-upstream'!B258)," ","-"),"(",""),")",""),"&gt;",""),"&lt;",""),"---","-"),".","-"),"--","-"),"&amp;","-and-")</f>
        <v>wild-dingo</v>
      </c>
      <c r="C258" s="70" t="str">
        <f>if('source-upstream'!C258="",'schema-frequency'!$B$11,vlookup('source-upstream'!C258,FREQUENCY_MAP, 3, FALSE))</f>
        <v>not-provided</v>
      </c>
      <c r="D258" s="89" t="str">
        <f>'source-upstream'!D258</f>
        <v>Electricity</v>
      </c>
      <c r="E258" s="70" t="str">
        <f>if('source-upstream'!E258="",'schema-yn'!$A$5,vlookup('source-upstream'!E258,YN_MAP,3,FALSE))</f>
        <v>not-provided</v>
      </c>
      <c r="F258" s="70" t="str">
        <f>if('source-upstream'!F258="",'schema-yn'!$A$5,vlookup('source-upstream'!F258,YN_MAP,3,FALSE))</f>
        <v>not-provided</v>
      </c>
      <c r="G258" s="70" t="str">
        <f>if('source-upstream'!G258="",'schema-yn'!$A$5,vlookup('source-upstream'!G258,YN_MAP,3,FALSE))</f>
        <v>partially</v>
      </c>
      <c r="H258" s="70" t="str">
        <f>if('source-upstream'!H258="",'schema-yn'!$A$5,vlookup('source-upstream'!H258,RESILIENCE_OPTION_MAP,3,FALSE))</f>
        <v>generator</v>
      </c>
      <c r="I258" s="70" t="str">
        <f>if(iserror(vlookup('source-upstream'!I258,'data-cleansing-maps'!N$5:N$10,1,FALSE)),'source-upstream'!I258,"")</f>
        <v/>
      </c>
      <c r="J258" s="89" t="str">
        <f>'source-upstream'!J258</f>
        <v>We have a generator to energise the weighbridge system and keep receiving trucks, however, no processing of waste could be possible</v>
      </c>
      <c r="K258" s="70" t="str">
        <f>if('source-upstream'!K258="",'schema-yn'!$A$5,vlookup('source-upstream'!K258,YN_MAP,3,FALSE))</f>
        <v>not-provided</v>
      </c>
      <c r="L258" s="90" t="str">
        <f>if('source-upstream'!L258="Not provided","",'source-upstream'!L258)</f>
        <v/>
      </c>
      <c r="M258" s="65" t="str">
        <f>if('source-upstream'!M258="",'schema-rv-services'!$B$26,vlookup(vlookup('source-upstream'!$M258,'analysis-rv-services'!$C:$E,3,FALSE),'schema-rv-services'!$A:$B,2, FALSE))</f>
        <v>power</v>
      </c>
      <c r="N258" s="70"/>
    </row>
    <row r="259" ht="15.0" customHeight="1">
      <c r="A259" s="88" t="str">
        <f>Substitute(SUBSTITUTE(substitute(substitute(substitute(substitute(substitute(substitute(substitute(lower('source-upstream'!A259)," ","-"),"(",""),")",""),"&gt;",""),"&lt;",""),"---","-"),".","-"),"--","-"),"&amp;","-and-")</f>
        <v>wild-kangaroo</v>
      </c>
      <c r="B259" s="88" t="str">
        <f>Substitute(SUBSTITUTE(substitute(substitute(substitute(substitute(substitute(substitute(substitute(lower('source-upstream'!B259)," ","-"),"(",""),")",""),"&gt;",""),"&lt;",""),"---","-"),".","-"),"--","-"),"&amp;","-and-")</f>
        <v>noisy-wombat</v>
      </c>
      <c r="C259" s="70" t="str">
        <f>if('source-upstream'!C259="",'schema-frequency'!$B$11,vlookup('source-upstream'!C259,FREQUENCY_MAP, 3, FALSE))</f>
        <v>ad-hoc</v>
      </c>
      <c r="D259" s="89" t="str">
        <f>'source-upstream'!D259</f>
        <v>Machinery service &amp; parts as required. Screen and grinder support.</v>
      </c>
      <c r="E259" s="70" t="str">
        <f>if('source-upstream'!E259="",'schema-yn'!$A$5,vlookup('source-upstream'!E259,YN_MAP,3,FALSE))</f>
        <v>yes</v>
      </c>
      <c r="F259" s="70" t="str">
        <f>if('source-upstream'!F259="",'schema-yn'!$A$5,vlookup('source-upstream'!F259,YN_MAP,3,FALSE))</f>
        <v>no</v>
      </c>
      <c r="G259" s="70" t="str">
        <f>if('source-upstream'!G259="",'schema-yn'!$A$5,vlookup('source-upstream'!G259,YN_MAP,3,FALSE))</f>
        <v>partially</v>
      </c>
      <c r="H259" s="70" t="str">
        <f>if('source-upstream'!H259="",'schema-yn'!$A$5,vlookup('source-upstream'!H259,RESILIENCE_OPTION_MAP,3,FALSE))</f>
        <v>bc-strategy</v>
      </c>
      <c r="I259" s="70" t="str">
        <f>if(iserror(vlookup('source-upstream'!I259,'data-cleansing-maps'!N$5:N$10,1,FALSE)),'source-upstream'!I259,"")</f>
        <v/>
      </c>
      <c r="J259" s="89" t="str">
        <f>'source-upstream'!J259</f>
        <v>We are dependent on Komptech for proprietary parts. Alternative screen or grinder would be hired to cater for the downtime
 in the event that there was a failure due to a delay in servicing and or parts supply by Komptech</v>
      </c>
      <c r="K259" s="70" t="str">
        <f>if('source-upstream'!K259="",'schema-yn'!$A$5,vlookup('source-upstream'!K259,YN_MAP,3,FALSE))</f>
        <v>not-provided</v>
      </c>
      <c r="L259" s="90" t="str">
        <f>if('source-upstream'!L259="Not provided","",'source-upstream'!L259)</f>
        <v/>
      </c>
      <c r="M259" s="65" t="str">
        <f>if('source-upstream'!M259="",'schema-rv-services'!$B$26,vlookup(vlookup('source-upstream'!$M259,'analysis-rv-services'!$C:$E,3,FALSE),'schema-rv-services'!$A:$B,2, FALSE))</f>
        <v>repairs-and-maintenance</v>
      </c>
      <c r="N259" s="70"/>
    </row>
    <row r="260" ht="15.0" customHeight="1">
      <c r="A260" s="88" t="str">
        <f>Substitute(SUBSTITUTE(substitute(substitute(substitute(substitute(substitute(substitute(substitute(lower('source-upstream'!A260)," ","-"),"(",""),")",""),"&gt;",""),"&lt;",""),"---","-"),".","-"),"--","-"),"&amp;","-and-")</f>
        <v>wild-kangaroo</v>
      </c>
      <c r="B260" s="88" t="str">
        <f>Substitute(SUBSTITUTE(substitute(substitute(substitute(substitute(substitute(substitute(substitute(lower('source-upstream'!B260)," ","-"),"(",""),")",""),"&gt;",""),"&lt;",""),"---","-"),".","-"),"--","-"),"&amp;","-and-")</f>
        <v>golden-wallaby</v>
      </c>
      <c r="C260" s="70" t="str">
        <f>if('source-upstream'!C260="",'schema-frequency'!$B$11,vlookup('source-upstream'!C260,FREQUENCY_MAP, 3, FALSE))</f>
        <v>unknown</v>
      </c>
      <c r="D260" s="89" t="str">
        <f>'source-upstream'!D260</f>
        <v>FOGO and Organics Pretreatment (inc. decontamination), pasteurisation, maturation, refined, quality assurance and Oversize &amp; Mid-Size fraction production services</v>
      </c>
      <c r="E260" s="70" t="str">
        <f>if('source-upstream'!E260="",'schema-yn'!$A$5,vlookup('source-upstream'!E260,YN_MAP,3,FALSE))</f>
        <v>no</v>
      </c>
      <c r="F260" s="70" t="str">
        <f>if('source-upstream'!F260="",'schema-yn'!$A$5,vlookup('source-upstream'!F260,YN_MAP,3,FALSE))</f>
        <v>no</v>
      </c>
      <c r="G260" s="70" t="str">
        <f>if('source-upstream'!G260="",'schema-yn'!$A$5,vlookup('source-upstream'!G260,YN_MAP,3,FALSE))</f>
        <v>yes</v>
      </c>
      <c r="H260" s="70" t="str">
        <f>if('source-upstream'!H260="",'schema-yn'!$A$5,vlookup('source-upstream'!H260,RESILIENCE_OPTION_MAP,3,FALSE))</f>
        <v>alternative-supplier</v>
      </c>
      <c r="I260" s="70" t="str">
        <f>if(iserror(vlookup('source-upstream'!I260,'data-cleansing-maps'!N$5:N$10,1,FALSE)),'source-upstream'!I260,"")</f>
        <v/>
      </c>
      <c r="J260" s="89" t="str">
        <f>'source-upstream'!J260</f>
        <v>Yes, given there are multiple service providers, including landfill as a last resort</v>
      </c>
      <c r="K260" s="70" t="str">
        <f>if('source-upstream'!K260="",'schema-yn'!$A$5,vlookup('source-upstream'!K260,YN_MAP,3,FALSE))</f>
        <v>not-provided</v>
      </c>
      <c r="L260" s="90" t="str">
        <f>if('source-upstream'!L260="Not provided","",'source-upstream'!L260)</f>
        <v/>
      </c>
      <c r="M260" s="65" t="str">
        <f>if('source-upstream'!M260="",'schema-rv-services'!$B$26,vlookup(vlookup('source-upstream'!$M260,'analysis-rv-services'!$C:$E,3,FALSE),'schema-rv-services'!$A:$B,2, FALSE))</f>
        <v>feedstock</v>
      </c>
      <c r="N260" s="70"/>
    </row>
    <row r="261" ht="15.0" customHeight="1">
      <c r="A261" s="88" t="str">
        <f>Substitute(SUBSTITUTE(substitute(substitute(substitute(substitute(substitute(substitute(substitute(lower('source-upstream'!A261)," ","-"),"(",""),")",""),"&gt;",""),"&lt;",""),"---","-"),".","-"),"--","-"),"&amp;","-and-")</f>
        <v>wild-kangaroo</v>
      </c>
      <c r="B261" s="88" t="str">
        <f>Substitute(SUBSTITUTE(substitute(substitute(substitute(substitute(substitute(substitute(substitute(lower('source-upstream'!B261)," ","-"),"(",""),")",""),"&gt;",""),"&lt;",""),"---","-"),".","-"),"--","-"),"&amp;","-and-")</f>
        <v>brave-platypus</v>
      </c>
      <c r="C261" s="70" t="str">
        <f>if('source-upstream'!C261="",'schema-frequency'!$B$11,vlookup('source-upstream'!C261,FREQUENCY_MAP, 3, FALSE))</f>
        <v>unknown</v>
      </c>
      <c r="D261" s="89" t="str">
        <f>'source-upstream'!D261</f>
        <v>FOGO and Organics Pretreatment (inc. decontamination), pasteurisation, maturation, refined, quality assurance and Oversize &amp; Mid-Size fraction production services</v>
      </c>
      <c r="E261" s="70" t="str">
        <f>if('source-upstream'!E261="",'schema-yn'!$A$5,vlookup('source-upstream'!E261,YN_MAP,3,FALSE))</f>
        <v>no</v>
      </c>
      <c r="F261" s="70" t="str">
        <f>if('source-upstream'!F261="",'schema-yn'!$A$5,vlookup('source-upstream'!F261,YN_MAP,3,FALSE))</f>
        <v>no</v>
      </c>
      <c r="G261" s="70" t="str">
        <f>if('source-upstream'!G261="",'schema-yn'!$A$5,vlookup('source-upstream'!G261,YN_MAP,3,FALSE))</f>
        <v>yes</v>
      </c>
      <c r="H261" s="70" t="str">
        <f>if('source-upstream'!H261="",'schema-yn'!$A$5,vlookup('source-upstream'!H261,RESILIENCE_OPTION_MAP,3,FALSE))</f>
        <v>alternative-supplier</v>
      </c>
      <c r="I261" s="70" t="str">
        <f>if(iserror(vlookup('source-upstream'!I261,'data-cleansing-maps'!N$5:N$10,1,FALSE)),'source-upstream'!I261,"")</f>
        <v/>
      </c>
      <c r="J261" s="89" t="str">
        <f>'source-upstream'!J261</f>
        <v>Yes, given there are multiple service providers, including landfill as a last resort</v>
      </c>
      <c r="K261" s="70" t="str">
        <f>if('source-upstream'!K261="",'schema-yn'!$A$5,vlookup('source-upstream'!K261,YN_MAP,3,FALSE))</f>
        <v>not-provided</v>
      </c>
      <c r="L261" s="90" t="str">
        <f>if('source-upstream'!L261="Not provided","",'source-upstream'!L261)</f>
        <v/>
      </c>
      <c r="M261" s="65" t="str">
        <f>if('source-upstream'!M261="",'schema-rv-services'!$B$26,vlookup(vlookup('source-upstream'!$M261,'analysis-rv-services'!$C:$E,3,FALSE),'schema-rv-services'!$A:$B,2, FALSE))</f>
        <v>feedstock</v>
      </c>
      <c r="N261" s="70"/>
    </row>
    <row r="262" ht="15.0" customHeight="1">
      <c r="A262" s="88" t="str">
        <f>Substitute(SUBSTITUTE(substitute(substitute(substitute(substitute(substitute(substitute(substitute(lower('source-upstream'!A262)," ","-"),"(",""),")",""),"&gt;",""),"&lt;",""),"---","-"),".","-"),"--","-"),"&amp;","-and-")</f>
        <v>wild-kangaroo</v>
      </c>
      <c r="B262" s="88" t="str">
        <f>Substitute(SUBSTITUTE(substitute(substitute(substitute(substitute(substitute(substitute(substitute(lower('source-upstream'!B262)," ","-"),"(",""),")",""),"&gt;",""),"&lt;",""),"---","-"),".","-"),"--","-"),"&amp;","-and-")</f>
        <v>clever-frilled-neck-lizard</v>
      </c>
      <c r="C262" s="70" t="str">
        <f>if('source-upstream'!C262="",'schema-frequency'!$B$11,vlookup('source-upstream'!C262,FREQUENCY_MAP, 3, FALSE))</f>
        <v>unknown</v>
      </c>
      <c r="D262" s="89" t="str">
        <f>'source-upstream'!D262</f>
        <v>FOGO and Organics Pretreatment (inc. decontamination), pasteurisation, maturation, refined, quality assurance and Oversize &amp; Mid-Size fraction production services</v>
      </c>
      <c r="E262" s="70" t="str">
        <f>if('source-upstream'!E262="",'schema-yn'!$A$5,vlookup('source-upstream'!E262,YN_MAP,3,FALSE))</f>
        <v>no</v>
      </c>
      <c r="F262" s="70" t="str">
        <f>if('source-upstream'!F262="",'schema-yn'!$A$5,vlookup('source-upstream'!F262,YN_MAP,3,FALSE))</f>
        <v>no</v>
      </c>
      <c r="G262" s="70" t="str">
        <f>if('source-upstream'!G262="",'schema-yn'!$A$5,vlookup('source-upstream'!G262,YN_MAP,3,FALSE))</f>
        <v>yes</v>
      </c>
      <c r="H262" s="70" t="str">
        <f>if('source-upstream'!H262="",'schema-yn'!$A$5,vlookup('source-upstream'!H262,RESILIENCE_OPTION_MAP,3,FALSE))</f>
        <v>alternative-supplier</v>
      </c>
      <c r="I262" s="70" t="str">
        <f>if(iserror(vlookup('source-upstream'!I262,'data-cleansing-maps'!N$5:N$10,1,FALSE)),'source-upstream'!I262,"")</f>
        <v/>
      </c>
      <c r="J262" s="89" t="str">
        <f>'source-upstream'!J262</f>
        <v>Yes, given there are multiple service providers, including landfill as a last resort</v>
      </c>
      <c r="K262" s="70" t="str">
        <f>if('source-upstream'!K262="",'schema-yn'!$A$5,vlookup('source-upstream'!K262,YN_MAP,3,FALSE))</f>
        <v>not-provided</v>
      </c>
      <c r="L262" s="90" t="str">
        <f>if('source-upstream'!L262="Not provided","",'source-upstream'!L262)</f>
        <v/>
      </c>
      <c r="M262" s="65" t="str">
        <f>if('source-upstream'!M262="",'schema-rv-services'!$B$26,vlookup(vlookup('source-upstream'!$M262,'analysis-rv-services'!$C:$E,3,FALSE),'schema-rv-services'!$A:$B,2, FALSE))</f>
        <v>feedstock</v>
      </c>
      <c r="N262" s="70"/>
    </row>
    <row r="263" ht="15.0" customHeight="1">
      <c r="A263" s="88" t="str">
        <f>Substitute(SUBSTITUTE(substitute(substitute(substitute(substitute(substitute(substitute(substitute(lower('source-upstream'!A263)," ","-"),"(",""),")",""),"&gt;",""),"&lt;",""),"---","-"),".","-"),"--","-"),"&amp;","-and-")</f>
        <v>wild-kangaroo</v>
      </c>
      <c r="B263" s="88" t="str">
        <f>Substitute(SUBSTITUTE(substitute(substitute(substitute(substitute(substitute(substitute(substitute(lower('source-upstream'!B263)," ","-"),"(",""),")",""),"&gt;",""),"&lt;",""),"---","-"),".","-"),"--","-"),"&amp;","-and-")</f>
        <v>spotted-platypus</v>
      </c>
      <c r="C263" s="70" t="str">
        <f>if('source-upstream'!C263="",'schema-frequency'!$B$11,vlookup('source-upstream'!C263,FREQUENCY_MAP, 3, FALSE))</f>
        <v>unknown</v>
      </c>
      <c r="D263" s="89" t="str">
        <f>'source-upstream'!D263</f>
        <v>Organics processors</v>
      </c>
      <c r="E263" s="70" t="str">
        <f>if('source-upstream'!E263="",'schema-yn'!$A$5,vlookup('source-upstream'!E263,YN_MAP,3,FALSE))</f>
        <v>no</v>
      </c>
      <c r="F263" s="70" t="str">
        <f>if('source-upstream'!F263="",'schema-yn'!$A$5,vlookup('source-upstream'!F263,YN_MAP,3,FALSE))</f>
        <v>no</v>
      </c>
      <c r="G263" s="70" t="str">
        <f>if('source-upstream'!G263="",'schema-yn'!$A$5,vlookup('source-upstream'!G263,YN_MAP,3,FALSE))</f>
        <v>yes</v>
      </c>
      <c r="H263" s="70" t="str">
        <f>if('source-upstream'!H263="",'schema-yn'!$A$5,vlookup('source-upstream'!H263,RESILIENCE_OPTION_MAP,3,FALSE))</f>
        <v>alternative-supplier</v>
      </c>
      <c r="I263" s="70" t="str">
        <f>if(iserror(vlookup('source-upstream'!I263,'data-cleansing-maps'!N$5:N$10,1,FALSE)),'source-upstream'!I263,"")</f>
        <v/>
      </c>
      <c r="J263" s="89" t="str">
        <f>'source-upstream'!J263</f>
        <v>Yes, given there are multiple service providers, including landfill as a last resort</v>
      </c>
      <c r="K263" s="70" t="str">
        <f>if('source-upstream'!K263="",'schema-yn'!$A$5,vlookup('source-upstream'!K263,YN_MAP,3,FALSE))</f>
        <v>not-provided</v>
      </c>
      <c r="L263" s="90" t="str">
        <f>if('source-upstream'!L263="Not provided","",'source-upstream'!L263)</f>
        <v/>
      </c>
      <c r="M263" s="65" t="str">
        <f>if('source-upstream'!M263="",'schema-rv-services'!$B$26,vlookup(vlookup('source-upstream'!$M263,'analysis-rv-services'!$C:$E,3,FALSE),'schema-rv-services'!$A:$B,2, FALSE))</f>
        <v>feedstock</v>
      </c>
      <c r="N263" s="70"/>
    </row>
    <row r="264" ht="15.0" customHeight="1">
      <c r="A264" s="88" t="str">
        <f>Substitute(SUBSTITUTE(substitute(substitute(substitute(substitute(substitute(substitute(substitute(lower('source-upstream'!A264)," ","-"),"(",""),")",""),"&gt;",""),"&lt;",""),"---","-"),".","-"),"--","-"),"&amp;","-and-")</f>
        <v>wild-numbat</v>
      </c>
      <c r="B264" s="88" t="str">
        <f>Substitute(SUBSTITUTE(substitute(substitute(substitute(substitute(substitute(substitute(substitute(lower('source-upstream'!B264)," ","-"),"(",""),")",""),"&gt;",""),"&lt;",""),"---","-"),".","-"),"--","-"),"&amp;","-and-")</f>
        <v>green-dingo</v>
      </c>
      <c r="C264" s="70" t="str">
        <f>if('source-upstream'!C264="",'schema-frequency'!$B$11,vlookup('source-upstream'!C264,FREQUENCY_MAP, 3, FALSE))</f>
        <v>unknown</v>
      </c>
      <c r="D264" s="89" t="str">
        <f>'source-upstream'!D264</f>
        <v>EPA Licence requirement</v>
      </c>
      <c r="E264" s="70" t="str">
        <f>if('source-upstream'!E264="",'schema-yn'!$A$5,vlookup('source-upstream'!E264,YN_MAP,3,FALSE))</f>
        <v>yes</v>
      </c>
      <c r="F264" s="70" t="str">
        <f>if('source-upstream'!F264="",'schema-yn'!$A$5,vlookup('source-upstream'!F264,YN_MAP,3,FALSE))</f>
        <v>not-provided</v>
      </c>
      <c r="G264" s="70" t="str">
        <f>if('source-upstream'!G264="",'schema-yn'!$A$5,vlookup('source-upstream'!G264,YN_MAP,3,FALSE))</f>
        <v>not-provided</v>
      </c>
      <c r="H264" s="70" t="str">
        <f>if('source-upstream'!H264="",'schema-yn'!$A$5,vlookup('source-upstream'!H264,RESILIENCE_OPTION_MAP,3,FALSE))</f>
        <v>not-provided</v>
      </c>
      <c r="I264" s="70" t="str">
        <f>if(iserror(vlookup('source-upstream'!I264,'data-cleansing-maps'!N$5:N$10,1,FALSE)),'source-upstream'!I264,"")</f>
        <v/>
      </c>
      <c r="J264" s="89" t="str">
        <f>'source-upstream'!J264</f>
        <v>No comments provided</v>
      </c>
      <c r="K264" s="70" t="str">
        <f>if('source-upstream'!K264="",'schema-yn'!$A$5,vlookup('source-upstream'!K264,YN_MAP,3,FALSE))</f>
        <v>not-provided</v>
      </c>
      <c r="L264" s="90" t="str">
        <f>if('source-upstream'!L264="Not provided","",'source-upstream'!L264)</f>
        <v>Wild Numbat 
  provided 1 upstream provider in their RERCC Plan</v>
      </c>
      <c r="M264" s="65" t="str">
        <f>if('source-upstream'!M264="",'schema-rv-services'!$B$26,vlookup(vlookup('source-upstream'!$M264,'analysis-rv-services'!$C:$E,3,FALSE),'schema-rv-services'!$A:$B,2, FALSE))</f>
        <v>regulator</v>
      </c>
      <c r="N264" s="70"/>
    </row>
    <row r="265" ht="15.0" customHeight="1">
      <c r="A265" s="88" t="str">
        <f>Substitute(SUBSTITUTE(substitute(substitute(substitute(substitute(substitute(substitute(substitute(lower('source-upstream'!A265)," ","-"),"(",""),")",""),"&gt;",""),"&lt;",""),"---","-"),".","-"),"--","-"),"&amp;","-and-")</f>
        <v>wild-numbat</v>
      </c>
      <c r="B265" s="88" t="str">
        <f>Substitute(SUBSTITUTE(substitute(substitute(substitute(substitute(substitute(substitute(substitute(lower('source-upstream'!B265)," ","-"),"(",""),")",""),"&gt;",""),"&lt;",""),"---","-"),".","-"),"--","-"),"&amp;","-and-")</f>
        <v>wild-numbat</v>
      </c>
      <c r="C265" s="70" t="str">
        <f>if('source-upstream'!C265="",'schema-frequency'!$B$11,vlookup('source-upstream'!C265,FREQUENCY_MAP, 3, FALSE))</f>
        <v>unknown</v>
      </c>
      <c r="D265" s="89" t="str">
        <f>'source-upstream'!D265</f>
        <v>Not Provided</v>
      </c>
      <c r="E265" s="70" t="str">
        <f>if('source-upstream'!E265="",'schema-yn'!$A$5,vlookup('source-upstream'!E265,YN_MAP,3,FALSE))</f>
        <v>not-provided</v>
      </c>
      <c r="F265" s="70" t="str">
        <f>if('source-upstream'!F265="",'schema-yn'!$A$5,vlookup('source-upstream'!F265,YN_MAP,3,FALSE))</f>
        <v>not-provided</v>
      </c>
      <c r="G265" s="70" t="str">
        <f>if('source-upstream'!G265="",'schema-yn'!$A$5,vlookup('source-upstream'!G265,YN_MAP,3,FALSE))</f>
        <v>not-provided</v>
      </c>
      <c r="H265" s="70" t="str">
        <f>if('source-upstream'!H265="",'schema-yn'!$A$5,vlookup('source-upstream'!H265,RESILIENCE_OPTION_MAP,3,FALSE))</f>
        <v>not-provided</v>
      </c>
      <c r="I265" s="70" t="str">
        <f>if(iserror(vlookup('source-upstream'!I265,'data-cleansing-maps'!N$5:N$10,1,FALSE)),'source-upstream'!I265,"")</f>
        <v/>
      </c>
      <c r="J265" s="89" t="str">
        <f>'source-upstream'!J265</f>
        <v>Not Provided</v>
      </c>
      <c r="K265" s="70" t="str">
        <f>if('source-upstream'!K265="",'schema-yn'!$A$5,vlookup('source-upstream'!K265,YN_MAP,3,FALSE))</f>
        <v>not-provided</v>
      </c>
      <c r="L265" s="90" t="str">
        <f>if('source-upstream'!L265="Not provided","",'source-upstream'!L265)</f>
        <v/>
      </c>
      <c r="M265" s="65" t="str">
        <f>if('source-upstream'!M265="",'schema-rv-services'!$B$26,vlookup(vlookup('source-upstream'!$M265,'analysis-rv-services'!$C:$E,3,FALSE),'schema-rv-services'!$A:$B,2, FALSE))</f>
        <v>techonology</v>
      </c>
      <c r="N265" s="70"/>
    </row>
    <row r="266" ht="15.0" customHeight="1">
      <c r="A266" s="88" t="str">
        <f>Substitute(SUBSTITUTE(substitute(substitute(substitute(substitute(substitute(substitute(substitute(lower('source-upstream'!A266)," ","-"),"(",""),")",""),"&gt;",""),"&lt;",""),"---","-"),".","-"),"--","-"),"&amp;","-and-")</f>
        <v>wild-numbat</v>
      </c>
      <c r="B266" s="88" t="str">
        <f>Substitute(SUBSTITUTE(substitute(substitute(substitute(substitute(substitute(substitute(substitute(lower('source-upstream'!B266)," ","-"),"(",""),")",""),"&gt;",""),"&lt;",""),"---","-"),".","-"),"--","-"),"&amp;","-and-")</f>
        <v>wild-numbat</v>
      </c>
      <c r="C266" s="70" t="str">
        <f>if('source-upstream'!C266="",'schema-frequency'!$B$11,vlookup('source-upstream'!C266,FREQUENCY_MAP, 3, FALSE))</f>
        <v>unknown</v>
      </c>
      <c r="D266" s="89" t="str">
        <f>'source-upstream'!D266</f>
        <v>Not Provided</v>
      </c>
      <c r="E266" s="70" t="str">
        <f>if('source-upstream'!E266="",'schema-yn'!$A$5,vlookup('source-upstream'!E266,YN_MAP,3,FALSE))</f>
        <v>not-provided</v>
      </c>
      <c r="F266" s="70" t="str">
        <f>if('source-upstream'!F266="",'schema-yn'!$A$5,vlookup('source-upstream'!F266,YN_MAP,3,FALSE))</f>
        <v>not-provided</v>
      </c>
      <c r="G266" s="70" t="str">
        <f>if('source-upstream'!G266="",'schema-yn'!$A$5,vlookup('source-upstream'!G266,YN_MAP,3,FALSE))</f>
        <v>not-provided</v>
      </c>
      <c r="H266" s="70" t="str">
        <f>if('source-upstream'!H266="",'schema-yn'!$A$5,vlookup('source-upstream'!H266,RESILIENCE_OPTION_MAP,3,FALSE))</f>
        <v>not-provided</v>
      </c>
      <c r="I266" s="70" t="str">
        <f>if(iserror(vlookup('source-upstream'!I266,'data-cleansing-maps'!N$5:N$10,1,FALSE)),'source-upstream'!I266,"")</f>
        <v/>
      </c>
      <c r="J266" s="89" t="str">
        <f>'source-upstream'!J266</f>
        <v>Not Provided</v>
      </c>
      <c r="K266" s="70" t="str">
        <f>if('source-upstream'!K266="",'schema-yn'!$A$5,vlookup('source-upstream'!K266,YN_MAP,3,FALSE))</f>
        <v>not-provided</v>
      </c>
      <c r="L266" s="90" t="str">
        <f>if('source-upstream'!L266="Not provided","",'source-upstream'!L266)</f>
        <v/>
      </c>
      <c r="M266" s="65" t="str">
        <f>if('source-upstream'!M266="",'schema-rv-services'!$B$26,vlookup(vlookup('source-upstream'!$M266,'analysis-rv-services'!$C:$E,3,FALSE),'schema-rv-services'!$A:$B,2, FALSE))</f>
        <v>transport</v>
      </c>
      <c r="N266" s="70"/>
    </row>
    <row r="267" ht="15.0" customHeight="1">
      <c r="A267" s="88" t="str">
        <f>Substitute(SUBSTITUTE(substitute(substitute(substitute(substitute(substitute(substitute(substitute(lower('source-upstream'!A267)," ","-"),"(",""),")",""),"&gt;",""),"&lt;",""),"---","-"),".","-"),"--","-"),"&amp;","-and-")</f>
        <v>wild-numbat</v>
      </c>
      <c r="B267" s="88" t="str">
        <f>Substitute(SUBSTITUTE(substitute(substitute(substitute(substitute(substitute(substitute(substitute(lower('source-upstream'!B267)," ","-"),"(",""),")",""),"&gt;",""),"&lt;",""),"---","-"),".","-"),"--","-"),"&amp;","-and-")</f>
        <v>wild-numbat</v>
      </c>
      <c r="C267" s="70" t="str">
        <f>if('source-upstream'!C267="",'schema-frequency'!$B$11,vlookup('source-upstream'!C267,FREQUENCY_MAP, 3, FALSE))</f>
        <v>unknown</v>
      </c>
      <c r="D267" s="89" t="str">
        <f>'source-upstream'!D267</f>
        <v>Not Provided</v>
      </c>
      <c r="E267" s="70" t="str">
        <f>if('source-upstream'!E267="",'schema-yn'!$A$5,vlookup('source-upstream'!E267,YN_MAP,3,FALSE))</f>
        <v>not-provided</v>
      </c>
      <c r="F267" s="70" t="str">
        <f>if('source-upstream'!F267="",'schema-yn'!$A$5,vlookup('source-upstream'!F267,YN_MAP,3,FALSE))</f>
        <v>not-provided</v>
      </c>
      <c r="G267" s="70" t="str">
        <f>if('source-upstream'!G267="",'schema-yn'!$A$5,vlookup('source-upstream'!G267,YN_MAP,3,FALSE))</f>
        <v>not-provided</v>
      </c>
      <c r="H267" s="70" t="str">
        <f>if('source-upstream'!H267="",'schema-yn'!$A$5,vlookup('source-upstream'!H267,RESILIENCE_OPTION_MAP,3,FALSE))</f>
        <v>not-provided</v>
      </c>
      <c r="I267" s="70" t="str">
        <f>if(iserror(vlookup('source-upstream'!I267,'data-cleansing-maps'!N$5:N$10,1,FALSE)),'source-upstream'!I267,"")</f>
        <v/>
      </c>
      <c r="J267" s="89" t="str">
        <f>'source-upstream'!J267</f>
        <v>Not Provided</v>
      </c>
      <c r="K267" s="70" t="str">
        <f>if('source-upstream'!K267="",'schema-yn'!$A$5,vlookup('source-upstream'!K267,YN_MAP,3,FALSE))</f>
        <v>not-provided</v>
      </c>
      <c r="L267" s="90" t="str">
        <f>if('source-upstream'!L267="Not provided","",'source-upstream'!L267)</f>
        <v/>
      </c>
      <c r="M267" s="65" t="str">
        <f>if('source-upstream'!M267="",'schema-rv-services'!$B$26,vlookup(vlookup('source-upstream'!$M267,'analysis-rv-services'!$C:$E,3,FALSE),'schema-rv-services'!$A:$B,2, FALSE))</f>
        <v>waste-processing</v>
      </c>
      <c r="N267" s="70"/>
    </row>
    <row r="268" ht="15.0" customHeight="1">
      <c r="A268" s="88" t="str">
        <f>Substitute(SUBSTITUTE(substitute(substitute(substitute(substitute(substitute(substitute(substitute(lower('source-upstream'!A268)," ","-"),"(",""),")",""),"&gt;",""),"&lt;",""),"---","-"),".","-"),"--","-"),"&amp;","-and-")</f>
        <v>wild-possum</v>
      </c>
      <c r="B268" s="88" t="str">
        <f>Substitute(SUBSTITUTE(substitute(substitute(substitute(substitute(substitute(substitute(substitute(lower('source-upstream'!B268)," ","-"),"(",""),")",""),"&gt;",""),"&lt;",""),"---","-"),".","-"),"--","-"),"&amp;","-and-")</f>
        <v>green-dingo</v>
      </c>
      <c r="C268" s="70" t="str">
        <f>if('source-upstream'!C268="",'schema-frequency'!$B$11,vlookup('source-upstream'!C268,FREQUENCY_MAP, 3, FALSE))</f>
        <v>unknown</v>
      </c>
      <c r="D268" s="89" t="str">
        <f>'source-upstream'!D268</f>
        <v>EPA Licence requirement</v>
      </c>
      <c r="E268" s="70" t="str">
        <f>if('source-upstream'!E268="",'schema-yn'!$A$5,vlookup('source-upstream'!E268,YN_MAP,3,FALSE))</f>
        <v>yes</v>
      </c>
      <c r="F268" s="70" t="str">
        <f>if('source-upstream'!F268="",'schema-yn'!$A$5,vlookup('source-upstream'!F268,YN_MAP,3,FALSE))</f>
        <v>not-provided</v>
      </c>
      <c r="G268" s="70" t="str">
        <f>if('source-upstream'!G268="",'schema-yn'!$A$5,vlookup('source-upstream'!G268,YN_MAP,3,FALSE))</f>
        <v>not-provided</v>
      </c>
      <c r="H268" s="70" t="str">
        <f>if('source-upstream'!H268="",'schema-yn'!$A$5,vlookup('source-upstream'!H268,RESILIENCE_OPTION_MAP,3,FALSE))</f>
        <v>not-provided</v>
      </c>
      <c r="I268" s="70" t="str">
        <f>if(iserror(vlookup('source-upstream'!I268,'data-cleansing-maps'!N$5:N$10,1,FALSE)),'source-upstream'!I268,"")</f>
        <v/>
      </c>
      <c r="J268" s="89" t="str">
        <f>'source-upstream'!J268</f>
        <v>No comments provided</v>
      </c>
      <c r="K268" s="70" t="str">
        <f>if('source-upstream'!K268="",'schema-yn'!$A$5,vlookup('source-upstream'!K268,YN_MAP,3,FALSE))</f>
        <v>not-provided</v>
      </c>
      <c r="L268" s="90" t="str">
        <f>if('source-upstream'!L268="Not provided","",'source-upstream'!L268)</f>
        <v>Wild Numbat 
 provided 1 upstream provider in their RERCC Plan</v>
      </c>
      <c r="M268" s="65" t="str">
        <f>if('source-upstream'!M268="",'schema-rv-services'!$B$26,vlookup(vlookup('source-upstream'!$M268,'analysis-rv-services'!$C:$E,3,FALSE),'schema-rv-services'!$A:$B,2, FALSE))</f>
        <v>regulator</v>
      </c>
      <c r="N268" s="70"/>
    </row>
    <row r="269" ht="15.0" customHeight="1">
      <c r="A269" s="88" t="str">
        <f>Substitute(SUBSTITUTE(substitute(substitute(substitute(substitute(substitute(substitute(substitute(lower('source-upstream'!A269)," ","-"),"(",""),")",""),"&gt;",""),"&lt;",""),"---","-"),".","-"),"--","-"),"&amp;","-and-")</f>
        <v>wild-possum</v>
      </c>
      <c r="B269" s="88" t="str">
        <f>Substitute(SUBSTITUTE(substitute(substitute(substitute(substitute(substitute(substitute(substitute(lower('source-upstream'!B269)," ","-"),"(",""),")",""),"&gt;",""),"&lt;",""),"---","-"),".","-"),"--","-"),"&amp;","-and-")</f>
        <v>wild-possum</v>
      </c>
      <c r="C269" s="70" t="str">
        <f>if('source-upstream'!C269="",'schema-frequency'!$B$11,vlookup('source-upstream'!C269,FREQUENCY_MAP, 3, FALSE))</f>
        <v>unknown</v>
      </c>
      <c r="D269" s="89" t="str">
        <f>'source-upstream'!D269</f>
        <v>Not Provided</v>
      </c>
      <c r="E269" s="70" t="str">
        <f>if('source-upstream'!E269="",'schema-yn'!$A$5,vlookup('source-upstream'!E269,YN_MAP,3,FALSE))</f>
        <v>not-provided</v>
      </c>
      <c r="F269" s="70" t="str">
        <f>if('source-upstream'!F269="",'schema-yn'!$A$5,vlookup('source-upstream'!F269,YN_MAP,3,FALSE))</f>
        <v>not-provided</v>
      </c>
      <c r="G269" s="70" t="str">
        <f>if('source-upstream'!G269="",'schema-yn'!$A$5,vlookup('source-upstream'!G269,YN_MAP,3,FALSE))</f>
        <v>not-provided</v>
      </c>
      <c r="H269" s="70" t="str">
        <f>if('source-upstream'!H269="",'schema-yn'!$A$5,vlookup('source-upstream'!H269,RESILIENCE_OPTION_MAP,3,FALSE))</f>
        <v>not-provided</v>
      </c>
      <c r="I269" s="70" t="str">
        <f>if(iserror(vlookup('source-upstream'!I269,'data-cleansing-maps'!N$5:N$10,1,FALSE)),'source-upstream'!I269,"")</f>
        <v/>
      </c>
      <c r="J269" s="89" t="str">
        <f>'source-upstream'!J269</f>
        <v>Not Provided</v>
      </c>
      <c r="K269" s="70" t="str">
        <f>if('source-upstream'!K269="",'schema-yn'!$A$5,vlookup('source-upstream'!K269,YN_MAP,3,FALSE))</f>
        <v>not-provided</v>
      </c>
      <c r="L269" s="90" t="str">
        <f>if('source-upstream'!L269="Not provided","",'source-upstream'!L269)</f>
        <v/>
      </c>
      <c r="M269" s="65" t="str">
        <f>if('source-upstream'!M269="",'schema-rv-services'!$B$26,vlookup(vlookup('source-upstream'!$M269,'analysis-rv-services'!$C:$E,3,FALSE),'schema-rv-services'!$A:$B,2, FALSE))</f>
        <v>techonology</v>
      </c>
      <c r="N269" s="70"/>
    </row>
    <row r="270" ht="15.0" customHeight="1">
      <c r="A270" s="88" t="str">
        <f>Substitute(SUBSTITUTE(substitute(substitute(substitute(substitute(substitute(substitute(substitute(lower('source-upstream'!A270)," ","-"),"(",""),")",""),"&gt;",""),"&lt;",""),"---","-"),".","-"),"--","-"),"&amp;","-and-")</f>
        <v>wild-possum</v>
      </c>
      <c r="B270" s="88" t="str">
        <f>Substitute(SUBSTITUTE(substitute(substitute(substitute(substitute(substitute(substitute(substitute(lower('source-upstream'!B270)," ","-"),"(",""),")",""),"&gt;",""),"&lt;",""),"---","-"),".","-"),"--","-"),"&amp;","-and-")</f>
        <v>wild-possum</v>
      </c>
      <c r="C270" s="70" t="str">
        <f>if('source-upstream'!C270="",'schema-frequency'!$B$11,vlookup('source-upstream'!C270,FREQUENCY_MAP, 3, FALSE))</f>
        <v>unknown</v>
      </c>
      <c r="D270" s="89" t="str">
        <f>'source-upstream'!D270</f>
        <v>Not Provided</v>
      </c>
      <c r="E270" s="70" t="str">
        <f>if('source-upstream'!E270="",'schema-yn'!$A$5,vlookup('source-upstream'!E270,YN_MAP,3,FALSE))</f>
        <v>not-provided</v>
      </c>
      <c r="F270" s="70" t="str">
        <f>if('source-upstream'!F270="",'schema-yn'!$A$5,vlookup('source-upstream'!F270,YN_MAP,3,FALSE))</f>
        <v>not-provided</v>
      </c>
      <c r="G270" s="70" t="str">
        <f>if('source-upstream'!G270="",'schema-yn'!$A$5,vlookup('source-upstream'!G270,YN_MAP,3,FALSE))</f>
        <v>not-provided</v>
      </c>
      <c r="H270" s="70" t="str">
        <f>if('source-upstream'!H270="",'schema-yn'!$A$5,vlookup('source-upstream'!H270,RESILIENCE_OPTION_MAP,3,FALSE))</f>
        <v>not-provided</v>
      </c>
      <c r="I270" s="70" t="str">
        <f>if(iserror(vlookup('source-upstream'!I270,'data-cleansing-maps'!N$5:N$10,1,FALSE)),'source-upstream'!I270,"")</f>
        <v/>
      </c>
      <c r="J270" s="89" t="str">
        <f>'source-upstream'!J270</f>
        <v>Not Provided</v>
      </c>
      <c r="K270" s="70" t="str">
        <f>if('source-upstream'!K270="",'schema-yn'!$A$5,vlookup('source-upstream'!K270,YN_MAP,3,FALSE))</f>
        <v>not-provided</v>
      </c>
      <c r="L270" s="90" t="str">
        <f>if('source-upstream'!L270="Not provided","",'source-upstream'!L270)</f>
        <v/>
      </c>
      <c r="M270" s="65" t="str">
        <f>if('source-upstream'!M270="",'schema-rv-services'!$B$26,vlookup(vlookup('source-upstream'!$M270,'analysis-rv-services'!$C:$E,3,FALSE),'schema-rv-services'!$A:$B,2, FALSE))</f>
        <v>transport</v>
      </c>
      <c r="N270" s="70"/>
    </row>
    <row r="271" ht="15.0" customHeight="1">
      <c r="A271" s="88" t="str">
        <f>Substitute(SUBSTITUTE(substitute(substitute(substitute(substitute(substitute(substitute(substitute(lower('source-upstream'!A271)," ","-"),"(",""),")",""),"&gt;",""),"&lt;",""),"---","-"),".","-"),"--","-"),"&amp;","-and-")</f>
        <v>wild-possum</v>
      </c>
      <c r="B271" s="88" t="str">
        <f>Substitute(SUBSTITUTE(substitute(substitute(substitute(substitute(substitute(substitute(substitute(lower('source-upstream'!B271)," ","-"),"(",""),")",""),"&gt;",""),"&lt;",""),"---","-"),".","-"),"--","-"),"&amp;","-and-")</f>
        <v>wild-possum</v>
      </c>
      <c r="C271" s="70" t="str">
        <f>if('source-upstream'!C271="",'schema-frequency'!$B$11,vlookup('source-upstream'!C271,FREQUENCY_MAP, 3, FALSE))</f>
        <v>unknown</v>
      </c>
      <c r="D271" s="89" t="str">
        <f>'source-upstream'!D271</f>
        <v>Not Provided</v>
      </c>
      <c r="E271" s="70" t="str">
        <f>if('source-upstream'!E271="",'schema-yn'!$A$5,vlookup('source-upstream'!E271,YN_MAP,3,FALSE))</f>
        <v>not-provided</v>
      </c>
      <c r="F271" s="70" t="str">
        <f>if('source-upstream'!F271="",'schema-yn'!$A$5,vlookup('source-upstream'!F271,YN_MAP,3,FALSE))</f>
        <v>not-provided</v>
      </c>
      <c r="G271" s="70" t="str">
        <f>if('source-upstream'!G271="",'schema-yn'!$A$5,vlookup('source-upstream'!G271,YN_MAP,3,FALSE))</f>
        <v>not-provided</v>
      </c>
      <c r="H271" s="70" t="str">
        <f>if('source-upstream'!H271="",'schema-yn'!$A$5,vlookup('source-upstream'!H271,RESILIENCE_OPTION_MAP,3,FALSE))</f>
        <v>not-provided</v>
      </c>
      <c r="I271" s="70" t="str">
        <f>if(iserror(vlookup('source-upstream'!I271,'data-cleansing-maps'!N$5:N$10,1,FALSE)),'source-upstream'!I271,"")</f>
        <v/>
      </c>
      <c r="J271" s="89" t="str">
        <f>'source-upstream'!J271</f>
        <v>Not Provided</v>
      </c>
      <c r="K271" s="70" t="str">
        <f>if('source-upstream'!K271="",'schema-yn'!$A$5,vlookup('source-upstream'!K271,YN_MAP,3,FALSE))</f>
        <v>not-provided</v>
      </c>
      <c r="L271" s="90" t="str">
        <f>if('source-upstream'!L271="Not provided","",'source-upstream'!L271)</f>
        <v/>
      </c>
      <c r="M271" s="65" t="str">
        <f>if('source-upstream'!M271="",'schema-rv-services'!$B$26,vlookup(vlookup('source-upstream'!$M271,'analysis-rv-services'!$C:$E,3,FALSE),'schema-rv-services'!$A:$B,2, FALSE))</f>
        <v>waste-processing</v>
      </c>
      <c r="N271" s="70"/>
    </row>
    <row r="272" ht="15.0" customHeight="1">
      <c r="A272" s="88" t="str">
        <f>Substitute(SUBSTITUTE(substitute(substitute(substitute(substitute(substitute(substitute(substitute(lower('source-upstream'!A272)," ","-"),"(",""),")",""),"&gt;",""),"&lt;",""),"---","-"),".","-"),"--","-"),"&amp;","-and-")</f>
        <v>wild-tasmanian-devil</v>
      </c>
      <c r="B272" s="88" t="str">
        <f>Substitute(SUBSTITUTE(substitute(substitute(substitute(substitute(substitute(substitute(substitute(lower('source-upstream'!B272)," ","-"),"(",""),")",""),"&gt;",""),"&lt;",""),"---","-"),".","-"),"--","-"),"&amp;","-and-")</f>
        <v>happy-fairy-penguin</v>
      </c>
      <c r="C272" s="70" t="str">
        <f>if('source-upstream'!C272="",'schema-frequency'!$B$11,vlookup('source-upstream'!C272,FREQUENCY_MAP, 3, FALSE))</f>
        <v>daily</v>
      </c>
      <c r="D272" s="89" t="str">
        <f>'source-upstream'!D272</f>
        <v>Collect the containers from the depot and OTC</v>
      </c>
      <c r="E272" s="70" t="str">
        <f>if('source-upstream'!E272="",'schema-yn'!$A$5,vlookup('source-upstream'!E272,YN_MAP,3,FALSE))</f>
        <v>not-provided</v>
      </c>
      <c r="F272" s="70" t="str">
        <f>if('source-upstream'!F272="",'schema-yn'!$A$5,vlookup('source-upstream'!F272,YN_MAP,3,FALSE))</f>
        <v>not-provided</v>
      </c>
      <c r="G272" s="70" t="str">
        <f>if('source-upstream'!G272="",'schema-yn'!$A$5,vlookup('source-upstream'!G272,YN_MAP,3,FALSE))</f>
        <v>yes</v>
      </c>
      <c r="H272" s="70" t="str">
        <f>if('source-upstream'!H272="",'schema-yn'!$A$5,vlookup('source-upstream'!H272,RESILIENCE_OPTION_MAP,3,FALSE))</f>
        <v>not-provided</v>
      </c>
      <c r="I272" s="70" t="str">
        <f>if(iserror(vlookup('source-upstream'!I272,'data-cleansing-maps'!N$5:N$10,1,FALSE)),'source-upstream'!I272,"")</f>
        <v/>
      </c>
      <c r="J272" s="89" t="str">
        <f>'source-upstream'!J272</f>
        <v>No comments provided</v>
      </c>
      <c r="K272" s="70" t="str">
        <f>if('source-upstream'!K272="",'schema-yn'!$A$5,vlookup('source-upstream'!K272,YN_MAP,3,FALSE))</f>
        <v>not-provided</v>
      </c>
      <c r="L272" s="90" t="str">
        <f>if('source-upstream'!L272="Not provided","",'source-upstream'!L272)</f>
        <v/>
      </c>
      <c r="M272" s="65" t="str">
        <f>if('source-upstream'!M272="",'schema-rv-services'!$B$26,vlookup(vlookup('source-upstream'!$M272,'analysis-rv-services'!$C:$E,3,FALSE),'schema-rv-services'!$A:$B,2, FALSE))</f>
        <v>transport</v>
      </c>
      <c r="N272" s="70"/>
    </row>
    <row r="273" ht="15.0" customHeight="1">
      <c r="A273" s="88" t="str">
        <f>Substitute(SUBSTITUTE(substitute(substitute(substitute(substitute(substitute(substitute(substitute(lower('source-upstream'!A273)," ","-"),"(",""),")",""),"&gt;",""),"&lt;",""),"---","-"),".","-"),"--","-"),"&amp;","-and-")</f>
        <v>wild-tasmanian-devil</v>
      </c>
      <c r="B273" s="88" t="str">
        <f>Substitute(SUBSTITUTE(substitute(substitute(substitute(substitute(substitute(substitute(substitute(lower('source-upstream'!B273)," ","-"),"(",""),")",""),"&gt;",""),"&lt;",""),"---","-"),".","-"),"--","-"),"&amp;","-and-")</f>
        <v>green-bush-stone-curlew</v>
      </c>
      <c r="C273" s="70" t="str">
        <f>if('source-upstream'!C273="",'schema-frequency'!$B$11,vlookup('source-upstream'!C273,FREQUENCY_MAP, 3, FALSE))</f>
        <v>daily</v>
      </c>
      <c r="D273" s="89" t="str">
        <f>'source-upstream'!D273</f>
        <v>Collect the containers from the depot and OTC</v>
      </c>
      <c r="E273" s="70" t="str">
        <f>if('source-upstream'!E273="",'schema-yn'!$A$5,vlookup('source-upstream'!E273,YN_MAP,3,FALSE))</f>
        <v>not-provided</v>
      </c>
      <c r="F273" s="70" t="str">
        <f>if('source-upstream'!F273="",'schema-yn'!$A$5,vlookup('source-upstream'!F273,YN_MAP,3,FALSE))</f>
        <v>not-provided</v>
      </c>
      <c r="G273" s="70" t="str">
        <f>if('source-upstream'!G273="",'schema-yn'!$A$5,vlookup('source-upstream'!G273,YN_MAP,3,FALSE))</f>
        <v>yes</v>
      </c>
      <c r="H273" s="70" t="str">
        <f>if('source-upstream'!H273="",'schema-yn'!$A$5,vlookup('source-upstream'!H273,RESILIENCE_OPTION_MAP,3,FALSE))</f>
        <v>not-provided</v>
      </c>
      <c r="I273" s="70" t="str">
        <f>if(iserror(vlookup('source-upstream'!I273,'data-cleansing-maps'!N$5:N$10,1,FALSE)),'source-upstream'!I273,"")</f>
        <v/>
      </c>
      <c r="J273" s="89" t="str">
        <f>'source-upstream'!J273</f>
        <v>No comments provided</v>
      </c>
      <c r="K273" s="70" t="str">
        <f>if('source-upstream'!K273="",'schema-yn'!$A$5,vlookup('source-upstream'!K273,YN_MAP,3,FALSE))</f>
        <v>not-provided</v>
      </c>
      <c r="L273" s="90" t="str">
        <f>if('source-upstream'!L273="Not provided","",'source-upstream'!L273)</f>
        <v/>
      </c>
      <c r="M273" s="65" t="str">
        <f>if('source-upstream'!M273="",'schema-rv-services'!$B$26,vlookup(vlookup('source-upstream'!$M273,'analysis-rv-services'!$C:$E,3,FALSE),'schema-rv-services'!$A:$B,2, FALSE))</f>
        <v>transport</v>
      </c>
      <c r="N273" s="70"/>
    </row>
    <row r="274" ht="15.0" customHeight="1">
      <c r="A274" s="88" t="str">
        <f>Substitute(SUBSTITUTE(substitute(substitute(substitute(substitute(substitute(substitute(substitute(lower('source-upstream'!A274)," ","-"),"(",""),")",""),"&gt;",""),"&lt;",""),"---","-"),".","-"),"--","-"),"&amp;","-and-")</f>
        <v>wild-tasmanian-devil</v>
      </c>
      <c r="B274" s="88" t="str">
        <f>Substitute(SUBSTITUTE(substitute(substitute(substitute(substitute(substitute(substitute(substitute(lower('source-upstream'!B274)," ","-"),"(",""),")",""),"&gt;",""),"&lt;",""),"---","-"),".","-"),"--","-"),"&amp;","-and-")</f>
        <v>green-koala</v>
      </c>
      <c r="C274" s="70" t="str">
        <f>if('source-upstream'!C274="",'schema-frequency'!$B$11,vlookup('source-upstream'!C274,FREQUENCY_MAP, 3, FALSE))</f>
        <v>daily</v>
      </c>
      <c r="D274" s="89" t="str">
        <f>'source-upstream'!D274</f>
        <v>Collect the containers from the depot and OTC</v>
      </c>
      <c r="E274" s="70" t="str">
        <f>if('source-upstream'!E274="",'schema-yn'!$A$5,vlookup('source-upstream'!E274,YN_MAP,3,FALSE))</f>
        <v>not-provided</v>
      </c>
      <c r="F274" s="70" t="str">
        <f>if('source-upstream'!F274="",'schema-yn'!$A$5,vlookup('source-upstream'!F274,YN_MAP,3,FALSE))</f>
        <v>not-provided</v>
      </c>
      <c r="G274" s="70" t="str">
        <f>if('source-upstream'!G274="",'schema-yn'!$A$5,vlookup('source-upstream'!G274,YN_MAP,3,FALSE))</f>
        <v>yes</v>
      </c>
      <c r="H274" s="70" t="str">
        <f>if('source-upstream'!H274="",'schema-yn'!$A$5,vlookup('source-upstream'!H274,RESILIENCE_OPTION_MAP,3,FALSE))</f>
        <v>not-provided</v>
      </c>
      <c r="I274" s="70" t="str">
        <f>if(iserror(vlookup('source-upstream'!I274,'data-cleansing-maps'!N$5:N$10,1,FALSE)),'source-upstream'!I274,"")</f>
        <v/>
      </c>
      <c r="J274" s="89" t="str">
        <f>'source-upstream'!J274</f>
        <v>No comments provided</v>
      </c>
      <c r="K274" s="70" t="str">
        <f>if('source-upstream'!K274="",'schema-yn'!$A$5,vlookup('source-upstream'!K274,YN_MAP,3,FALSE))</f>
        <v>not-provided</v>
      </c>
      <c r="L274" s="90" t="str">
        <f>if('source-upstream'!L274="Not provided","",'source-upstream'!L274)</f>
        <v/>
      </c>
      <c r="M274" s="65" t="str">
        <f>if('source-upstream'!M274="",'schema-rv-services'!$B$26,vlookup(vlookup('source-upstream'!$M274,'analysis-rv-services'!$C:$E,3,FALSE),'schema-rv-services'!$A:$B,2, FALSE))</f>
        <v>transport</v>
      </c>
      <c r="N274" s="70"/>
    </row>
    <row r="275" ht="15.0" customHeight="1">
      <c r="A275" s="88" t="str">
        <f>Substitute(SUBSTITUTE(substitute(substitute(substitute(substitute(substitute(substitute(substitute(lower('source-upstream'!A275)," ","-"),"(",""),")",""),"&gt;",""),"&lt;",""),"---","-"),".","-"),"--","-"),"&amp;","-and-")</f>
        <v>wild-tasmanian-devil</v>
      </c>
      <c r="B275" s="88" t="str">
        <f>Substitute(SUBSTITUTE(substitute(substitute(substitute(substitute(substitute(substitute(substitute(lower('source-upstream'!B275)," ","-"),"(",""),")",""),"&gt;",""),"&lt;",""),"---","-"),".","-"),"--","-"),"&amp;","-and-")</f>
        <v>happy-echidna</v>
      </c>
      <c r="C275" s="70" t="str">
        <f>if('source-upstream'!C275="",'schema-frequency'!$B$11,vlookup('source-upstream'!C275,FREQUENCY_MAP, 3, FALSE))</f>
        <v>daily</v>
      </c>
      <c r="D275" s="89" t="str">
        <f>'source-upstream'!D275</f>
        <v>Specialised service provider baling equipment</v>
      </c>
      <c r="E275" s="70" t="str">
        <f>if('source-upstream'!E275="",'schema-yn'!$A$5,vlookup('source-upstream'!E275,YN_MAP,3,FALSE))</f>
        <v>not-provided</v>
      </c>
      <c r="F275" s="70" t="str">
        <f>if('source-upstream'!F275="",'schema-yn'!$A$5,vlookup('source-upstream'!F275,YN_MAP,3,FALSE))</f>
        <v>not-provided</v>
      </c>
      <c r="G275" s="70" t="str">
        <f>if('source-upstream'!G275="",'schema-yn'!$A$5,vlookup('source-upstream'!G275,YN_MAP,3,FALSE))</f>
        <v>yes</v>
      </c>
      <c r="H275" s="70" t="str">
        <f>if('source-upstream'!H275="",'schema-yn'!$A$5,vlookup('source-upstream'!H275,RESILIENCE_OPTION_MAP,3,FALSE))</f>
        <v>not-provided</v>
      </c>
      <c r="I275" s="70" t="str">
        <f>if(iserror(vlookup('source-upstream'!I275,'data-cleansing-maps'!N$5:N$10,1,FALSE)),'source-upstream'!I275,"")</f>
        <v/>
      </c>
      <c r="J275" s="89" t="str">
        <f>'source-upstream'!J275</f>
        <v>No comments provided</v>
      </c>
      <c r="K275" s="70" t="str">
        <f>if('source-upstream'!K275="",'schema-yn'!$A$5,vlookup('source-upstream'!K275,YN_MAP,3,FALSE))</f>
        <v>not-provided</v>
      </c>
      <c r="L275" s="90" t="str">
        <f>if('source-upstream'!L275="Not provided","",'source-upstream'!L275)</f>
        <v/>
      </c>
      <c r="M275" s="65" t="str">
        <f>if('source-upstream'!M275="",'schema-rv-services'!$B$26,vlookup(vlookup('source-upstream'!$M275,'analysis-rv-services'!$C:$E,3,FALSE),'schema-rv-services'!$A:$B,2, FALSE))</f>
        <v>plant-and-equipment</v>
      </c>
      <c r="N275" s="70"/>
    </row>
    <row r="276" ht="15.0" customHeight="1">
      <c r="A276" s="88" t="str">
        <f>Substitute(SUBSTITUTE(substitute(substitute(substitute(substitute(substitute(substitute(substitute(lower('source-upstream'!A276)," ","-"),"(",""),")",""),"&gt;",""),"&lt;",""),"---","-"),".","-"),"--","-"),"&amp;","-and-")</f>
        <v>wild-tasmanian-devil</v>
      </c>
      <c r="B276" s="88" t="str">
        <f>Substitute(SUBSTITUTE(substitute(substitute(substitute(substitute(substitute(substitute(substitute(lower('source-upstream'!B276)," ","-"),"(",""),")",""),"&gt;",""),"&lt;",""),"---","-"),".","-"),"--","-"),"&amp;","-and-")</f>
        <v>spotted-australian-magpie</v>
      </c>
      <c r="C276" s="70" t="str">
        <f>if('source-upstream'!C276="",'schema-frequency'!$B$11,vlookup('source-upstream'!C276,FREQUENCY_MAP, 3, FALSE))</f>
        <v>ad-hoc</v>
      </c>
      <c r="D276" s="89" t="str">
        <f>'source-upstream'!D276</f>
        <v>OEM supplier reverse vending machine equipment</v>
      </c>
      <c r="E276" s="70" t="str">
        <f>if('source-upstream'!E276="",'schema-yn'!$A$5,vlookup('source-upstream'!E276,YN_MAP,3,FALSE))</f>
        <v>not-provided</v>
      </c>
      <c r="F276" s="70" t="str">
        <f>if('source-upstream'!F276="",'schema-yn'!$A$5,vlookup('source-upstream'!F276,YN_MAP,3,FALSE))</f>
        <v>not-provided</v>
      </c>
      <c r="G276" s="70" t="str">
        <f>if('source-upstream'!G276="",'schema-yn'!$A$5,vlookup('source-upstream'!G276,YN_MAP,3,FALSE))</f>
        <v>yes</v>
      </c>
      <c r="H276" s="70" t="str">
        <f>if('source-upstream'!H276="",'schema-yn'!$A$5,vlookup('source-upstream'!H276,RESILIENCE_OPTION_MAP,3,FALSE))</f>
        <v>not-provided</v>
      </c>
      <c r="I276" s="70" t="str">
        <f>if(iserror(vlookup('source-upstream'!I276,'data-cleansing-maps'!N$5:N$10,1,FALSE)),'source-upstream'!I276,"")</f>
        <v/>
      </c>
      <c r="J276" s="89" t="str">
        <f>'source-upstream'!J276</f>
        <v>No comments provided</v>
      </c>
      <c r="K276" s="70" t="str">
        <f>if('source-upstream'!K276="",'schema-yn'!$A$5,vlookup('source-upstream'!K276,YN_MAP,3,FALSE))</f>
        <v>not-provided</v>
      </c>
      <c r="L276" s="90" t="str">
        <f>if('source-upstream'!L276="Not provided","",'source-upstream'!L276)</f>
        <v/>
      </c>
      <c r="M276" s="65" t="str">
        <f>if('source-upstream'!M276="",'schema-rv-services'!$B$26,vlookup(vlookup('source-upstream'!$M276,'analysis-rv-services'!$C:$E,3,FALSE),'schema-rv-services'!$A:$B,2, FALSE))</f>
        <v>techonology</v>
      </c>
      <c r="N276" s="70"/>
    </row>
    <row r="277" ht="15.0" customHeight="1">
      <c r="A277" s="88" t="str">
        <f>Substitute(SUBSTITUTE(substitute(substitute(substitute(substitute(substitute(substitute(substitute(lower('source-upstream'!A277)," ","-"),"(",""),")",""),"&gt;",""),"&lt;",""),"---","-"),".","-"),"--","-"),"&amp;","-and-")</f>
        <v>wild-tasmanian-devil</v>
      </c>
      <c r="B277" s="88" t="str">
        <f>Substitute(SUBSTITUTE(substitute(substitute(substitute(substitute(substitute(substitute(substitute(lower('source-upstream'!B277)," ","-"),"(",""),")",""),"&gt;",""),"&lt;",""),"---","-"),".","-"),"--","-"),"&amp;","-and-")</f>
        <v>wild-rosella</v>
      </c>
      <c r="C277" s="70" t="str">
        <f>if('source-upstream'!C277="",'schema-frequency'!$B$11,vlookup('source-upstream'!C277,FREQUENCY_MAP, 3, FALSE))</f>
        <v>daily</v>
      </c>
      <c r="D277" s="89" t="str">
        <f>'source-upstream'!D277</f>
        <v>Automation and technology solutions, machine servicing</v>
      </c>
      <c r="E277" s="70" t="str">
        <f>if('source-upstream'!E277="",'schema-yn'!$A$5,vlookup('source-upstream'!E277,YN_MAP,3,FALSE))</f>
        <v>not-provided</v>
      </c>
      <c r="F277" s="70" t="str">
        <f>if('source-upstream'!F277="",'schema-yn'!$A$5,vlookup('source-upstream'!F277,YN_MAP,3,FALSE))</f>
        <v>not-provided</v>
      </c>
      <c r="G277" s="70" t="str">
        <f>if('source-upstream'!G277="",'schema-yn'!$A$5,vlookup('source-upstream'!G277,YN_MAP,3,FALSE))</f>
        <v>yes</v>
      </c>
      <c r="H277" s="70" t="str">
        <f>if('source-upstream'!H277="",'schema-yn'!$A$5,vlookup('source-upstream'!H277,RESILIENCE_OPTION_MAP,3,FALSE))</f>
        <v>not-provided</v>
      </c>
      <c r="I277" s="70" t="str">
        <f>if(iserror(vlookup('source-upstream'!I277,'data-cleansing-maps'!N$5:N$10,1,FALSE)),'source-upstream'!I277,"")</f>
        <v/>
      </c>
      <c r="J277" s="89" t="str">
        <f>'source-upstream'!J277</f>
        <v>No comments provided</v>
      </c>
      <c r="K277" s="70" t="str">
        <f>if('source-upstream'!K277="",'schema-yn'!$A$5,vlookup('source-upstream'!K277,YN_MAP,3,FALSE))</f>
        <v>not-provided</v>
      </c>
      <c r="L277" s="90" t="str">
        <f>if('source-upstream'!L277="Not provided","",'source-upstream'!L277)</f>
        <v/>
      </c>
      <c r="M277" s="65" t="str">
        <f>if('source-upstream'!M277="",'schema-rv-services'!$B$26,vlookup(vlookup('source-upstream'!$M277,'analysis-rv-services'!$C:$E,3,FALSE),'schema-rv-services'!$A:$B,2, FALSE))</f>
        <v>techonology</v>
      </c>
      <c r="N277" s="70"/>
    </row>
    <row r="278" ht="15.0" customHeight="1">
      <c r="A278" s="88" t="str">
        <f>Substitute(SUBSTITUTE(substitute(substitute(substitute(substitute(substitute(substitute(substitute(lower('source-upstream'!A278)," ","-"),"(",""),")",""),"&gt;",""),"&lt;",""),"---","-"),".","-"),"--","-"),"&amp;","-and-")</f>
        <v>yellow-australian-magpie</v>
      </c>
      <c r="B278" s="88" t="str">
        <f>Substitute(SUBSTITUTE(substitute(substitute(substitute(substitute(substitute(substitute(substitute(lower('source-upstream'!B278)," ","-"),"(",""),")",""),"&gt;",""),"&lt;",""),"---","-"),".","-"),"--","-"),"&amp;","-and-")</f>
        <v>swift-redback-spider</v>
      </c>
      <c r="C278" s="70" t="str">
        <f>if('source-upstream'!C278="",'schema-frequency'!$B$11,vlookup('source-upstream'!C278,FREQUENCY_MAP, 3, FALSE))</f>
        <v>monthly</v>
      </c>
      <c r="D278" s="89" t="str">
        <f>'source-upstream'!D278</f>
        <v>OEM supplier plastic sorting equipment</v>
      </c>
      <c r="E278" s="70" t="str">
        <f>if('source-upstream'!E278="",'schema-yn'!$A$5,vlookup('source-upstream'!E278,YN_MAP,3,FALSE))</f>
        <v>yes</v>
      </c>
      <c r="F278" s="70" t="str">
        <f>if('source-upstream'!F278="",'schema-yn'!$A$5,vlookup('source-upstream'!F278,YN_MAP,3,FALSE))</f>
        <v>not-provided</v>
      </c>
      <c r="G278" s="70" t="str">
        <f>if('source-upstream'!G278="",'schema-yn'!$A$5,vlookup('source-upstream'!G278,YN_MAP,3,FALSE))</f>
        <v>yes</v>
      </c>
      <c r="H278" s="70" t="str">
        <f>if('source-upstream'!H278="",'schema-yn'!$A$5,vlookup('source-upstream'!H278,RESILIENCE_OPTION_MAP,3,FALSE))</f>
        <v>bc-strategy</v>
      </c>
      <c r="I278" s="70" t="str">
        <f>if(iserror(vlookup('source-upstream'!I278,'data-cleansing-maps'!N$5:N$10,1,FALSE)),'source-upstream'!I278,"")</f>
        <v/>
      </c>
      <c r="J278" s="89" t="str">
        <f>'source-upstream'!J278</f>
        <v>Critical spares available, Bypass optical sorters, add pickers</v>
      </c>
      <c r="K278" s="70" t="str">
        <f>if('source-upstream'!K278="",'schema-yn'!$A$5,vlookup('source-upstream'!K278,YN_MAP,3,FALSE))</f>
        <v>not-provided</v>
      </c>
      <c r="L278" s="90" t="str">
        <f>if('source-upstream'!L278="Not provided","",'source-upstream'!L278)</f>
        <v/>
      </c>
      <c r="M278" s="65" t="str">
        <f>if('source-upstream'!M278="",'schema-rv-services'!$B$26,vlookup(vlookup('source-upstream'!$M278,'analysis-rv-services'!$C:$E,3,FALSE),'schema-rv-services'!$A:$B,2, FALSE))</f>
        <v>waste-processing</v>
      </c>
      <c r="N278" s="70"/>
    </row>
    <row r="279" ht="15.0" customHeight="1">
      <c r="A279" s="88" t="str">
        <f>Substitute(SUBSTITUTE(substitute(substitute(substitute(substitute(substitute(substitute(substitute(lower('source-upstream'!A279)," ","-"),"(",""),")",""),"&gt;",""),"&lt;",""),"---","-"),".","-"),"--","-"),"&amp;","-and-")</f>
        <v>yellow-australian-magpie</v>
      </c>
      <c r="B279" s="88" t="str">
        <f>Substitute(SUBSTITUTE(substitute(substitute(substitute(substitute(substitute(substitute(substitute(lower('source-upstream'!B279)," ","-"),"(",""),")",""),"&gt;",""),"&lt;",""),"---","-"),".","-"),"--","-"),"&amp;","-and-")</f>
        <v>happy-echidna</v>
      </c>
      <c r="C279" s="70" t="str">
        <f>if('source-upstream'!C279="",'schema-frequency'!$B$11,vlookup('source-upstream'!C279,FREQUENCY_MAP, 3, FALSE))</f>
        <v>biannual</v>
      </c>
      <c r="D279" s="89" t="str">
        <f>'source-upstream'!D279</f>
        <v>Specialised service provider baling equipment</v>
      </c>
      <c r="E279" s="70" t="str">
        <f>if('source-upstream'!E279="",'schema-yn'!$A$5,vlookup('source-upstream'!E279,YN_MAP,3,FALSE))</f>
        <v>yes</v>
      </c>
      <c r="F279" s="70" t="str">
        <f>if('source-upstream'!F279="",'schema-yn'!$A$5,vlookup('source-upstream'!F279,YN_MAP,3,FALSE))</f>
        <v>not-provided</v>
      </c>
      <c r="G279" s="70" t="str">
        <f>if('source-upstream'!G279="",'schema-yn'!$A$5,vlookup('source-upstream'!G279,YN_MAP,3,FALSE))</f>
        <v>yes</v>
      </c>
      <c r="H279" s="70" t="str">
        <f>if('source-upstream'!H279="",'schema-yn'!$A$5,vlookup('source-upstream'!H279,RESILIENCE_OPTION_MAP,3,FALSE))</f>
        <v>bc-strategy</v>
      </c>
      <c r="I279" s="70" t="str">
        <f>if(iserror(vlookup('source-upstream'!I279,'data-cleansing-maps'!N$5:N$10,1,FALSE)),'source-upstream'!I279,"")</f>
        <v/>
      </c>
      <c r="J279" s="89" t="str">
        <f>'source-upstream'!J279</f>
        <v>Critical spares available, Alternative suppliers available</v>
      </c>
      <c r="K279" s="70" t="str">
        <f>if('source-upstream'!K279="",'schema-yn'!$A$5,vlookup('source-upstream'!K279,YN_MAP,3,FALSE))</f>
        <v>not-provided</v>
      </c>
      <c r="L279" s="90" t="str">
        <f>if('source-upstream'!L279="Not provided","",'source-upstream'!L279)</f>
        <v/>
      </c>
      <c r="M279" s="65" t="str">
        <f>if('source-upstream'!M279="",'schema-rv-services'!$B$26,vlookup(vlookup('source-upstream'!$M279,'analysis-rv-services'!$C:$E,3,FALSE),'schema-rv-services'!$A:$B,2, FALSE))</f>
        <v>waste-processing</v>
      </c>
      <c r="N279" s="70"/>
    </row>
    <row r="280" ht="15.0" customHeight="1">
      <c r="A280" s="88" t="str">
        <f>Substitute(SUBSTITUTE(substitute(substitute(substitute(substitute(substitute(substitute(substitute(lower('source-upstream'!A280)," ","-"),"(",""),")",""),"&gt;",""),"&lt;",""),"---","-"),".","-"),"--","-"),"&amp;","-and-")</f>
        <v>yellow-australian-magpie</v>
      </c>
      <c r="B280" s="88" t="str">
        <f>Substitute(SUBSTITUTE(substitute(substitute(substitute(substitute(substitute(substitute(substitute(lower('source-upstream'!B280)," ","-"),"(",""),")",""),"&gt;",""),"&lt;",""),"---","-"),".","-"),"--","-"),"&amp;","-and-")</f>
        <v>sleepy-fairy-penguin</v>
      </c>
      <c r="C280" s="70" t="str">
        <f>if('source-upstream'!C280="",'schema-frequency'!$B$11,vlookup('source-upstream'!C280,FREQUENCY_MAP, 3, FALSE))</f>
        <v>quarterly</v>
      </c>
      <c r="D280" s="89" t="str">
        <f>'source-upstream'!D280</f>
        <v>OEM supplier paper sorting equipment</v>
      </c>
      <c r="E280" s="70" t="str">
        <f>if('source-upstream'!E280="",'schema-yn'!$A$5,vlookup('source-upstream'!E280,YN_MAP,3,FALSE))</f>
        <v>yes</v>
      </c>
      <c r="F280" s="70" t="str">
        <f>if('source-upstream'!F280="",'schema-yn'!$A$5,vlookup('source-upstream'!F280,YN_MAP,3,FALSE))</f>
        <v>not-provided</v>
      </c>
      <c r="G280" s="70" t="str">
        <f>if('source-upstream'!G280="",'schema-yn'!$A$5,vlookup('source-upstream'!G280,YN_MAP,3,FALSE))</f>
        <v>yes</v>
      </c>
      <c r="H280" s="70" t="str">
        <f>if('source-upstream'!H280="",'schema-yn'!$A$5,vlookup('source-upstream'!H280,RESILIENCE_OPTION_MAP,3,FALSE))</f>
        <v>bc-strategy</v>
      </c>
      <c r="I280" s="70" t="str">
        <f>if(iserror(vlookup('source-upstream'!I280,'data-cleansing-maps'!N$5:N$10,1,FALSE)),'source-upstream'!I280,"")</f>
        <v/>
      </c>
      <c r="J280" s="89" t="str">
        <f>'source-upstream'!J280</f>
        <v>Critical spares available, Bypass optical sorters, add pickers</v>
      </c>
      <c r="K280" s="70" t="str">
        <f>if('source-upstream'!K280="",'schema-yn'!$A$5,vlookup('source-upstream'!K280,YN_MAP,3,FALSE))</f>
        <v>not-provided</v>
      </c>
      <c r="L280" s="90" t="str">
        <f>if('source-upstream'!L280="Not provided","",'source-upstream'!L280)</f>
        <v/>
      </c>
      <c r="M280" s="65" t="str">
        <f>if('source-upstream'!M280="",'schema-rv-services'!$B$26,vlookup(vlookup('source-upstream'!$M280,'analysis-rv-services'!$C:$E,3,FALSE),'schema-rv-services'!$A:$B,2, FALSE))</f>
        <v>waste-processing</v>
      </c>
      <c r="N280" s="70"/>
    </row>
    <row r="281" ht="15.0" customHeight="1">
      <c r="A281" s="88" t="str">
        <f>Substitute(SUBSTITUTE(substitute(substitute(substitute(substitute(substitute(substitute(substitute(lower('source-upstream'!A281)," ","-"),"(",""),")",""),"&gt;",""),"&lt;",""),"---","-"),".","-"),"--","-"),"&amp;","-and-")</f>
        <v>yellow-australian-magpie</v>
      </c>
      <c r="B281" s="88" t="str">
        <f>Substitute(SUBSTITUTE(substitute(substitute(substitute(substitute(substitute(substitute(substitute(lower('source-upstream'!B281)," ","-"),"(",""),")",""),"&gt;",""),"&lt;",""),"---","-"),".","-"),"--","-"),"&amp;","-and-")</f>
        <v>wild-wombat</v>
      </c>
      <c r="C281" s="70" t="str">
        <f>if('source-upstream'!C281="",'schema-frequency'!$B$11,vlookup('source-upstream'!C281,FREQUENCY_MAP, 3, FALSE))</f>
        <v>weekly</v>
      </c>
      <c r="D281" s="89" t="str">
        <f>'source-upstream'!D281</f>
        <v>Mobile handling equipment supplier</v>
      </c>
      <c r="E281" s="70" t="str">
        <f>if('source-upstream'!E281="",'schema-yn'!$A$5,vlookup('source-upstream'!E281,YN_MAP,3,FALSE))</f>
        <v>yes</v>
      </c>
      <c r="F281" s="70" t="str">
        <f>if('source-upstream'!F281="",'schema-yn'!$A$5,vlookup('source-upstream'!F281,YN_MAP,3,FALSE))</f>
        <v>not-provided</v>
      </c>
      <c r="G281" s="70" t="str">
        <f>if('source-upstream'!G281="",'schema-yn'!$A$5,vlookup('source-upstream'!G281,YN_MAP,3,FALSE))</f>
        <v>yes</v>
      </c>
      <c r="H281" s="70" t="str">
        <f>if('source-upstream'!H281="",'schema-yn'!$A$5,vlookup('source-upstream'!H281,RESILIENCE_OPTION_MAP,3,FALSE))</f>
        <v>bc-strategy</v>
      </c>
      <c r="I281" s="70" t="str">
        <f>if(iserror(vlookup('source-upstream'!I281,'data-cleansing-maps'!N$5:N$10,1,FALSE)),'source-upstream'!I281,"")</f>
        <v/>
      </c>
      <c r="J281" s="89" t="str">
        <f>'source-upstream'!J281</f>
        <v>Critical spares available, Alternative suppliers available</v>
      </c>
      <c r="K281" s="70" t="str">
        <f>if('source-upstream'!K281="",'schema-yn'!$A$5,vlookup('source-upstream'!K281,YN_MAP,3,FALSE))</f>
        <v>not-provided</v>
      </c>
      <c r="L281" s="90" t="str">
        <f>if('source-upstream'!L281="Not provided","",'source-upstream'!L281)</f>
        <v/>
      </c>
      <c r="M281" s="65" t="str">
        <f>if('source-upstream'!M281="",'schema-rv-services'!$B$26,vlookup(vlookup('source-upstream'!$M281,'analysis-rv-services'!$C:$E,3,FALSE),'schema-rv-services'!$A:$B,2, FALSE))</f>
        <v>plant-and-equipment</v>
      </c>
      <c r="N281" s="70"/>
    </row>
    <row r="282" ht="15.0" customHeight="1">
      <c r="A282" s="88" t="str">
        <f>Substitute(SUBSTITUTE(substitute(substitute(substitute(substitute(substitute(substitute(substitute(lower('source-upstream'!A282)," ","-"),"(",""),")",""),"&gt;",""),"&lt;",""),"---","-"),".","-"),"--","-"),"&amp;","-and-")</f>
        <v>yellow-australian-magpie</v>
      </c>
      <c r="B282" s="88" t="str">
        <f>Substitute(SUBSTITUTE(substitute(substitute(substitute(substitute(substitute(substitute(substitute(lower('source-upstream'!B282)," ","-"),"(",""),")",""),"&gt;",""),"&lt;",""),"---","-"),".","-"),"--","-"),"&amp;","-and-")</f>
        <v>tiny-platypus</v>
      </c>
      <c r="C282" s="70" t="str">
        <f>if('source-upstream'!C282="",'schema-frequency'!$B$11,vlookup('source-upstream'!C282,FREQUENCY_MAP, 3, FALSE))</f>
        <v>monthly</v>
      </c>
      <c r="D282" s="89" t="str">
        <f>'source-upstream'!D282</f>
        <v>OEM supplier plastic &amp; paper sorting equipment</v>
      </c>
      <c r="E282" s="70" t="str">
        <f>if('source-upstream'!E282="",'schema-yn'!$A$5,vlookup('source-upstream'!E282,YN_MAP,3,FALSE))</f>
        <v>yes</v>
      </c>
      <c r="F282" s="70" t="str">
        <f>if('source-upstream'!F282="",'schema-yn'!$A$5,vlookup('source-upstream'!F282,YN_MAP,3,FALSE))</f>
        <v>not-provided</v>
      </c>
      <c r="G282" s="70" t="str">
        <f>if('source-upstream'!G282="",'schema-yn'!$A$5,vlookup('source-upstream'!G282,YN_MAP,3,FALSE))</f>
        <v>yes</v>
      </c>
      <c r="H282" s="70" t="str">
        <f>if('source-upstream'!H282="",'schema-yn'!$A$5,vlookup('source-upstream'!H282,RESILIENCE_OPTION_MAP,3,FALSE))</f>
        <v>bc-strategy</v>
      </c>
      <c r="I282" s="70" t="str">
        <f>if(iserror(vlookup('source-upstream'!I282,'data-cleansing-maps'!N$5:N$10,1,FALSE)),'source-upstream'!I282,"")</f>
        <v/>
      </c>
      <c r="J282" s="89" t="str">
        <f>'source-upstream'!J282</f>
        <v>Critical spares available, Bypass optical sorters, add pickers</v>
      </c>
      <c r="K282" s="70" t="str">
        <f>if('source-upstream'!K282="",'schema-yn'!$A$5,vlookup('source-upstream'!K282,YN_MAP,3,FALSE))</f>
        <v>not-provided</v>
      </c>
      <c r="L282" s="90" t="str">
        <f>if('source-upstream'!L282="Not provided","",'source-upstream'!L282)</f>
        <v/>
      </c>
      <c r="M282" s="65" t="str">
        <f>if('source-upstream'!M282="",'schema-rv-services'!$B$26,vlookup(vlookup('source-upstream'!$M282,'analysis-rv-services'!$C:$E,3,FALSE),'schema-rv-services'!$A:$B,2, FALSE))</f>
        <v>waste-processing</v>
      </c>
      <c r="N282" s="70"/>
    </row>
    <row r="283" ht="15.0" customHeight="1">
      <c r="A283" s="88" t="str">
        <f>Substitute(SUBSTITUTE(substitute(substitute(substitute(substitute(substitute(substitute(substitute(lower('source-upstream'!A283)," ","-"),"(",""),")",""),"&gt;",""),"&lt;",""),"---","-"),".","-"),"--","-"),"&amp;","-and-")</f>
        <v>yellow-australian-magpie</v>
      </c>
      <c r="B283" s="88" t="str">
        <f>Substitute(SUBSTITUTE(substitute(substitute(substitute(substitute(substitute(substitute(substitute(lower('source-upstream'!B283)," ","-"),"(",""),")",""),"&gt;",""),"&lt;",""),"---","-"),".","-"),"--","-"),"&amp;","-and-")</f>
        <v>spotted-kangaroo</v>
      </c>
      <c r="C283" s="70" t="str">
        <f>if('source-upstream'!C283="",'schema-frequency'!$B$11,vlookup('source-upstream'!C283,FREQUENCY_MAP, 3, FALSE))</f>
        <v>monthly</v>
      </c>
      <c r="D283" s="89" t="str">
        <f>'source-upstream'!D283</f>
        <v>OEM supplier glass sorting equipment</v>
      </c>
      <c r="E283" s="70" t="str">
        <f>if('source-upstream'!E283="",'schema-yn'!$A$5,vlookup('source-upstream'!E283,YN_MAP,3,FALSE))</f>
        <v>yes</v>
      </c>
      <c r="F283" s="70" t="str">
        <f>if('source-upstream'!F283="",'schema-yn'!$A$5,vlookup('source-upstream'!F283,YN_MAP,3,FALSE))</f>
        <v>not-provided</v>
      </c>
      <c r="G283" s="70" t="str">
        <f>if('source-upstream'!G283="",'schema-yn'!$A$5,vlookup('source-upstream'!G283,YN_MAP,3,FALSE))</f>
        <v>yes</v>
      </c>
      <c r="H283" s="70" t="str">
        <f>if('source-upstream'!H283="",'schema-yn'!$A$5,vlookup('source-upstream'!H283,RESILIENCE_OPTION_MAP,3,FALSE))</f>
        <v>bc-strategy</v>
      </c>
      <c r="I283" s="70" t="str">
        <f>if(iserror(vlookup('source-upstream'!I283,'data-cleansing-maps'!N$5:N$10,1,FALSE)),'source-upstream'!I283,"")</f>
        <v/>
      </c>
      <c r="J283" s="89" t="str">
        <f>'source-upstream'!J283</f>
        <v>Bypass optical sorters</v>
      </c>
      <c r="K283" s="70" t="str">
        <f>if('source-upstream'!K283="",'schema-yn'!$A$5,vlookup('source-upstream'!K283,YN_MAP,3,FALSE))</f>
        <v>not-provided</v>
      </c>
      <c r="L283" s="90" t="str">
        <f>if('source-upstream'!L283="Not provided","",'source-upstream'!L283)</f>
        <v/>
      </c>
      <c r="M283" s="65" t="str">
        <f>if('source-upstream'!M283="",'schema-rv-services'!$B$26,vlookup(vlookup('source-upstream'!$M283,'analysis-rv-services'!$C:$E,3,FALSE),'schema-rv-services'!$A:$B,2, FALSE))</f>
        <v>plant-and-equipment</v>
      </c>
      <c r="N283" s="70"/>
    </row>
    <row r="284" ht="15.0" customHeight="1">
      <c r="A284" s="88" t="str">
        <f>Substitute(SUBSTITUTE(substitute(substitute(substitute(substitute(substitute(substitute(substitute(lower('source-upstream'!A284)," ","-"),"(",""),")",""),"&gt;",""),"&lt;",""),"---","-"),".","-"),"--","-"),"&amp;","-and-")</f>
        <v>yellow-australian-magpie</v>
      </c>
      <c r="B284" s="88" t="str">
        <f>Substitute(SUBSTITUTE(substitute(substitute(substitute(substitute(substitute(substitute(substitute(lower('source-upstream'!B284)," ","-"),"(",""),")",""),"&gt;",""),"&lt;",""),"---","-"),".","-"),"--","-"),"&amp;","-and-")</f>
        <v>noisy-redback-spider</v>
      </c>
      <c r="C284" s="70" t="str">
        <f>if('source-upstream'!C284="",'schema-frequency'!$B$11,vlookup('source-upstream'!C284,FREQUENCY_MAP, 3, FALSE))</f>
        <v>biannual</v>
      </c>
      <c r="D284" s="89" t="str">
        <f>'source-upstream'!D284</f>
        <v>OEM supplier vibration &amp; material handling equipment</v>
      </c>
      <c r="E284" s="70" t="str">
        <f>if('source-upstream'!E284="",'schema-yn'!$A$5,vlookup('source-upstream'!E284,YN_MAP,3,FALSE))</f>
        <v>yes</v>
      </c>
      <c r="F284" s="70" t="str">
        <f>if('source-upstream'!F284="",'schema-yn'!$A$5,vlookup('source-upstream'!F284,YN_MAP,3,FALSE))</f>
        <v>not-provided</v>
      </c>
      <c r="G284" s="70" t="str">
        <f>if('source-upstream'!G284="",'schema-yn'!$A$5,vlookup('source-upstream'!G284,YN_MAP,3,FALSE))</f>
        <v>yes</v>
      </c>
      <c r="H284" s="70" t="str">
        <f>if('source-upstream'!H284="",'schema-yn'!$A$5,vlookup('source-upstream'!H284,RESILIENCE_OPTION_MAP,3,FALSE))</f>
        <v>bc-strategy</v>
      </c>
      <c r="I284" s="70" t="str">
        <f>if(iserror(vlookup('source-upstream'!I284,'data-cleansing-maps'!N$5:N$10,1,FALSE)),'source-upstream'!I284,"")</f>
        <v/>
      </c>
      <c r="J284" s="89" t="str">
        <f>'source-upstream'!J284</f>
        <v>Alternative suppliers available</v>
      </c>
      <c r="K284" s="70" t="str">
        <f>if('source-upstream'!K284="",'schema-yn'!$A$5,vlookup('source-upstream'!K284,YN_MAP,3,FALSE))</f>
        <v>not-provided</v>
      </c>
      <c r="L284" s="90" t="str">
        <f>if('source-upstream'!L284="Not provided","",'source-upstream'!L284)</f>
        <v/>
      </c>
      <c r="M284" s="65" t="str">
        <f>if('source-upstream'!M284="",'schema-rv-services'!$B$26,vlookup(vlookup('source-upstream'!$M284,'analysis-rv-services'!$C:$E,3,FALSE),'schema-rv-services'!$A:$B,2, FALSE))</f>
        <v>plant-and-equipment</v>
      </c>
      <c r="N284" s="70"/>
    </row>
    <row r="285" ht="15.0" customHeight="1">
      <c r="A285" s="91" t="str">
        <f>Substitute(SUBSTITUTE(substitute(substitute(substitute(substitute(substitute(substitute(substitute(lower('source-upstream'!A285)," ","-"),"(",""),")",""),"&gt;",""),"&lt;",""),"---","-"),".","-"),"--","-"),"&amp;","-and-")</f>
        <v>yellow-australian-magpie</v>
      </c>
      <c r="B285" s="91" t="str">
        <f>Substitute(SUBSTITUTE(substitute(substitute(substitute(substitute(substitute(substitute(substitute(lower('source-upstream'!B285)," ","-"),"(",""),")",""),"&gt;",""),"&lt;",""),"---","-"),".","-"),"--","-"),"&amp;","-and-")</f>
        <v>clever-bush-stone-curlew</v>
      </c>
      <c r="C285" s="92" t="str">
        <f>if('source-upstream'!C285="",'schema-frequency'!$B$11,vlookup('source-upstream'!C285,FREQUENCY_MAP, 3, FALSE))</f>
        <v>biannual</v>
      </c>
      <c r="D285" s="93" t="str">
        <f>'source-upstream'!D285</f>
        <v>OEM supplier vibration &amp; material handling equipment</v>
      </c>
      <c r="E285" s="92" t="str">
        <f>if('source-upstream'!E285="",'schema-yn'!$A$5,vlookup('source-upstream'!E285,YN_MAP,3,FALSE))</f>
        <v>yes</v>
      </c>
      <c r="F285" s="92" t="str">
        <f>if('source-upstream'!F285="",'schema-yn'!$A$5,vlookup('source-upstream'!F285,YN_MAP,3,FALSE))</f>
        <v>not-provided</v>
      </c>
      <c r="G285" s="92" t="str">
        <f>if('source-upstream'!G285="",'schema-yn'!$A$5,vlookup('source-upstream'!G285,YN_MAP,3,FALSE))</f>
        <v>yes</v>
      </c>
      <c r="H285" s="92" t="str">
        <f>if('source-upstream'!H285="",'schema-yn'!$A$5,vlookup('source-upstream'!H285,RESILIENCE_OPTION_MAP,3,FALSE))</f>
        <v>bc-strategy</v>
      </c>
      <c r="I285" s="92" t="str">
        <f>if(iserror(vlookup('source-upstream'!I285,'data-cleansing-maps'!N$5:N$10,1,FALSE)),'source-upstream'!I285,"")</f>
        <v/>
      </c>
      <c r="J285" s="93" t="str">
        <f>'source-upstream'!J285</f>
        <v>Alternative suppliers available</v>
      </c>
      <c r="K285" s="92" t="str">
        <f>if('source-upstream'!K285="",'schema-yn'!$A$5,vlookup('source-upstream'!K285,YN_MAP,3,FALSE))</f>
        <v>not-provided</v>
      </c>
      <c r="L285" s="94" t="str">
        <f>if('source-upstream'!L285="Not provided","",'source-upstream'!L285)</f>
        <v/>
      </c>
      <c r="M285" s="65" t="str">
        <f>if('source-upstream'!M285="",'schema-rv-services'!$B$26,vlookup(vlookup('source-upstream'!$M285,'analysis-rv-services'!$C:$E,3,FALSE),'schema-rv-services'!$A:$B,2, FALSE))</f>
        <v>plant-and-equipment</v>
      </c>
      <c r="N285" s="92"/>
    </row>
  </sheetData>
  <autoFilter ref="$A$1:$N$285"/>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21.75"/>
    <col customWidth="1" min="2" max="2" width="21.0"/>
    <col customWidth="1" min="3" max="3" width="20.38"/>
    <col customWidth="1" min="4" max="4" width="4.63"/>
    <col customWidth="1" min="5" max="5" width="23.0"/>
    <col customWidth="1" min="6" max="11" width="4.13"/>
    <col customWidth="1" min="12" max="12" width="0.38"/>
    <col customWidth="1" min="13" max="13" width="29.38"/>
    <col customWidth="1" min="14" max="14" width="19.38"/>
  </cols>
  <sheetData>
    <row r="1" ht="30.0" customHeight="1">
      <c r="A1" s="60" t="s">
        <v>569</v>
      </c>
      <c r="B1" s="60" t="s">
        <v>568</v>
      </c>
      <c r="C1" s="60" t="s">
        <v>570</v>
      </c>
      <c r="D1" s="61" t="s">
        <v>572</v>
      </c>
      <c r="E1" s="60" t="s">
        <v>575</v>
      </c>
      <c r="F1" s="61" t="s">
        <v>850</v>
      </c>
      <c r="G1" s="61" t="s">
        <v>851</v>
      </c>
      <c r="H1" s="61" t="s">
        <v>852</v>
      </c>
      <c r="I1" s="61" t="s">
        <v>853</v>
      </c>
      <c r="J1" s="61" t="s">
        <v>854</v>
      </c>
      <c r="K1" s="61" t="s">
        <v>855</v>
      </c>
      <c r="L1" s="61" t="s">
        <v>856</v>
      </c>
      <c r="M1" s="60" t="s">
        <v>857</v>
      </c>
      <c r="N1" s="60"/>
    </row>
    <row r="2">
      <c r="A2" s="63" t="s">
        <v>27</v>
      </c>
      <c r="B2" s="62" t="str">
        <f t="shared" ref="B2:B25" si="1">Substitute(SUBSTITUTE(substitute(substitute(substitute(substitute(substitute(substitute(substitute(lower(A2)," ","-"),"(",""),")",""),"&gt;",""),"&lt;",""),"---","-"),".","-"),"--","-"),"&amp;","-and-")</f>
        <v>blue-lyrebird</v>
      </c>
      <c r="C2" s="64" t="str">
        <f t="shared" ref="C2:C25" si="2">A2</f>
        <v>Blue Lyrebird</v>
      </c>
      <c r="D2" s="64" t="str">
        <f>IFERROR(__xludf.DUMMYFUNCTION("TEXTJOIN("""", TRUE, ARRAYFORMULA(LEFT(SPLIT(C2, "" ""),1)))"),"BL")</f>
        <v>BL</v>
      </c>
      <c r="E2" s="66"/>
      <c r="F2" s="65" t="s">
        <v>577</v>
      </c>
      <c r="G2" s="65"/>
      <c r="H2" s="65"/>
      <c r="I2" s="65"/>
      <c r="J2" s="65"/>
      <c r="K2" s="65"/>
      <c r="L2" s="65"/>
      <c r="M2" s="65" t="s">
        <v>576</v>
      </c>
      <c r="N2" s="6"/>
    </row>
    <row r="3">
      <c r="A3" s="68" t="s">
        <v>53</v>
      </c>
      <c r="B3" s="67" t="str">
        <f t="shared" si="1"/>
        <v>clever-frilled-neck-lizard</v>
      </c>
      <c r="C3" s="69" t="str">
        <f t="shared" si="2"/>
        <v>Clever Frilled Neck Lizard</v>
      </c>
      <c r="D3" s="69" t="str">
        <f>IFERROR(__xludf.DUMMYFUNCTION("TEXTJOIN("""", TRUE, ARRAYFORMULA(LEFT(SPLIT(C3, "" ""),1)))"),"CFNL")</f>
        <v>CFNL</v>
      </c>
      <c r="E3" s="71"/>
      <c r="F3" s="65" t="s">
        <v>577</v>
      </c>
      <c r="G3" s="65"/>
      <c r="H3" s="65"/>
      <c r="I3" s="65"/>
      <c r="J3" s="65"/>
      <c r="K3" s="65"/>
      <c r="L3" s="65"/>
      <c r="M3" s="70" t="s">
        <v>579</v>
      </c>
      <c r="N3" s="6"/>
    </row>
    <row r="4">
      <c r="A4" s="68" t="s">
        <v>88</v>
      </c>
      <c r="B4" s="67" t="str">
        <f t="shared" si="1"/>
        <v>fuzzy-perentie</v>
      </c>
      <c r="C4" s="69" t="str">
        <f t="shared" si="2"/>
        <v>Fuzzy Perentie</v>
      </c>
      <c r="D4" s="69" t="str">
        <f>IFERROR(__xludf.DUMMYFUNCTION("TEXTJOIN("""", TRUE, ARRAYFORMULA(LEFT(SPLIT(C4, "" ""),1)))"),"FP")</f>
        <v>FP</v>
      </c>
      <c r="E4" s="71"/>
      <c r="F4" s="65" t="s">
        <v>577</v>
      </c>
      <c r="G4" s="65"/>
      <c r="H4" s="65"/>
      <c r="I4" s="65"/>
      <c r="J4" s="65"/>
      <c r="K4" s="65"/>
      <c r="L4" s="65"/>
      <c r="M4" s="70" t="s">
        <v>581</v>
      </c>
      <c r="N4" s="6"/>
    </row>
    <row r="5">
      <c r="A5" s="68" t="s">
        <v>47</v>
      </c>
      <c r="B5" s="67" t="str">
        <f t="shared" si="1"/>
        <v>fuzzy-sugar-glider</v>
      </c>
      <c r="C5" s="69" t="str">
        <f t="shared" si="2"/>
        <v>Fuzzy Sugar Glider</v>
      </c>
      <c r="D5" s="69" t="str">
        <f>IFERROR(__xludf.DUMMYFUNCTION("TEXTJOIN("""", TRUE, ARRAYFORMULA(LEFT(SPLIT(C5, "" ""),1)))"),"FSG")</f>
        <v>FSG</v>
      </c>
      <c r="E5" s="71"/>
      <c r="F5" s="65" t="s">
        <v>577</v>
      </c>
      <c r="G5" s="65"/>
      <c r="H5" s="65"/>
      <c r="I5" s="65"/>
      <c r="J5" s="65"/>
      <c r="K5" s="65"/>
      <c r="L5" s="65"/>
      <c r="M5" s="65" t="s">
        <v>583</v>
      </c>
      <c r="N5" s="6"/>
    </row>
    <row r="6">
      <c r="A6" s="68" t="s">
        <v>118</v>
      </c>
      <c r="B6" s="67" t="str">
        <f t="shared" si="1"/>
        <v>golden-possum</v>
      </c>
      <c r="C6" s="69" t="str">
        <f t="shared" si="2"/>
        <v>Golden Possum</v>
      </c>
      <c r="D6" s="69" t="str">
        <f>IFERROR(__xludf.DUMMYFUNCTION("TEXTJOIN("""", TRUE, ARRAYFORMULA(LEFT(SPLIT(C6, "" ""),1)))"),"GP")</f>
        <v>GP</v>
      </c>
      <c r="E6" s="71"/>
      <c r="F6" s="65" t="s">
        <v>577</v>
      </c>
      <c r="G6" s="65"/>
      <c r="H6" s="65"/>
      <c r="I6" s="65"/>
      <c r="J6" s="65"/>
      <c r="K6" s="65"/>
      <c r="L6" s="65"/>
      <c r="M6" s="70" t="s">
        <v>585</v>
      </c>
      <c r="N6" s="95"/>
    </row>
    <row r="7">
      <c r="A7" s="68" t="s">
        <v>129</v>
      </c>
      <c r="B7" s="67" t="str">
        <f t="shared" si="1"/>
        <v>lazy-lyrebird</v>
      </c>
      <c r="C7" s="69" t="str">
        <f t="shared" si="2"/>
        <v>Lazy Lyrebird</v>
      </c>
      <c r="D7" s="69" t="str">
        <f>IFERROR(__xludf.DUMMYFUNCTION("TEXTJOIN("""", TRUE, ARRAYFORMULA(LEFT(SPLIT(C7, "" ""),1)))"),"LL")</f>
        <v>LL</v>
      </c>
      <c r="E7" s="71"/>
      <c r="F7" s="65" t="s">
        <v>577</v>
      </c>
      <c r="G7" s="65"/>
      <c r="H7" s="65"/>
      <c r="I7" s="65"/>
      <c r="J7" s="65"/>
      <c r="K7" s="65"/>
      <c r="L7" s="65"/>
      <c r="M7" s="70" t="s">
        <v>587</v>
      </c>
      <c r="N7" s="95"/>
    </row>
    <row r="8">
      <c r="A8" s="68" t="s">
        <v>155</v>
      </c>
      <c r="B8" s="67" t="str">
        <f t="shared" si="1"/>
        <v>lazy-sugar-glider</v>
      </c>
      <c r="C8" s="69" t="str">
        <f t="shared" si="2"/>
        <v>Lazy Sugar Glider</v>
      </c>
      <c r="D8" s="69" t="str">
        <f>IFERROR(__xludf.DUMMYFUNCTION("TEXTJOIN("""", TRUE, ARRAYFORMULA(LEFT(SPLIT(C8, "" ""),1)))"),"LSG")</f>
        <v>LSG</v>
      </c>
      <c r="E8" s="71"/>
      <c r="F8" s="65" t="s">
        <v>577</v>
      </c>
      <c r="G8" s="65"/>
      <c r="H8" s="65"/>
      <c r="I8" s="65"/>
      <c r="J8" s="65"/>
      <c r="K8" s="65"/>
      <c r="L8" s="65"/>
      <c r="M8" s="70" t="s">
        <v>589</v>
      </c>
      <c r="N8" s="95"/>
    </row>
    <row r="9">
      <c r="A9" s="68" t="s">
        <v>200</v>
      </c>
      <c r="B9" s="67" t="str">
        <f t="shared" si="1"/>
        <v>noisy-dingo</v>
      </c>
      <c r="C9" s="69" t="str">
        <f t="shared" si="2"/>
        <v>Noisy Dingo</v>
      </c>
      <c r="D9" s="69" t="str">
        <f>IFERROR(__xludf.DUMMYFUNCTION("TEXTJOIN("""", TRUE, ARRAYFORMULA(LEFT(SPLIT(C9, "" ""),1)))"),"ND")</f>
        <v>ND</v>
      </c>
      <c r="E9" s="71"/>
      <c r="F9" s="65" t="s">
        <v>577</v>
      </c>
      <c r="G9" s="65"/>
      <c r="H9" s="65"/>
      <c r="I9" s="65"/>
      <c r="J9" s="65"/>
      <c r="K9" s="65"/>
      <c r="L9" s="65"/>
      <c r="M9" s="70" t="s">
        <v>591</v>
      </c>
      <c r="N9" s="95"/>
    </row>
    <row r="10">
      <c r="A10" s="68" t="s">
        <v>212</v>
      </c>
      <c r="B10" s="67" t="str">
        <f t="shared" si="1"/>
        <v>noisy-quokka</v>
      </c>
      <c r="C10" s="69" t="str">
        <f t="shared" si="2"/>
        <v>Noisy Quokka</v>
      </c>
      <c r="D10" s="69" t="str">
        <f>IFERROR(__xludf.DUMMYFUNCTION("TEXTJOIN("""", TRUE, ARRAYFORMULA(LEFT(SPLIT(C10, "" ""),1)))"),"NQ")</f>
        <v>NQ</v>
      </c>
      <c r="E10" s="71"/>
      <c r="F10" s="65" t="s">
        <v>577</v>
      </c>
      <c r="G10" s="65"/>
      <c r="H10" s="65"/>
      <c r="I10" s="65"/>
      <c r="J10" s="65"/>
      <c r="K10" s="65"/>
      <c r="L10" s="65"/>
      <c r="M10" s="70" t="s">
        <v>593</v>
      </c>
      <c r="N10" s="95"/>
    </row>
    <row r="11">
      <c r="A11" s="68" t="s">
        <v>232</v>
      </c>
      <c r="B11" s="67" t="str">
        <f t="shared" si="1"/>
        <v>red-lyrebird</v>
      </c>
      <c r="C11" s="69" t="str">
        <f t="shared" si="2"/>
        <v>Red Lyrebird</v>
      </c>
      <c r="D11" s="69" t="str">
        <f>IFERROR(__xludf.DUMMYFUNCTION("TEXTJOIN("""", TRUE, ARRAYFORMULA(LEFT(SPLIT(C11, "" ""),1)))"),"RL")</f>
        <v>RL</v>
      </c>
      <c r="E11" s="71"/>
      <c r="F11" s="65" t="s">
        <v>577</v>
      </c>
      <c r="G11" s="65"/>
      <c r="H11" s="65"/>
      <c r="I11" s="65"/>
      <c r="J11" s="65"/>
      <c r="K11" s="65"/>
      <c r="L11" s="65"/>
      <c r="M11" s="70" t="s">
        <v>587</v>
      </c>
      <c r="N11" s="95"/>
    </row>
    <row r="12">
      <c r="A12" s="68" t="s">
        <v>245</v>
      </c>
      <c r="B12" s="67" t="str">
        <f t="shared" si="1"/>
        <v>red-possum</v>
      </c>
      <c r="C12" s="69" t="str">
        <f t="shared" si="2"/>
        <v>Red Possum</v>
      </c>
      <c r="D12" s="69" t="str">
        <f>IFERROR(__xludf.DUMMYFUNCTION("TEXTJOIN("""", TRUE, ARRAYFORMULA(LEFT(SPLIT(C12, "" ""),1)))"),"RP")</f>
        <v>RP</v>
      </c>
      <c r="E12" s="71"/>
      <c r="F12" s="65" t="s">
        <v>577</v>
      </c>
      <c r="G12" s="65"/>
      <c r="H12" s="65"/>
      <c r="I12" s="65"/>
      <c r="J12" s="65"/>
      <c r="K12" s="65"/>
      <c r="L12" s="65"/>
      <c r="M12" s="70" t="s">
        <v>596</v>
      </c>
      <c r="N12" s="95"/>
    </row>
    <row r="13">
      <c r="A13" s="68" t="s">
        <v>211</v>
      </c>
      <c r="B13" s="67" t="str">
        <f t="shared" si="1"/>
        <v>silent-rosella</v>
      </c>
      <c r="C13" s="69" t="str">
        <f t="shared" si="2"/>
        <v>Silent Rosella</v>
      </c>
      <c r="D13" s="69" t="str">
        <f>IFERROR(__xludf.DUMMYFUNCTION("TEXTJOIN("""", TRUE, ARRAYFORMULA(LEFT(SPLIT(C13, "" ""),1)))"),"SR")</f>
        <v>SR</v>
      </c>
      <c r="E13" s="71"/>
      <c r="F13" s="65" t="s">
        <v>577</v>
      </c>
      <c r="G13" s="65"/>
      <c r="H13" s="65"/>
      <c r="I13" s="65"/>
      <c r="J13" s="65"/>
      <c r="K13" s="65"/>
      <c r="L13" s="65"/>
      <c r="M13" s="70" t="s">
        <v>591</v>
      </c>
      <c r="N13" s="95"/>
    </row>
    <row r="14">
      <c r="A14" s="68" t="s">
        <v>281</v>
      </c>
      <c r="B14" s="67" t="str">
        <f t="shared" si="1"/>
        <v>spotted-cockatoo</v>
      </c>
      <c r="C14" s="69" t="str">
        <f t="shared" si="2"/>
        <v>Spotted Cockatoo</v>
      </c>
      <c r="D14" s="69" t="str">
        <f>IFERROR(__xludf.DUMMYFUNCTION("TEXTJOIN("""", TRUE, ARRAYFORMULA(LEFT(SPLIT(C14, "" ""),1)))"),"SC")</f>
        <v>SC</v>
      </c>
      <c r="E14" s="71"/>
      <c r="F14" s="65" t="s">
        <v>577</v>
      </c>
      <c r="G14" s="65"/>
      <c r="H14" s="65"/>
      <c r="I14" s="65"/>
      <c r="J14" s="65"/>
      <c r="K14" s="65"/>
      <c r="L14" s="65"/>
      <c r="M14" s="70" t="s">
        <v>599</v>
      </c>
      <c r="N14" s="95"/>
    </row>
    <row r="15">
      <c r="A15" s="68" t="s">
        <v>230</v>
      </c>
      <c r="B15" s="67" t="str">
        <f t="shared" si="1"/>
        <v>spotted-koala</v>
      </c>
      <c r="C15" s="69" t="str">
        <f t="shared" si="2"/>
        <v>Spotted Koala</v>
      </c>
      <c r="D15" s="69" t="str">
        <f>IFERROR(__xludf.DUMMYFUNCTION("TEXTJOIN("""", TRUE, ARRAYFORMULA(LEFT(SPLIT(C15, "" ""),1)))"),"SK")</f>
        <v>SK</v>
      </c>
      <c r="E15" s="71"/>
      <c r="F15" s="65" t="s">
        <v>577</v>
      </c>
      <c r="G15" s="65"/>
      <c r="H15" s="65"/>
      <c r="I15" s="65"/>
      <c r="J15" s="65"/>
      <c r="K15" s="65"/>
      <c r="L15" s="65"/>
      <c r="M15" s="70" t="s">
        <v>601</v>
      </c>
      <c r="N15" s="95"/>
    </row>
    <row r="16">
      <c r="A16" s="68" t="s">
        <v>208</v>
      </c>
      <c r="B16" s="67" t="str">
        <f t="shared" si="1"/>
        <v>striped-frilled-neck-lizard</v>
      </c>
      <c r="C16" s="69" t="str">
        <f t="shared" si="2"/>
        <v>Striped Frilled Neck Lizard</v>
      </c>
      <c r="D16" s="69" t="str">
        <f>IFERROR(__xludf.DUMMYFUNCTION("TEXTJOIN("""", TRUE, ARRAYFORMULA(LEFT(SPLIT(C16, "" ""),1)))"),"SFNL")</f>
        <v>SFNL</v>
      </c>
      <c r="E16" s="71"/>
      <c r="F16" s="65" t="s">
        <v>577</v>
      </c>
      <c r="G16" s="65"/>
      <c r="H16" s="65"/>
      <c r="I16" s="65"/>
      <c r="J16" s="65"/>
      <c r="K16" s="65"/>
      <c r="L16" s="65"/>
      <c r="M16" s="70" t="s">
        <v>591</v>
      </c>
      <c r="N16" s="95"/>
    </row>
    <row r="17">
      <c r="A17" s="68" t="s">
        <v>312</v>
      </c>
      <c r="B17" s="67" t="str">
        <f t="shared" si="1"/>
        <v>striped-koala</v>
      </c>
      <c r="C17" s="69" t="str">
        <f t="shared" si="2"/>
        <v>Striped Koala</v>
      </c>
      <c r="D17" s="69" t="str">
        <f>IFERROR(__xludf.DUMMYFUNCTION("TEXTJOIN("""", TRUE, ARRAYFORMULA(LEFT(SPLIT(C17, "" ""),1)))"),"SK")</f>
        <v>SK</v>
      </c>
      <c r="E17" s="71"/>
      <c r="F17" s="65" t="s">
        <v>577</v>
      </c>
      <c r="G17" s="65"/>
      <c r="H17" s="65"/>
      <c r="I17" s="65"/>
      <c r="J17" s="65"/>
      <c r="K17" s="65"/>
      <c r="L17" s="65"/>
      <c r="M17" s="70" t="s">
        <v>604</v>
      </c>
      <c r="N17" s="95"/>
    </row>
    <row r="18">
      <c r="A18" s="68" t="s">
        <v>283</v>
      </c>
      <c r="B18" s="67" t="str">
        <f t="shared" si="1"/>
        <v>swift-blue-tongue-skink</v>
      </c>
      <c r="C18" s="69" t="str">
        <f t="shared" si="2"/>
        <v>Swift Blue-tongue Skink</v>
      </c>
      <c r="D18" s="69" t="str">
        <f>IFERROR(__xludf.DUMMYFUNCTION("TEXTJOIN("""", TRUE, ARRAYFORMULA(LEFT(SPLIT(C18, "" ""),1)))"),"SBS")</f>
        <v>SBS</v>
      </c>
      <c r="E18" s="71"/>
      <c r="F18" s="65" t="s">
        <v>577</v>
      </c>
      <c r="G18" s="65"/>
      <c r="H18" s="65"/>
      <c r="I18" s="65"/>
      <c r="J18" s="65"/>
      <c r="K18" s="65"/>
      <c r="L18" s="65"/>
      <c r="M18" s="70" t="s">
        <v>606</v>
      </c>
      <c r="N18" s="95"/>
    </row>
    <row r="19">
      <c r="A19" s="68" t="s">
        <v>331</v>
      </c>
      <c r="B19" s="67" t="str">
        <f t="shared" si="1"/>
        <v>tiny-platypus</v>
      </c>
      <c r="C19" s="69" t="str">
        <f t="shared" si="2"/>
        <v>Tiny Platypus</v>
      </c>
      <c r="D19" s="69" t="str">
        <f>IFERROR(__xludf.DUMMYFUNCTION("TEXTJOIN("""", TRUE, ARRAYFORMULA(LEFT(SPLIT(C19, "" ""),1)))"),"TP")</f>
        <v>TP</v>
      </c>
      <c r="E19" s="71"/>
      <c r="F19" s="65" t="s">
        <v>577</v>
      </c>
      <c r="G19" s="65"/>
      <c r="H19" s="65"/>
      <c r="I19" s="65"/>
      <c r="J19" s="65"/>
      <c r="K19" s="65"/>
      <c r="L19" s="65"/>
      <c r="M19" s="70" t="s">
        <v>599</v>
      </c>
      <c r="N19" s="95"/>
    </row>
    <row r="20">
      <c r="A20" s="68" t="s">
        <v>337</v>
      </c>
      <c r="B20" s="67" t="str">
        <f t="shared" si="1"/>
        <v>wild-cassowary</v>
      </c>
      <c r="C20" s="69" t="str">
        <f t="shared" si="2"/>
        <v>Wild Cassowary</v>
      </c>
      <c r="D20" s="69" t="str">
        <f>IFERROR(__xludf.DUMMYFUNCTION("TEXTJOIN("""", TRUE, ARRAYFORMULA(LEFT(SPLIT(C20, "" ""),1)))"),"WC")</f>
        <v>WC</v>
      </c>
      <c r="E20" s="71"/>
      <c r="F20" s="65" t="s">
        <v>577</v>
      </c>
      <c r="G20" s="65"/>
      <c r="H20" s="65"/>
      <c r="I20" s="65"/>
      <c r="J20" s="65"/>
      <c r="K20" s="65"/>
      <c r="L20" s="65"/>
      <c r="M20" s="70" t="s">
        <v>609</v>
      </c>
      <c r="N20" s="95"/>
    </row>
    <row r="21">
      <c r="A21" s="68" t="s">
        <v>351</v>
      </c>
      <c r="B21" s="67" t="str">
        <f t="shared" si="1"/>
        <v>wild-kangaroo</v>
      </c>
      <c r="C21" s="69" t="str">
        <f t="shared" si="2"/>
        <v>Wild Kangaroo</v>
      </c>
      <c r="D21" s="69" t="str">
        <f>IFERROR(__xludf.DUMMYFUNCTION("TEXTJOIN("""", TRUE, ARRAYFORMULA(LEFT(SPLIT(C21, "" ""),1)))"),"WK")</f>
        <v>WK</v>
      </c>
      <c r="E21" s="71"/>
      <c r="F21" s="65" t="s">
        <v>577</v>
      </c>
      <c r="G21" s="65"/>
      <c r="H21" s="65"/>
      <c r="I21" s="65"/>
      <c r="J21" s="65"/>
      <c r="K21" s="65"/>
      <c r="L21" s="65"/>
      <c r="M21" s="70" t="s">
        <v>579</v>
      </c>
      <c r="N21" s="95"/>
    </row>
    <row r="22">
      <c r="A22" s="68" t="s">
        <v>52</v>
      </c>
      <c r="B22" s="67" t="str">
        <f t="shared" si="1"/>
        <v>wild-numbat</v>
      </c>
      <c r="C22" s="69" t="str">
        <f t="shared" si="2"/>
        <v>Wild Numbat</v>
      </c>
      <c r="D22" s="69" t="str">
        <f>IFERROR(__xludf.DUMMYFUNCTION("TEXTJOIN("""", TRUE, ARRAYFORMULA(LEFT(SPLIT(C22, "" ""),1)))"),"WN")</f>
        <v>WN</v>
      </c>
      <c r="E22" s="71"/>
      <c r="F22" s="65" t="s">
        <v>577</v>
      </c>
      <c r="G22" s="65"/>
      <c r="H22" s="65"/>
      <c r="I22" s="65"/>
      <c r="J22" s="65"/>
      <c r="K22" s="65"/>
      <c r="L22" s="65"/>
      <c r="M22" s="70" t="s">
        <v>579</v>
      </c>
      <c r="N22" s="95"/>
    </row>
    <row r="23">
      <c r="A23" s="68" t="s">
        <v>231</v>
      </c>
      <c r="B23" s="67" t="str">
        <f t="shared" si="1"/>
        <v>wild-possum</v>
      </c>
      <c r="C23" s="69" t="str">
        <f t="shared" si="2"/>
        <v>Wild Possum</v>
      </c>
      <c r="D23" s="69" t="str">
        <f>IFERROR(__xludf.DUMMYFUNCTION("TEXTJOIN("""", TRUE, ARRAYFORMULA(LEFT(SPLIT(C23, "" ""),1)))"),"WP")</f>
        <v>WP</v>
      </c>
      <c r="E23" s="71"/>
      <c r="F23" s="65" t="s">
        <v>577</v>
      </c>
      <c r="G23" s="65"/>
      <c r="H23" s="65"/>
      <c r="I23" s="65"/>
      <c r="J23" s="65"/>
      <c r="K23" s="65"/>
      <c r="L23" s="65"/>
      <c r="M23" s="70" t="s">
        <v>613</v>
      </c>
      <c r="N23" s="95"/>
    </row>
    <row r="24">
      <c r="A24" s="68" t="s">
        <v>374</v>
      </c>
      <c r="B24" s="67" t="str">
        <f t="shared" si="1"/>
        <v>wild-tasmanian-devil</v>
      </c>
      <c r="C24" s="69" t="str">
        <f t="shared" si="2"/>
        <v>Wild Tasmanian Devil</v>
      </c>
      <c r="D24" s="69" t="str">
        <f>IFERROR(__xludf.DUMMYFUNCTION("TEXTJOIN("""", TRUE, ARRAYFORMULA(LEFT(SPLIT(C24, "" ""),1)))"),"WTD")</f>
        <v>WTD</v>
      </c>
      <c r="E24" s="71"/>
      <c r="F24" s="65" t="s">
        <v>577</v>
      </c>
      <c r="G24" s="65"/>
      <c r="H24" s="65"/>
      <c r="I24" s="65"/>
      <c r="J24" s="65"/>
      <c r="K24" s="65"/>
      <c r="L24" s="65"/>
      <c r="M24" s="70" t="s">
        <v>599</v>
      </c>
      <c r="N24" s="95"/>
    </row>
    <row r="25">
      <c r="A25" s="96" t="s">
        <v>44</v>
      </c>
      <c r="B25" s="97" t="str">
        <f t="shared" si="1"/>
        <v>yellow-australian-magpie</v>
      </c>
      <c r="C25" s="98" t="str">
        <f t="shared" si="2"/>
        <v>Yellow Australian Magpie</v>
      </c>
      <c r="D25" s="98" t="str">
        <f>IFERROR(__xludf.DUMMYFUNCTION("TEXTJOIN("""", TRUE, ARRAYFORMULA(LEFT(SPLIT(C25, "" ""),1)))"),"YAM")</f>
        <v>YAM</v>
      </c>
      <c r="E25" s="99"/>
      <c r="F25" s="5" t="s">
        <v>577</v>
      </c>
      <c r="G25" s="5"/>
      <c r="H25" s="5"/>
      <c r="I25" s="5"/>
      <c r="J25" s="5"/>
      <c r="K25" s="5"/>
      <c r="L25" s="5"/>
      <c r="M25" s="65" t="s">
        <v>616</v>
      </c>
      <c r="N25" s="95"/>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20.25"/>
    <col customWidth="1" min="2" max="2" width="17.38"/>
    <col customWidth="1" min="3" max="3" width="18.63"/>
    <col customWidth="1" min="4" max="4" width="9.0"/>
    <col customWidth="1" min="5" max="5" width="19.63"/>
    <col customWidth="1" min="6" max="12" width="4.5"/>
    <col customWidth="1" min="13" max="13" width="20.13"/>
  </cols>
  <sheetData>
    <row r="1">
      <c r="A1" s="100" t="s">
        <v>569</v>
      </c>
      <c r="B1" s="100" t="s">
        <v>568</v>
      </c>
      <c r="C1" s="100" t="s">
        <v>570</v>
      </c>
      <c r="D1" s="100" t="s">
        <v>572</v>
      </c>
      <c r="E1" s="100" t="s">
        <v>575</v>
      </c>
      <c r="F1" s="101" t="s">
        <v>850</v>
      </c>
      <c r="G1" s="101" t="s">
        <v>851</v>
      </c>
      <c r="H1" s="101" t="s">
        <v>852</v>
      </c>
      <c r="I1" s="101" t="s">
        <v>853</v>
      </c>
      <c r="J1" s="101" t="s">
        <v>854</v>
      </c>
      <c r="K1" s="101" t="s">
        <v>855</v>
      </c>
      <c r="L1" s="101" t="s">
        <v>856</v>
      </c>
      <c r="M1" s="100" t="s">
        <v>858</v>
      </c>
    </row>
    <row r="2" ht="18.0" customHeight="1">
      <c r="A2" s="102" t="str">
        <f>'analysis _non-RE-nodes'!A4</f>
        <v>Blue Bandicoot</v>
      </c>
      <c r="B2" s="78" t="str">
        <f t="shared" ref="B2:B219" si="1">Substitute(SUBSTITUTE(substitute(substitute(substitute(substitute(substitute(substitute(substitute(lower(A2)," ","-"),"(",""),")",""),"&gt;",""),"&lt;",""),"---","-"),".","-"),"--","-"),"&amp;","-and-")</f>
        <v>blue-bandicoot</v>
      </c>
      <c r="C2" s="103" t="str">
        <f>'analysis _non-RE-nodes'!A4</f>
        <v>Blue Bandicoot</v>
      </c>
      <c r="D2" s="103" t="str">
        <f>IFERROR(__xludf.DUMMYFUNCTION("TEXTJOIN("""", TRUE, ARRAYFORMULA(LEFT(SPLIT(C2, "" ""),1)))"),"BB")</f>
        <v>BB</v>
      </c>
      <c r="E2" s="104"/>
      <c r="F2" s="104" t="s">
        <v>618</v>
      </c>
      <c r="G2" s="105"/>
      <c r="H2" s="105"/>
      <c r="I2" s="105"/>
      <c r="J2" s="105"/>
      <c r="K2" s="105"/>
      <c r="L2" s="105"/>
      <c r="M2" s="106"/>
    </row>
    <row r="3" ht="18.0" customHeight="1">
      <c r="A3" s="107" t="str">
        <f>'analysis _non-RE-nodes'!A5</f>
        <v>Blue Bush Stone-curlew</v>
      </c>
      <c r="B3" s="80" t="str">
        <f t="shared" si="1"/>
        <v>blue-bush-stone-curlew</v>
      </c>
      <c r="C3" s="108" t="str">
        <f t="shared" ref="C3:C219" si="2">A3</f>
        <v>Blue Bush Stone-curlew</v>
      </c>
      <c r="D3" s="108" t="str">
        <f>IFERROR(__xludf.DUMMYFUNCTION("TEXTJOIN("""", TRUE, ARRAYFORMULA(LEFT(SPLIT(C3, "" ""),1)))"),"BBS")</f>
        <v>BBS</v>
      </c>
      <c r="E3" s="104"/>
      <c r="F3" s="104" t="s">
        <v>618</v>
      </c>
      <c r="G3" s="105"/>
      <c r="H3" s="105"/>
      <c r="I3" s="105"/>
      <c r="J3" s="105"/>
      <c r="K3" s="105"/>
      <c r="L3" s="105"/>
      <c r="M3" s="109"/>
    </row>
    <row r="4" ht="18.0" customHeight="1">
      <c r="A4" s="107" t="str">
        <f>'analysis _non-RE-nodes'!A6</f>
        <v>Blue Dingo</v>
      </c>
      <c r="B4" s="80" t="str">
        <f t="shared" si="1"/>
        <v>blue-dingo</v>
      </c>
      <c r="C4" s="108" t="str">
        <f t="shared" si="2"/>
        <v>Blue Dingo</v>
      </c>
      <c r="D4" s="108" t="str">
        <f>IFERROR(__xludf.DUMMYFUNCTION("TEXTJOIN("""", TRUE, ARRAYFORMULA(LEFT(SPLIT(C4, "" ""),1)))"),"BD")</f>
        <v>BD</v>
      </c>
      <c r="E4" s="104"/>
      <c r="F4" s="104" t="s">
        <v>618</v>
      </c>
      <c r="G4" s="105"/>
      <c r="H4" s="105"/>
      <c r="I4" s="105"/>
      <c r="J4" s="105"/>
      <c r="K4" s="105"/>
      <c r="L4" s="105"/>
      <c r="M4" s="109"/>
    </row>
    <row r="5" ht="18.0" customHeight="1">
      <c r="A5" s="107" t="str">
        <f>'analysis _non-RE-nodes'!A7</f>
        <v>Blue Echidna</v>
      </c>
      <c r="B5" s="80" t="str">
        <f t="shared" si="1"/>
        <v>blue-echidna</v>
      </c>
      <c r="C5" s="108" t="str">
        <f t="shared" si="2"/>
        <v>Blue Echidna</v>
      </c>
      <c r="D5" s="108" t="str">
        <f>IFERROR(__xludf.DUMMYFUNCTION("TEXTJOIN("""", TRUE, ARRAYFORMULA(LEFT(SPLIT(C5, "" ""),1)))"),"BE")</f>
        <v>BE</v>
      </c>
      <c r="E5" s="104"/>
      <c r="F5" s="104" t="s">
        <v>618</v>
      </c>
      <c r="G5" s="105"/>
      <c r="H5" s="105"/>
      <c r="I5" s="105"/>
      <c r="J5" s="105"/>
      <c r="K5" s="105"/>
      <c r="L5" s="105"/>
      <c r="M5" s="109"/>
    </row>
    <row r="6" ht="18.0" customHeight="1">
      <c r="A6" s="107" t="str">
        <f>'analysis _non-RE-nodes'!A8</f>
        <v>Blue Fairy Penguin</v>
      </c>
      <c r="B6" s="80" t="str">
        <f t="shared" si="1"/>
        <v>blue-fairy-penguin</v>
      </c>
      <c r="C6" s="108" t="str">
        <f t="shared" si="2"/>
        <v>Blue Fairy Penguin</v>
      </c>
      <c r="D6" s="108" t="str">
        <f>IFERROR(__xludf.DUMMYFUNCTION("TEXTJOIN("""", TRUE, ARRAYFORMULA(LEFT(SPLIT(C6, "" ""),1)))"),"BFP")</f>
        <v>BFP</v>
      </c>
      <c r="E6" s="104"/>
      <c r="F6" s="104" t="s">
        <v>618</v>
      </c>
      <c r="G6" s="105"/>
      <c r="H6" s="105"/>
      <c r="I6" s="105"/>
      <c r="J6" s="105"/>
      <c r="K6" s="105"/>
      <c r="L6" s="105"/>
      <c r="M6" s="109"/>
    </row>
    <row r="7" ht="18.0" customHeight="1">
      <c r="A7" s="107" t="str">
        <f>'analysis _non-RE-nodes'!A9</f>
        <v>Blue Frilled Neck Lizard</v>
      </c>
      <c r="B7" s="80" t="str">
        <f t="shared" si="1"/>
        <v>blue-frilled-neck-lizard</v>
      </c>
      <c r="C7" s="108" t="str">
        <f t="shared" si="2"/>
        <v>Blue Frilled Neck Lizard</v>
      </c>
      <c r="D7" s="108" t="str">
        <f>IFERROR(__xludf.DUMMYFUNCTION("TEXTJOIN("""", TRUE, ARRAYFORMULA(LEFT(SPLIT(C7, "" ""),1)))"),"BFNL")</f>
        <v>BFNL</v>
      </c>
      <c r="E7" s="104"/>
      <c r="F7" s="104" t="s">
        <v>618</v>
      </c>
      <c r="G7" s="105"/>
      <c r="H7" s="105"/>
      <c r="I7" s="105"/>
      <c r="J7" s="105"/>
      <c r="K7" s="105"/>
      <c r="L7" s="105"/>
      <c r="M7" s="109"/>
    </row>
    <row r="8" ht="18.0" customHeight="1">
      <c r="A8" s="107" t="str">
        <f>'analysis _non-RE-nodes'!A10</f>
        <v>Blue Goanna</v>
      </c>
      <c r="B8" s="80" t="str">
        <f t="shared" si="1"/>
        <v>blue-goanna</v>
      </c>
      <c r="C8" s="108" t="str">
        <f t="shared" si="2"/>
        <v>Blue Goanna</v>
      </c>
      <c r="D8" s="108" t="str">
        <f>IFERROR(__xludf.DUMMYFUNCTION("TEXTJOIN("""", TRUE, ARRAYFORMULA(LEFT(SPLIT(C8, "" ""),1)))"),"BG")</f>
        <v>BG</v>
      </c>
      <c r="E8" s="104"/>
      <c r="F8" s="104" t="s">
        <v>618</v>
      </c>
      <c r="G8" s="105"/>
      <c r="H8" s="105"/>
      <c r="I8" s="105"/>
      <c r="J8" s="105"/>
      <c r="K8" s="105"/>
      <c r="L8" s="105"/>
      <c r="M8" s="109"/>
    </row>
    <row r="9" ht="18.0" customHeight="1">
      <c r="A9" s="107" t="str">
        <f>'analysis _non-RE-nodes'!A11</f>
        <v>Blue Koala</v>
      </c>
      <c r="B9" s="80" t="str">
        <f t="shared" si="1"/>
        <v>blue-koala</v>
      </c>
      <c r="C9" s="108" t="str">
        <f t="shared" si="2"/>
        <v>Blue Koala</v>
      </c>
      <c r="D9" s="108" t="str">
        <f>IFERROR(__xludf.DUMMYFUNCTION("TEXTJOIN("""", TRUE, ARRAYFORMULA(LEFT(SPLIT(C9, "" ""),1)))"),"BK")</f>
        <v>BK</v>
      </c>
      <c r="E9" s="104"/>
      <c r="F9" s="104" t="s">
        <v>618</v>
      </c>
      <c r="G9" s="105"/>
      <c r="H9" s="105"/>
      <c r="I9" s="105"/>
      <c r="J9" s="105"/>
      <c r="K9" s="105"/>
      <c r="L9" s="105"/>
      <c r="M9" s="109"/>
    </row>
    <row r="10" ht="18.0" customHeight="1">
      <c r="A10" s="107" t="str">
        <f>'analysis _non-RE-nodes'!A12</f>
        <v>Blue Numbat</v>
      </c>
      <c r="B10" s="80" t="str">
        <f t="shared" si="1"/>
        <v>blue-numbat</v>
      </c>
      <c r="C10" s="108" t="str">
        <f t="shared" si="2"/>
        <v>Blue Numbat</v>
      </c>
      <c r="D10" s="108" t="str">
        <f>IFERROR(__xludf.DUMMYFUNCTION("TEXTJOIN("""", TRUE, ARRAYFORMULA(LEFT(SPLIT(C10, "" ""),1)))"),"BN")</f>
        <v>BN</v>
      </c>
      <c r="E10" s="104"/>
      <c r="F10" s="104" t="s">
        <v>618</v>
      </c>
      <c r="G10" s="105"/>
      <c r="H10" s="105"/>
      <c r="I10" s="105"/>
      <c r="J10" s="105"/>
      <c r="K10" s="105"/>
      <c r="L10" s="105"/>
      <c r="M10" s="109"/>
    </row>
    <row r="11" ht="18.0" customHeight="1">
      <c r="A11" s="107" t="str">
        <f>'analysis _non-RE-nodes'!A13</f>
        <v>Blue Perentie</v>
      </c>
      <c r="B11" s="80" t="str">
        <f t="shared" si="1"/>
        <v>blue-perentie</v>
      </c>
      <c r="C11" s="108" t="str">
        <f t="shared" si="2"/>
        <v>Blue Perentie</v>
      </c>
      <c r="D11" s="108" t="str">
        <f>IFERROR(__xludf.DUMMYFUNCTION("TEXTJOIN("""", TRUE, ARRAYFORMULA(LEFT(SPLIT(C11, "" ""),1)))"),"BP")</f>
        <v>BP</v>
      </c>
      <c r="E11" s="104"/>
      <c r="F11" s="104" t="s">
        <v>618</v>
      </c>
      <c r="G11" s="105"/>
      <c r="H11" s="105"/>
      <c r="I11" s="105"/>
      <c r="J11" s="105"/>
      <c r="K11" s="105"/>
      <c r="L11" s="105"/>
      <c r="M11" s="109"/>
    </row>
    <row r="12" ht="18.0" customHeight="1">
      <c r="A12" s="107" t="str">
        <f>'analysis _non-RE-nodes'!A14</f>
        <v>Blue Sugar Glider</v>
      </c>
      <c r="B12" s="80" t="str">
        <f t="shared" si="1"/>
        <v>blue-sugar-glider</v>
      </c>
      <c r="C12" s="108" t="str">
        <f t="shared" si="2"/>
        <v>Blue Sugar Glider</v>
      </c>
      <c r="D12" s="108" t="str">
        <f>IFERROR(__xludf.DUMMYFUNCTION("TEXTJOIN("""", TRUE, ARRAYFORMULA(LEFT(SPLIT(C12, "" ""),1)))"),"BSG")</f>
        <v>BSG</v>
      </c>
      <c r="E12" s="104"/>
      <c r="F12" s="104" t="s">
        <v>618</v>
      </c>
      <c r="G12" s="105"/>
      <c r="H12" s="105"/>
      <c r="I12" s="105"/>
      <c r="J12" s="105"/>
      <c r="K12" s="105"/>
      <c r="L12" s="105"/>
      <c r="M12" s="109"/>
    </row>
    <row r="13" ht="18.0" customHeight="1">
      <c r="A13" s="107" t="str">
        <f>'analysis _non-RE-nodes'!A15</f>
        <v>Blue Tasmanian Devil</v>
      </c>
      <c r="B13" s="80" t="str">
        <f t="shared" si="1"/>
        <v>blue-tasmanian-devil</v>
      </c>
      <c r="C13" s="108" t="str">
        <f t="shared" si="2"/>
        <v>Blue Tasmanian Devil</v>
      </c>
      <c r="D13" s="108" t="str">
        <f>IFERROR(__xludf.DUMMYFUNCTION("TEXTJOIN("""", TRUE, ARRAYFORMULA(LEFT(SPLIT(C13, "" ""),1)))"),"BTD")</f>
        <v>BTD</v>
      </c>
      <c r="E13" s="104"/>
      <c r="F13" s="104" t="s">
        <v>618</v>
      </c>
      <c r="G13" s="105"/>
      <c r="H13" s="105"/>
      <c r="I13" s="105"/>
      <c r="J13" s="105"/>
      <c r="K13" s="105"/>
      <c r="L13" s="105"/>
      <c r="M13" s="109"/>
    </row>
    <row r="14" ht="18.0" customHeight="1">
      <c r="A14" s="107" t="str">
        <f>'analysis _non-RE-nodes'!A16</f>
        <v>Blue Thorny Devil</v>
      </c>
      <c r="B14" s="80" t="str">
        <f t="shared" si="1"/>
        <v>blue-thorny-devil</v>
      </c>
      <c r="C14" s="108" t="str">
        <f t="shared" si="2"/>
        <v>Blue Thorny Devil</v>
      </c>
      <c r="D14" s="108" t="str">
        <f>IFERROR(__xludf.DUMMYFUNCTION("TEXTJOIN("""", TRUE, ARRAYFORMULA(LEFT(SPLIT(C14, "" ""),1)))"),"BTD")</f>
        <v>BTD</v>
      </c>
      <c r="E14" s="104"/>
      <c r="F14" s="104" t="s">
        <v>618</v>
      </c>
      <c r="G14" s="105"/>
      <c r="H14" s="105"/>
      <c r="I14" s="105"/>
      <c r="J14" s="105"/>
      <c r="K14" s="105"/>
      <c r="L14" s="105"/>
      <c r="M14" s="109"/>
    </row>
    <row r="15" ht="18.0" customHeight="1">
      <c r="A15" s="107" t="str">
        <f>'analysis _non-RE-nodes'!A17</f>
        <v>Blue Wallaby</v>
      </c>
      <c r="B15" s="80" t="str">
        <f t="shared" si="1"/>
        <v>blue-wallaby</v>
      </c>
      <c r="C15" s="108" t="str">
        <f t="shared" si="2"/>
        <v>Blue Wallaby</v>
      </c>
      <c r="D15" s="108" t="str">
        <f>IFERROR(__xludf.DUMMYFUNCTION("TEXTJOIN("""", TRUE, ARRAYFORMULA(LEFT(SPLIT(C15, "" ""),1)))"),"BW")</f>
        <v>BW</v>
      </c>
      <c r="E15" s="104"/>
      <c r="F15" s="104" t="s">
        <v>618</v>
      </c>
      <c r="G15" s="105"/>
      <c r="H15" s="105"/>
      <c r="I15" s="105"/>
      <c r="J15" s="105"/>
      <c r="K15" s="105"/>
      <c r="L15" s="105"/>
      <c r="M15" s="109"/>
    </row>
    <row r="16" ht="18.0" customHeight="1">
      <c r="A16" s="107" t="str">
        <f>'analysis _non-RE-nodes'!A18</f>
        <v>Brave Bandicoot</v>
      </c>
      <c r="B16" s="80" t="str">
        <f t="shared" si="1"/>
        <v>brave-bandicoot</v>
      </c>
      <c r="C16" s="108" t="str">
        <f t="shared" si="2"/>
        <v>Brave Bandicoot</v>
      </c>
      <c r="D16" s="108" t="str">
        <f>IFERROR(__xludf.DUMMYFUNCTION("TEXTJOIN("""", TRUE, ARRAYFORMULA(LEFT(SPLIT(C16, "" ""),1)))"),"BB")</f>
        <v>BB</v>
      </c>
      <c r="E16" s="104"/>
      <c r="F16" s="104" t="s">
        <v>618</v>
      </c>
      <c r="G16" s="105"/>
      <c r="H16" s="105"/>
      <c r="I16" s="105"/>
      <c r="J16" s="105"/>
      <c r="K16" s="105"/>
      <c r="L16" s="105"/>
      <c r="M16" s="109"/>
    </row>
    <row r="17" ht="18.0" customHeight="1">
      <c r="A17" s="107" t="str">
        <f>'analysis _non-RE-nodes'!A19</f>
        <v>Brave Bilby</v>
      </c>
      <c r="B17" s="80" t="str">
        <f t="shared" si="1"/>
        <v>brave-bilby</v>
      </c>
      <c r="C17" s="108" t="str">
        <f t="shared" si="2"/>
        <v>Brave Bilby</v>
      </c>
      <c r="D17" s="108" t="str">
        <f>IFERROR(__xludf.DUMMYFUNCTION("TEXTJOIN("""", TRUE, ARRAYFORMULA(LEFT(SPLIT(C17, "" ""),1)))"),"BB")</f>
        <v>BB</v>
      </c>
      <c r="E17" s="104"/>
      <c r="F17" s="104" t="s">
        <v>618</v>
      </c>
      <c r="G17" s="105"/>
      <c r="H17" s="105"/>
      <c r="I17" s="105"/>
      <c r="J17" s="105"/>
      <c r="K17" s="105"/>
      <c r="L17" s="105"/>
      <c r="M17" s="109"/>
    </row>
    <row r="18" ht="18.0" customHeight="1">
      <c r="A18" s="107" t="str">
        <f>'analysis _non-RE-nodes'!A20</f>
        <v>Brave Bush Stone-curlew</v>
      </c>
      <c r="B18" s="80" t="str">
        <f t="shared" si="1"/>
        <v>brave-bush-stone-curlew</v>
      </c>
      <c r="C18" s="108" t="str">
        <f t="shared" si="2"/>
        <v>Brave Bush Stone-curlew</v>
      </c>
      <c r="D18" s="108" t="str">
        <f>IFERROR(__xludf.DUMMYFUNCTION("TEXTJOIN("""", TRUE, ARRAYFORMULA(LEFT(SPLIT(C18, "" ""),1)))"),"BBS")</f>
        <v>BBS</v>
      </c>
      <c r="E18" s="104"/>
      <c r="F18" s="104" t="s">
        <v>618</v>
      </c>
      <c r="G18" s="105"/>
      <c r="H18" s="105"/>
      <c r="I18" s="105"/>
      <c r="J18" s="105"/>
      <c r="K18" s="105"/>
      <c r="L18" s="105"/>
      <c r="M18" s="109"/>
    </row>
    <row r="19" ht="18.0" customHeight="1">
      <c r="A19" s="107" t="str">
        <f>'analysis _non-RE-nodes'!A21</f>
        <v>Brave Cockatoo</v>
      </c>
      <c r="B19" s="80" t="str">
        <f t="shared" si="1"/>
        <v>brave-cockatoo</v>
      </c>
      <c r="C19" s="108" t="str">
        <f t="shared" si="2"/>
        <v>Brave Cockatoo</v>
      </c>
      <c r="D19" s="108" t="str">
        <f>IFERROR(__xludf.DUMMYFUNCTION("TEXTJOIN("""", TRUE, ARRAYFORMULA(LEFT(SPLIT(C19, "" ""),1)))"),"BC")</f>
        <v>BC</v>
      </c>
      <c r="E19" s="104"/>
      <c r="F19" s="104" t="s">
        <v>618</v>
      </c>
      <c r="G19" s="105"/>
      <c r="H19" s="105"/>
      <c r="I19" s="105"/>
      <c r="J19" s="105"/>
      <c r="K19" s="105"/>
      <c r="L19" s="105"/>
      <c r="M19" s="109"/>
    </row>
    <row r="20" ht="18.0" customHeight="1">
      <c r="A20" s="107" t="str">
        <f>'analysis _non-RE-nodes'!A22</f>
        <v>Brave Kookaburra</v>
      </c>
      <c r="B20" s="80" t="str">
        <f t="shared" si="1"/>
        <v>brave-kookaburra</v>
      </c>
      <c r="C20" s="108" t="str">
        <f t="shared" si="2"/>
        <v>Brave Kookaburra</v>
      </c>
      <c r="D20" s="108" t="str">
        <f>IFERROR(__xludf.DUMMYFUNCTION("TEXTJOIN("""", TRUE, ARRAYFORMULA(LEFT(SPLIT(C20, "" ""),1)))"),"BK")</f>
        <v>BK</v>
      </c>
      <c r="E20" s="104"/>
      <c r="F20" s="104" t="s">
        <v>618</v>
      </c>
      <c r="G20" s="105"/>
      <c r="H20" s="105"/>
      <c r="I20" s="105"/>
      <c r="J20" s="105"/>
      <c r="K20" s="105"/>
      <c r="L20" s="105"/>
      <c r="M20" s="109"/>
    </row>
    <row r="21" ht="18.0" customHeight="1">
      <c r="A21" s="107" t="str">
        <f>'analysis _non-RE-nodes'!A23</f>
        <v>Brave Perentie</v>
      </c>
      <c r="B21" s="80" t="str">
        <f t="shared" si="1"/>
        <v>brave-perentie</v>
      </c>
      <c r="C21" s="108" t="str">
        <f t="shared" si="2"/>
        <v>Brave Perentie</v>
      </c>
      <c r="D21" s="108" t="str">
        <f>IFERROR(__xludf.DUMMYFUNCTION("TEXTJOIN("""", TRUE, ARRAYFORMULA(LEFT(SPLIT(C21, "" ""),1)))"),"BP")</f>
        <v>BP</v>
      </c>
      <c r="E21" s="104"/>
      <c r="F21" s="104" t="s">
        <v>618</v>
      </c>
      <c r="G21" s="105"/>
      <c r="H21" s="105"/>
      <c r="I21" s="105"/>
      <c r="J21" s="105"/>
      <c r="K21" s="105"/>
      <c r="L21" s="105"/>
      <c r="M21" s="109"/>
    </row>
    <row r="22" ht="18.0" customHeight="1">
      <c r="A22" s="107" t="str">
        <f>'analysis _non-RE-nodes'!A24</f>
        <v>Brave Platypus</v>
      </c>
      <c r="B22" s="80" t="str">
        <f t="shared" si="1"/>
        <v>brave-platypus</v>
      </c>
      <c r="C22" s="108" t="str">
        <f t="shared" si="2"/>
        <v>Brave Platypus</v>
      </c>
      <c r="D22" s="108" t="str">
        <f>IFERROR(__xludf.DUMMYFUNCTION("TEXTJOIN("""", TRUE, ARRAYFORMULA(LEFT(SPLIT(C22, "" ""),1)))"),"BP")</f>
        <v>BP</v>
      </c>
      <c r="E22" s="104"/>
      <c r="F22" s="104" t="s">
        <v>618</v>
      </c>
      <c r="G22" s="105"/>
      <c r="H22" s="105"/>
      <c r="I22" s="105"/>
      <c r="J22" s="105"/>
      <c r="K22" s="105"/>
      <c r="L22" s="105"/>
      <c r="M22" s="109"/>
    </row>
    <row r="23" ht="18.0" customHeight="1">
      <c r="A23" s="107" t="str">
        <f>'analysis _non-RE-nodes'!A25</f>
        <v>Brave Quokka</v>
      </c>
      <c r="B23" s="80" t="str">
        <f t="shared" si="1"/>
        <v>brave-quokka</v>
      </c>
      <c r="C23" s="108" t="str">
        <f t="shared" si="2"/>
        <v>Brave Quokka</v>
      </c>
      <c r="D23" s="108" t="str">
        <f>IFERROR(__xludf.DUMMYFUNCTION("TEXTJOIN("""", TRUE, ARRAYFORMULA(LEFT(SPLIT(C23, "" ""),1)))"),"BQ")</f>
        <v>BQ</v>
      </c>
      <c r="E23" s="104"/>
      <c r="F23" s="104" t="s">
        <v>618</v>
      </c>
      <c r="G23" s="105"/>
      <c r="H23" s="105"/>
      <c r="I23" s="105"/>
      <c r="J23" s="105"/>
      <c r="K23" s="105"/>
      <c r="L23" s="105"/>
      <c r="M23" s="109"/>
    </row>
    <row r="24" ht="18.0" customHeight="1">
      <c r="A24" s="107" t="str">
        <f>'analysis _non-RE-nodes'!A26</f>
        <v>Brave Sugar Glider</v>
      </c>
      <c r="B24" s="80" t="str">
        <f t="shared" si="1"/>
        <v>brave-sugar-glider</v>
      </c>
      <c r="C24" s="108" t="str">
        <f t="shared" si="2"/>
        <v>Brave Sugar Glider</v>
      </c>
      <c r="D24" s="108" t="str">
        <f>IFERROR(__xludf.DUMMYFUNCTION("TEXTJOIN("""", TRUE, ARRAYFORMULA(LEFT(SPLIT(C24, "" ""),1)))"),"BSG")</f>
        <v>BSG</v>
      </c>
      <c r="E24" s="104"/>
      <c r="F24" s="104" t="s">
        <v>618</v>
      </c>
      <c r="G24" s="105"/>
      <c r="H24" s="105"/>
      <c r="I24" s="105"/>
      <c r="J24" s="105"/>
      <c r="K24" s="105"/>
      <c r="L24" s="105"/>
      <c r="M24" s="109"/>
    </row>
    <row r="25" ht="18.0" customHeight="1">
      <c r="A25" s="107" t="str">
        <f>'analysis _non-RE-nodes'!A27</f>
        <v>Brave Tasmanian Devil</v>
      </c>
      <c r="B25" s="80" t="str">
        <f t="shared" si="1"/>
        <v>brave-tasmanian-devil</v>
      </c>
      <c r="C25" s="108" t="str">
        <f t="shared" si="2"/>
        <v>Brave Tasmanian Devil</v>
      </c>
      <c r="D25" s="108" t="str">
        <f>IFERROR(__xludf.DUMMYFUNCTION("TEXTJOIN("""", TRUE, ARRAYFORMULA(LEFT(SPLIT(C25, "" ""),1)))"),"BTD")</f>
        <v>BTD</v>
      </c>
      <c r="E25" s="104"/>
      <c r="F25" s="104" t="s">
        <v>618</v>
      </c>
      <c r="G25" s="105"/>
      <c r="H25" s="105"/>
      <c r="I25" s="105"/>
      <c r="J25" s="105"/>
      <c r="K25" s="105"/>
      <c r="L25" s="105"/>
      <c r="M25" s="109"/>
    </row>
    <row r="26" ht="18.0" customHeight="1">
      <c r="A26" s="107" t="str">
        <f>'analysis _non-RE-nodes'!A28</f>
        <v>Clever Blue-tongue Skink</v>
      </c>
      <c r="B26" s="80" t="str">
        <f t="shared" si="1"/>
        <v>clever-blue-tongue-skink</v>
      </c>
      <c r="C26" s="108" t="str">
        <f t="shared" si="2"/>
        <v>Clever Blue-tongue Skink</v>
      </c>
      <c r="D26" s="108" t="str">
        <f>IFERROR(__xludf.DUMMYFUNCTION("TEXTJOIN("""", TRUE, ARRAYFORMULA(LEFT(SPLIT(C26, "" ""),1)))"),"CBS")</f>
        <v>CBS</v>
      </c>
      <c r="E26" s="104"/>
      <c r="F26" s="104" t="s">
        <v>618</v>
      </c>
      <c r="G26" s="110"/>
      <c r="H26" s="110"/>
      <c r="I26" s="110"/>
      <c r="J26" s="110"/>
      <c r="K26" s="110"/>
      <c r="L26" s="110"/>
      <c r="M26" s="111"/>
    </row>
    <row r="27" ht="18.0" customHeight="1">
      <c r="A27" s="107" t="str">
        <f>'analysis _non-RE-nodes'!A29</f>
        <v>Clever Bush Stone-curlew</v>
      </c>
      <c r="B27" s="80" t="str">
        <f t="shared" si="1"/>
        <v>clever-bush-stone-curlew</v>
      </c>
      <c r="C27" s="108" t="str">
        <f t="shared" si="2"/>
        <v>Clever Bush Stone-curlew</v>
      </c>
      <c r="D27" s="108" t="str">
        <f>IFERROR(__xludf.DUMMYFUNCTION("TEXTJOIN("""", TRUE, ARRAYFORMULA(LEFT(SPLIT(C27, "" ""),1)))"),"CBS")</f>
        <v>CBS</v>
      </c>
      <c r="E27" s="104"/>
      <c r="F27" s="104" t="s">
        <v>618</v>
      </c>
      <c r="G27" s="110"/>
      <c r="H27" s="110"/>
      <c r="I27" s="110"/>
      <c r="J27" s="110"/>
      <c r="K27" s="110"/>
      <c r="L27" s="110"/>
      <c r="M27" s="111"/>
    </row>
    <row r="28" ht="18.0" customHeight="1">
      <c r="A28" s="107" t="str">
        <f>'analysis _non-RE-nodes'!A30</f>
        <v>Clever Emu</v>
      </c>
      <c r="B28" s="80" t="str">
        <f t="shared" si="1"/>
        <v>clever-emu</v>
      </c>
      <c r="C28" s="108" t="str">
        <f t="shared" si="2"/>
        <v>Clever Emu</v>
      </c>
      <c r="D28" s="108" t="str">
        <f>IFERROR(__xludf.DUMMYFUNCTION("TEXTJOIN("""", TRUE, ARRAYFORMULA(LEFT(SPLIT(C28, "" ""),1)))"),"CE")</f>
        <v>CE</v>
      </c>
      <c r="E28" s="104"/>
      <c r="F28" s="104" t="s">
        <v>618</v>
      </c>
      <c r="G28" s="110"/>
      <c r="H28" s="110"/>
      <c r="I28" s="110"/>
      <c r="J28" s="110"/>
      <c r="K28" s="110"/>
      <c r="L28" s="110"/>
      <c r="M28" s="111"/>
    </row>
    <row r="29" ht="18.0" customHeight="1">
      <c r="A29" s="107" t="str">
        <f>'analysis _non-RE-nodes'!A31</f>
        <v>Clever Goanna</v>
      </c>
      <c r="B29" s="80" t="str">
        <f t="shared" si="1"/>
        <v>clever-goanna</v>
      </c>
      <c r="C29" s="108" t="str">
        <f t="shared" si="2"/>
        <v>Clever Goanna</v>
      </c>
      <c r="D29" s="108" t="str">
        <f>IFERROR(__xludf.DUMMYFUNCTION("TEXTJOIN("""", TRUE, ARRAYFORMULA(LEFT(SPLIT(C29, "" ""),1)))"),"CG")</f>
        <v>CG</v>
      </c>
      <c r="E29" s="104"/>
      <c r="F29" s="104" t="s">
        <v>618</v>
      </c>
      <c r="G29" s="110"/>
      <c r="H29" s="110"/>
      <c r="I29" s="110"/>
      <c r="J29" s="110"/>
      <c r="K29" s="110"/>
      <c r="L29" s="110"/>
      <c r="M29" s="111"/>
    </row>
    <row r="30" ht="18.0" customHeight="1">
      <c r="A30" s="107" t="str">
        <f>'analysis _non-RE-nodes'!A32</f>
        <v>Clever Kangaroo</v>
      </c>
      <c r="B30" s="80" t="str">
        <f t="shared" si="1"/>
        <v>clever-kangaroo</v>
      </c>
      <c r="C30" s="108" t="str">
        <f t="shared" si="2"/>
        <v>Clever Kangaroo</v>
      </c>
      <c r="D30" s="108" t="str">
        <f>IFERROR(__xludf.DUMMYFUNCTION("TEXTJOIN("""", TRUE, ARRAYFORMULA(LEFT(SPLIT(C30, "" ""),1)))"),"CK")</f>
        <v>CK</v>
      </c>
      <c r="E30" s="104"/>
      <c r="F30" s="104" t="s">
        <v>618</v>
      </c>
      <c r="G30" s="110"/>
      <c r="H30" s="110"/>
      <c r="I30" s="110"/>
      <c r="J30" s="110"/>
      <c r="K30" s="110"/>
      <c r="L30" s="110"/>
      <c r="M30" s="111"/>
    </row>
    <row r="31" ht="18.0" customHeight="1">
      <c r="A31" s="107" t="str">
        <f>'analysis _non-RE-nodes'!A33</f>
        <v>Clever Koala</v>
      </c>
      <c r="B31" s="80" t="str">
        <f t="shared" si="1"/>
        <v>clever-koala</v>
      </c>
      <c r="C31" s="108" t="str">
        <f t="shared" si="2"/>
        <v>Clever Koala</v>
      </c>
      <c r="D31" s="108" t="str">
        <f>IFERROR(__xludf.DUMMYFUNCTION("TEXTJOIN("""", TRUE, ARRAYFORMULA(LEFT(SPLIT(C31, "" ""),1)))"),"CK")</f>
        <v>CK</v>
      </c>
      <c r="E31" s="104"/>
      <c r="F31" s="104" t="s">
        <v>618</v>
      </c>
      <c r="G31" s="110"/>
      <c r="H31" s="110"/>
      <c r="I31" s="110"/>
      <c r="J31" s="110"/>
      <c r="K31" s="110"/>
      <c r="L31" s="110"/>
      <c r="M31" s="111"/>
    </row>
    <row r="32" ht="18.0" customHeight="1">
      <c r="A32" s="107" t="str">
        <f>'analysis _non-RE-nodes'!A34</f>
        <v>Clever Perentie</v>
      </c>
      <c r="B32" s="80" t="str">
        <f t="shared" si="1"/>
        <v>clever-perentie</v>
      </c>
      <c r="C32" s="108" t="str">
        <f t="shared" si="2"/>
        <v>Clever Perentie</v>
      </c>
      <c r="D32" s="108" t="str">
        <f>IFERROR(__xludf.DUMMYFUNCTION("TEXTJOIN("""", TRUE, ARRAYFORMULA(LEFT(SPLIT(C32, "" ""),1)))"),"CP")</f>
        <v>CP</v>
      </c>
      <c r="E32" s="104"/>
      <c r="F32" s="104" t="s">
        <v>618</v>
      </c>
      <c r="G32" s="110"/>
      <c r="H32" s="110"/>
      <c r="I32" s="110"/>
      <c r="J32" s="110"/>
      <c r="K32" s="110"/>
      <c r="L32" s="110"/>
      <c r="M32" s="111"/>
    </row>
    <row r="33" ht="18.0" customHeight="1">
      <c r="A33" s="107" t="str">
        <f>'analysis _non-RE-nodes'!A35</f>
        <v>Clever Quokka</v>
      </c>
      <c r="B33" s="80" t="str">
        <f t="shared" si="1"/>
        <v>clever-quokka</v>
      </c>
      <c r="C33" s="108" t="str">
        <f t="shared" si="2"/>
        <v>Clever Quokka</v>
      </c>
      <c r="D33" s="108" t="str">
        <f>IFERROR(__xludf.DUMMYFUNCTION("TEXTJOIN("""", TRUE, ARRAYFORMULA(LEFT(SPLIT(C33, "" ""),1)))"),"CQ")</f>
        <v>CQ</v>
      </c>
      <c r="E33" s="104"/>
      <c r="F33" s="104" t="s">
        <v>618</v>
      </c>
      <c r="G33" s="110"/>
      <c r="H33" s="110"/>
      <c r="I33" s="110"/>
      <c r="J33" s="110"/>
      <c r="K33" s="110"/>
      <c r="L33" s="110"/>
      <c r="M33" s="111"/>
    </row>
    <row r="34" ht="18.0" customHeight="1">
      <c r="A34" s="107" t="str">
        <f>'analysis _non-RE-nodes'!A36</f>
        <v>Clever Sugar Glider</v>
      </c>
      <c r="B34" s="80" t="str">
        <f t="shared" si="1"/>
        <v>clever-sugar-glider</v>
      </c>
      <c r="C34" s="108" t="str">
        <f t="shared" si="2"/>
        <v>Clever Sugar Glider</v>
      </c>
      <c r="D34" s="108" t="str">
        <f>IFERROR(__xludf.DUMMYFUNCTION("TEXTJOIN("""", TRUE, ARRAYFORMULA(LEFT(SPLIT(C34, "" ""),1)))"),"CSG")</f>
        <v>CSG</v>
      </c>
      <c r="E34" s="104"/>
      <c r="F34" s="104" t="s">
        <v>618</v>
      </c>
      <c r="G34" s="110"/>
      <c r="H34" s="110"/>
      <c r="I34" s="110"/>
      <c r="J34" s="110"/>
      <c r="K34" s="110"/>
      <c r="L34" s="110"/>
      <c r="M34" s="111"/>
    </row>
    <row r="35" ht="18.0" customHeight="1">
      <c r="A35" s="107" t="str">
        <f>'analysis _non-RE-nodes'!A37</f>
        <v>Clever Tree Kangaroo</v>
      </c>
      <c r="B35" s="80" t="str">
        <f t="shared" si="1"/>
        <v>clever-tree-kangaroo</v>
      </c>
      <c r="C35" s="108" t="str">
        <f t="shared" si="2"/>
        <v>Clever Tree Kangaroo</v>
      </c>
      <c r="D35" s="108" t="str">
        <f>IFERROR(__xludf.DUMMYFUNCTION("TEXTJOIN("""", TRUE, ARRAYFORMULA(LEFT(SPLIT(C35, "" ""),1)))"),"CTK")</f>
        <v>CTK</v>
      </c>
      <c r="E35" s="104"/>
      <c r="F35" s="104" t="s">
        <v>618</v>
      </c>
      <c r="G35" s="110"/>
      <c r="H35" s="110"/>
      <c r="I35" s="110"/>
      <c r="J35" s="110"/>
      <c r="K35" s="110"/>
      <c r="L35" s="110"/>
      <c r="M35" s="111"/>
    </row>
    <row r="36" ht="18.0" customHeight="1">
      <c r="A36" s="107" t="str">
        <f>'analysis _non-RE-nodes'!A38</f>
        <v>Fuzzy Cassowary</v>
      </c>
      <c r="B36" s="80" t="str">
        <f t="shared" si="1"/>
        <v>fuzzy-cassowary</v>
      </c>
      <c r="C36" s="108" t="str">
        <f t="shared" si="2"/>
        <v>Fuzzy Cassowary</v>
      </c>
      <c r="D36" s="108" t="str">
        <f>IFERROR(__xludf.DUMMYFUNCTION("TEXTJOIN("""", TRUE, ARRAYFORMULA(LEFT(SPLIT(C36, "" ""),1)))"),"FC")</f>
        <v>FC</v>
      </c>
      <c r="E36" s="104"/>
      <c r="F36" s="104" t="s">
        <v>618</v>
      </c>
      <c r="G36" s="110"/>
      <c r="H36" s="110"/>
      <c r="I36" s="110"/>
      <c r="J36" s="110"/>
      <c r="K36" s="110"/>
      <c r="L36" s="110"/>
      <c r="M36" s="111"/>
    </row>
    <row r="37" ht="18.0" customHeight="1">
      <c r="A37" s="107" t="str">
        <f>'analysis _non-RE-nodes'!A39</f>
        <v>Fuzzy Echidna</v>
      </c>
      <c r="B37" s="80" t="str">
        <f t="shared" si="1"/>
        <v>fuzzy-echidna</v>
      </c>
      <c r="C37" s="108" t="str">
        <f t="shared" si="2"/>
        <v>Fuzzy Echidna</v>
      </c>
      <c r="D37" s="108" t="str">
        <f>IFERROR(__xludf.DUMMYFUNCTION("TEXTJOIN("""", TRUE, ARRAYFORMULA(LEFT(SPLIT(C37, "" ""),1)))"),"FE")</f>
        <v>FE</v>
      </c>
      <c r="E37" s="104"/>
      <c r="F37" s="104" t="s">
        <v>618</v>
      </c>
      <c r="G37" s="110"/>
      <c r="H37" s="110"/>
      <c r="I37" s="110"/>
      <c r="J37" s="110"/>
      <c r="K37" s="110"/>
      <c r="L37" s="110"/>
      <c r="M37" s="111"/>
    </row>
    <row r="38" ht="18.0" customHeight="1">
      <c r="A38" s="107" t="str">
        <f>'analysis _non-RE-nodes'!A40</f>
        <v>Fuzzy Fairy Penguin</v>
      </c>
      <c r="B38" s="80" t="str">
        <f t="shared" si="1"/>
        <v>fuzzy-fairy-penguin</v>
      </c>
      <c r="C38" s="108" t="str">
        <f t="shared" si="2"/>
        <v>Fuzzy Fairy Penguin</v>
      </c>
      <c r="D38" s="108" t="str">
        <f>IFERROR(__xludf.DUMMYFUNCTION("TEXTJOIN("""", TRUE, ARRAYFORMULA(LEFT(SPLIT(C38, "" ""),1)))"),"FFP")</f>
        <v>FFP</v>
      </c>
      <c r="E38" s="104"/>
      <c r="F38" s="104" t="s">
        <v>618</v>
      </c>
      <c r="G38" s="110"/>
      <c r="H38" s="110"/>
      <c r="I38" s="110"/>
      <c r="J38" s="110"/>
      <c r="K38" s="110"/>
      <c r="L38" s="110"/>
      <c r="M38" s="111"/>
    </row>
    <row r="39" ht="18.0" customHeight="1">
      <c r="A39" s="107" t="str">
        <f>'analysis _non-RE-nodes'!A41</f>
        <v>Fuzzy Goanna</v>
      </c>
      <c r="B39" s="80" t="str">
        <f t="shared" si="1"/>
        <v>fuzzy-goanna</v>
      </c>
      <c r="C39" s="108" t="str">
        <f t="shared" si="2"/>
        <v>Fuzzy Goanna</v>
      </c>
      <c r="D39" s="108" t="str">
        <f>IFERROR(__xludf.DUMMYFUNCTION("TEXTJOIN("""", TRUE, ARRAYFORMULA(LEFT(SPLIT(C39, "" ""),1)))"),"FG")</f>
        <v>FG</v>
      </c>
      <c r="E39" s="104"/>
      <c r="F39" s="104" t="s">
        <v>618</v>
      </c>
      <c r="G39" s="110"/>
      <c r="H39" s="110"/>
      <c r="I39" s="110"/>
      <c r="J39" s="110"/>
      <c r="K39" s="110"/>
      <c r="L39" s="110"/>
      <c r="M39" s="111"/>
    </row>
    <row r="40" ht="18.0" customHeight="1">
      <c r="A40" s="107" t="str">
        <f>'analysis _non-RE-nodes'!A42</f>
        <v>Fuzzy Kangaroo</v>
      </c>
      <c r="B40" s="80" t="str">
        <f t="shared" si="1"/>
        <v>fuzzy-kangaroo</v>
      </c>
      <c r="C40" s="108" t="str">
        <f t="shared" si="2"/>
        <v>Fuzzy Kangaroo</v>
      </c>
      <c r="D40" s="108" t="str">
        <f>IFERROR(__xludf.DUMMYFUNCTION("TEXTJOIN("""", TRUE, ARRAYFORMULA(LEFT(SPLIT(C40, "" ""),1)))"),"FK")</f>
        <v>FK</v>
      </c>
      <c r="E40" s="104"/>
      <c r="F40" s="104" t="s">
        <v>618</v>
      </c>
      <c r="G40" s="110"/>
      <c r="H40" s="110"/>
      <c r="I40" s="110"/>
      <c r="J40" s="110"/>
      <c r="K40" s="110"/>
      <c r="L40" s="110"/>
      <c r="M40" s="111"/>
    </row>
    <row r="41" ht="18.0" customHeight="1">
      <c r="A41" s="107" t="str">
        <f>'analysis _non-RE-nodes'!A43</f>
        <v>Fuzzy Koala</v>
      </c>
      <c r="B41" s="80" t="str">
        <f t="shared" si="1"/>
        <v>fuzzy-koala</v>
      </c>
      <c r="C41" s="108" t="str">
        <f t="shared" si="2"/>
        <v>Fuzzy Koala</v>
      </c>
      <c r="D41" s="108" t="str">
        <f>IFERROR(__xludf.DUMMYFUNCTION("TEXTJOIN("""", TRUE, ARRAYFORMULA(LEFT(SPLIT(C41, "" ""),1)))"),"FK")</f>
        <v>FK</v>
      </c>
      <c r="E41" s="104"/>
      <c r="F41" s="104" t="s">
        <v>618</v>
      </c>
      <c r="G41" s="110"/>
      <c r="H41" s="110"/>
      <c r="I41" s="110"/>
      <c r="J41" s="110"/>
      <c r="K41" s="110"/>
      <c r="L41" s="110"/>
      <c r="M41" s="111"/>
    </row>
    <row r="42" ht="18.0" customHeight="1">
      <c r="A42" s="107" t="str">
        <f>'analysis _non-RE-nodes'!A44</f>
        <v>Fuzzy Lyrebird</v>
      </c>
      <c r="B42" s="80" t="str">
        <f t="shared" si="1"/>
        <v>fuzzy-lyrebird</v>
      </c>
      <c r="C42" s="108" t="str">
        <f t="shared" si="2"/>
        <v>Fuzzy Lyrebird</v>
      </c>
      <c r="D42" s="108" t="str">
        <f>IFERROR(__xludf.DUMMYFUNCTION("TEXTJOIN("""", TRUE, ARRAYFORMULA(LEFT(SPLIT(C42, "" ""),1)))"),"FL")</f>
        <v>FL</v>
      </c>
      <c r="E42" s="104"/>
      <c r="F42" s="104" t="s">
        <v>618</v>
      </c>
      <c r="G42" s="110"/>
      <c r="H42" s="110"/>
      <c r="I42" s="110"/>
      <c r="J42" s="110"/>
      <c r="K42" s="110"/>
      <c r="L42" s="110"/>
      <c r="M42" s="111"/>
    </row>
    <row r="43" ht="18.0" customHeight="1">
      <c r="A43" s="107" t="str">
        <f>'analysis _non-RE-nodes'!A45</f>
        <v>Fuzzy Platypus</v>
      </c>
      <c r="B43" s="80" t="str">
        <f t="shared" si="1"/>
        <v>fuzzy-platypus</v>
      </c>
      <c r="C43" s="108" t="str">
        <f t="shared" si="2"/>
        <v>Fuzzy Platypus</v>
      </c>
      <c r="D43" s="108" t="str">
        <f>IFERROR(__xludf.DUMMYFUNCTION("TEXTJOIN("""", TRUE, ARRAYFORMULA(LEFT(SPLIT(C43, "" ""),1)))"),"FP")</f>
        <v>FP</v>
      </c>
      <c r="E43" s="104"/>
      <c r="F43" s="104" t="s">
        <v>618</v>
      </c>
      <c r="G43" s="110"/>
      <c r="H43" s="110"/>
      <c r="I43" s="110"/>
      <c r="J43" s="110"/>
      <c r="K43" s="110"/>
      <c r="L43" s="110"/>
      <c r="M43" s="111"/>
    </row>
    <row r="44" ht="18.0" customHeight="1">
      <c r="A44" s="107" t="str">
        <f>'analysis _non-RE-nodes'!A46</f>
        <v>Fuzzy Quokka</v>
      </c>
      <c r="B44" s="80" t="str">
        <f t="shared" si="1"/>
        <v>fuzzy-quokka</v>
      </c>
      <c r="C44" s="108" t="str">
        <f t="shared" si="2"/>
        <v>Fuzzy Quokka</v>
      </c>
      <c r="D44" s="108" t="str">
        <f>IFERROR(__xludf.DUMMYFUNCTION("TEXTJOIN("""", TRUE, ARRAYFORMULA(LEFT(SPLIT(C44, "" ""),1)))"),"FQ")</f>
        <v>FQ</v>
      </c>
      <c r="E44" s="104"/>
      <c r="F44" s="104" t="s">
        <v>618</v>
      </c>
      <c r="G44" s="110"/>
      <c r="H44" s="110"/>
      <c r="I44" s="110"/>
      <c r="J44" s="110"/>
      <c r="K44" s="110"/>
      <c r="L44" s="110"/>
      <c r="M44" s="111"/>
    </row>
    <row r="45" ht="18.0" customHeight="1">
      <c r="A45" s="107" t="str">
        <f>'analysis _non-RE-nodes'!A47</f>
        <v>Fuzzy Redback Spider</v>
      </c>
      <c r="B45" s="80" t="str">
        <f t="shared" si="1"/>
        <v>fuzzy-redback-spider</v>
      </c>
      <c r="C45" s="108" t="str">
        <f t="shared" si="2"/>
        <v>Fuzzy Redback Spider</v>
      </c>
      <c r="D45" s="108" t="str">
        <f>IFERROR(__xludf.DUMMYFUNCTION("TEXTJOIN("""", TRUE, ARRAYFORMULA(LEFT(SPLIT(C45, "" ""),1)))"),"FRS")</f>
        <v>FRS</v>
      </c>
      <c r="E45" s="104"/>
      <c r="F45" s="104" t="s">
        <v>618</v>
      </c>
      <c r="G45" s="110"/>
      <c r="H45" s="110"/>
      <c r="I45" s="110"/>
      <c r="J45" s="110"/>
      <c r="K45" s="110"/>
      <c r="L45" s="110"/>
      <c r="M45" s="111"/>
    </row>
    <row r="46" ht="18.0" customHeight="1">
      <c r="A46" s="107" t="str">
        <f>'analysis _non-RE-nodes'!A48</f>
        <v>Fuzzy Wallaby</v>
      </c>
      <c r="B46" s="80" t="str">
        <f t="shared" si="1"/>
        <v>fuzzy-wallaby</v>
      </c>
      <c r="C46" s="108" t="str">
        <f t="shared" si="2"/>
        <v>Fuzzy Wallaby</v>
      </c>
      <c r="D46" s="108" t="str">
        <f>IFERROR(__xludf.DUMMYFUNCTION("TEXTJOIN("""", TRUE, ARRAYFORMULA(LEFT(SPLIT(C46, "" ""),1)))"),"FW")</f>
        <v>FW</v>
      </c>
      <c r="E46" s="104"/>
      <c r="F46" s="104" t="s">
        <v>618</v>
      </c>
      <c r="G46" s="110"/>
      <c r="H46" s="110"/>
      <c r="I46" s="110"/>
      <c r="J46" s="110"/>
      <c r="K46" s="110"/>
      <c r="L46" s="110"/>
      <c r="M46" s="111"/>
    </row>
    <row r="47" ht="18.0" customHeight="1">
      <c r="A47" s="107" t="str">
        <f>'analysis _non-RE-nodes'!A49</f>
        <v>Fuzzy Wombat</v>
      </c>
      <c r="B47" s="80" t="str">
        <f t="shared" si="1"/>
        <v>fuzzy-wombat</v>
      </c>
      <c r="C47" s="108" t="str">
        <f t="shared" si="2"/>
        <v>Fuzzy Wombat</v>
      </c>
      <c r="D47" s="108" t="str">
        <f>IFERROR(__xludf.DUMMYFUNCTION("TEXTJOIN("""", TRUE, ARRAYFORMULA(LEFT(SPLIT(C47, "" ""),1)))"),"FW")</f>
        <v>FW</v>
      </c>
      <c r="E47" s="104"/>
      <c r="F47" s="104" t="s">
        <v>618</v>
      </c>
      <c r="G47" s="110"/>
      <c r="H47" s="110"/>
      <c r="I47" s="110"/>
      <c r="J47" s="110"/>
      <c r="K47" s="110"/>
      <c r="L47" s="110"/>
      <c r="M47" s="111"/>
    </row>
    <row r="48" ht="18.0" customHeight="1">
      <c r="A48" s="107" t="str">
        <f>'analysis _non-RE-nodes'!A50</f>
        <v>Giant Blue-tongue Skink</v>
      </c>
      <c r="B48" s="80" t="str">
        <f t="shared" si="1"/>
        <v>giant-blue-tongue-skink</v>
      </c>
      <c r="C48" s="108" t="str">
        <f t="shared" si="2"/>
        <v>Giant Blue-tongue Skink</v>
      </c>
      <c r="D48" s="108" t="str">
        <f>IFERROR(__xludf.DUMMYFUNCTION("TEXTJOIN("""", TRUE, ARRAYFORMULA(LEFT(SPLIT(C48, "" ""),1)))"),"GBS")</f>
        <v>GBS</v>
      </c>
      <c r="E48" s="104"/>
      <c r="F48" s="104" t="s">
        <v>618</v>
      </c>
      <c r="G48" s="110"/>
      <c r="H48" s="110"/>
      <c r="I48" s="110"/>
      <c r="J48" s="110"/>
      <c r="K48" s="110"/>
      <c r="L48" s="110"/>
      <c r="M48" s="111"/>
    </row>
    <row r="49" ht="18.0" customHeight="1">
      <c r="A49" s="107" t="str">
        <f>'analysis _non-RE-nodes'!A51</f>
        <v>Giant Bush Stone-curlew</v>
      </c>
      <c r="B49" s="80" t="str">
        <f t="shared" si="1"/>
        <v>giant-bush-stone-curlew</v>
      </c>
      <c r="C49" s="108" t="str">
        <f t="shared" si="2"/>
        <v>Giant Bush Stone-curlew</v>
      </c>
      <c r="D49" s="108" t="str">
        <f>IFERROR(__xludf.DUMMYFUNCTION("TEXTJOIN("""", TRUE, ARRAYFORMULA(LEFT(SPLIT(C49, "" ""),1)))"),"GBS")</f>
        <v>GBS</v>
      </c>
      <c r="E49" s="104"/>
      <c r="F49" s="104" t="s">
        <v>618</v>
      </c>
      <c r="G49" s="110"/>
      <c r="H49" s="110"/>
      <c r="I49" s="110"/>
      <c r="J49" s="110"/>
      <c r="K49" s="110"/>
      <c r="L49" s="110"/>
      <c r="M49" s="111"/>
    </row>
    <row r="50" ht="18.0" customHeight="1">
      <c r="A50" s="107" t="str">
        <f>'analysis _non-RE-nodes'!A52</f>
        <v>Giant Cockatoo</v>
      </c>
      <c r="B50" s="80" t="str">
        <f t="shared" si="1"/>
        <v>giant-cockatoo</v>
      </c>
      <c r="C50" s="108" t="str">
        <f t="shared" si="2"/>
        <v>Giant Cockatoo</v>
      </c>
      <c r="D50" s="108" t="str">
        <f>IFERROR(__xludf.DUMMYFUNCTION("TEXTJOIN("""", TRUE, ARRAYFORMULA(LEFT(SPLIT(C50, "" ""),1)))"),"GC")</f>
        <v>GC</v>
      </c>
      <c r="E50" s="104"/>
      <c r="F50" s="104" t="s">
        <v>618</v>
      </c>
      <c r="G50" s="110"/>
      <c r="H50" s="110"/>
      <c r="I50" s="110"/>
      <c r="J50" s="110"/>
      <c r="K50" s="110"/>
      <c r="L50" s="110"/>
      <c r="M50" s="111"/>
    </row>
    <row r="51" ht="18.0" customHeight="1">
      <c r="A51" s="107" t="str">
        <f>'analysis _non-RE-nodes'!A53</f>
        <v>Giant Dingo</v>
      </c>
      <c r="B51" s="80" t="str">
        <f t="shared" si="1"/>
        <v>giant-dingo</v>
      </c>
      <c r="C51" s="108" t="str">
        <f t="shared" si="2"/>
        <v>Giant Dingo</v>
      </c>
      <c r="D51" s="108" t="str">
        <f>IFERROR(__xludf.DUMMYFUNCTION("TEXTJOIN("""", TRUE, ARRAYFORMULA(LEFT(SPLIT(C51, "" ""),1)))"),"GD")</f>
        <v>GD</v>
      </c>
      <c r="E51" s="104"/>
      <c r="F51" s="104" t="s">
        <v>618</v>
      </c>
      <c r="G51" s="110"/>
      <c r="H51" s="110"/>
      <c r="I51" s="110"/>
      <c r="J51" s="110"/>
      <c r="K51" s="110"/>
      <c r="L51" s="110"/>
      <c r="M51" s="111"/>
    </row>
    <row r="52" ht="18.0" customHeight="1">
      <c r="A52" s="107" t="str">
        <f>'analysis _non-RE-nodes'!A54</f>
        <v>Giant Emu</v>
      </c>
      <c r="B52" s="80" t="str">
        <f t="shared" si="1"/>
        <v>giant-emu</v>
      </c>
      <c r="C52" s="108" t="str">
        <f t="shared" si="2"/>
        <v>Giant Emu</v>
      </c>
      <c r="D52" s="108" t="str">
        <f>IFERROR(__xludf.DUMMYFUNCTION("TEXTJOIN("""", TRUE, ARRAYFORMULA(LEFT(SPLIT(C52, "" ""),1)))"),"GE")</f>
        <v>GE</v>
      </c>
      <c r="E52" s="104"/>
      <c r="F52" s="104" t="s">
        <v>618</v>
      </c>
      <c r="G52" s="110"/>
      <c r="H52" s="110"/>
      <c r="I52" s="110"/>
      <c r="J52" s="110"/>
      <c r="K52" s="110"/>
      <c r="L52" s="110"/>
      <c r="M52" s="111"/>
    </row>
    <row r="53" ht="18.0" customHeight="1">
      <c r="A53" s="107" t="str">
        <f>'analysis _non-RE-nodes'!A55</f>
        <v>Giant Platypus</v>
      </c>
      <c r="B53" s="80" t="str">
        <f t="shared" si="1"/>
        <v>giant-platypus</v>
      </c>
      <c r="C53" s="108" t="str">
        <f t="shared" si="2"/>
        <v>Giant Platypus</v>
      </c>
      <c r="D53" s="108" t="str">
        <f>IFERROR(__xludf.DUMMYFUNCTION("TEXTJOIN("""", TRUE, ARRAYFORMULA(LEFT(SPLIT(C53, "" ""),1)))"),"GP")</f>
        <v>GP</v>
      </c>
      <c r="E53" s="104"/>
      <c r="F53" s="104" t="s">
        <v>618</v>
      </c>
      <c r="G53" s="110"/>
      <c r="H53" s="110"/>
      <c r="I53" s="110"/>
      <c r="J53" s="110"/>
      <c r="K53" s="110"/>
      <c r="L53" s="110"/>
      <c r="M53" s="111"/>
    </row>
    <row r="54" ht="18.0" customHeight="1">
      <c r="A54" s="107" t="str">
        <f>'analysis _non-RE-nodes'!A56</f>
        <v>Giant Quokka</v>
      </c>
      <c r="B54" s="80" t="str">
        <f t="shared" si="1"/>
        <v>giant-quokka</v>
      </c>
      <c r="C54" s="108" t="str">
        <f t="shared" si="2"/>
        <v>Giant Quokka</v>
      </c>
      <c r="D54" s="108" t="str">
        <f>IFERROR(__xludf.DUMMYFUNCTION("TEXTJOIN("""", TRUE, ARRAYFORMULA(LEFT(SPLIT(C54, "" ""),1)))"),"GQ")</f>
        <v>GQ</v>
      </c>
      <c r="E54" s="104"/>
      <c r="F54" s="104" t="s">
        <v>618</v>
      </c>
      <c r="G54" s="110"/>
      <c r="H54" s="110"/>
      <c r="I54" s="110"/>
      <c r="J54" s="110"/>
      <c r="K54" s="110"/>
      <c r="L54" s="110"/>
      <c r="M54" s="111"/>
    </row>
    <row r="55" ht="18.0" customHeight="1">
      <c r="A55" s="107" t="str">
        <f>'analysis _non-RE-nodes'!A57</f>
        <v>Giant Redback Spider</v>
      </c>
      <c r="B55" s="80" t="str">
        <f t="shared" si="1"/>
        <v>giant-redback-spider</v>
      </c>
      <c r="C55" s="108" t="str">
        <f t="shared" si="2"/>
        <v>Giant Redback Spider</v>
      </c>
      <c r="D55" s="108" t="str">
        <f>IFERROR(__xludf.DUMMYFUNCTION("TEXTJOIN("""", TRUE, ARRAYFORMULA(LEFT(SPLIT(C55, "" ""),1)))"),"GRS")</f>
        <v>GRS</v>
      </c>
      <c r="E55" s="104"/>
      <c r="F55" s="104" t="s">
        <v>618</v>
      </c>
      <c r="G55" s="110"/>
      <c r="H55" s="110"/>
      <c r="I55" s="110"/>
      <c r="J55" s="110"/>
      <c r="K55" s="110"/>
      <c r="L55" s="110"/>
      <c r="M55" s="111"/>
    </row>
    <row r="56" ht="18.0" customHeight="1">
      <c r="A56" s="107" t="str">
        <f>'analysis _non-RE-nodes'!A58</f>
        <v>Giant Rosella</v>
      </c>
      <c r="B56" s="80" t="str">
        <f t="shared" si="1"/>
        <v>giant-rosella</v>
      </c>
      <c r="C56" s="108" t="str">
        <f t="shared" si="2"/>
        <v>Giant Rosella</v>
      </c>
      <c r="D56" s="108" t="str">
        <f>IFERROR(__xludf.DUMMYFUNCTION("TEXTJOIN("""", TRUE, ARRAYFORMULA(LEFT(SPLIT(C56, "" ""),1)))"),"GR")</f>
        <v>GR</v>
      </c>
      <c r="E56" s="104"/>
      <c r="F56" s="104" t="s">
        <v>618</v>
      </c>
      <c r="G56" s="110"/>
      <c r="H56" s="110"/>
      <c r="I56" s="110"/>
      <c r="J56" s="110"/>
      <c r="K56" s="110"/>
      <c r="L56" s="110"/>
      <c r="M56" s="111"/>
    </row>
    <row r="57" ht="18.0" customHeight="1">
      <c r="A57" s="107" t="str">
        <f>'analysis _non-RE-nodes'!A59</f>
        <v>Giant Tasmanian Devil</v>
      </c>
      <c r="B57" s="80" t="str">
        <f t="shared" si="1"/>
        <v>giant-tasmanian-devil</v>
      </c>
      <c r="C57" s="108" t="str">
        <f t="shared" si="2"/>
        <v>Giant Tasmanian Devil</v>
      </c>
      <c r="D57" s="108" t="str">
        <f>IFERROR(__xludf.DUMMYFUNCTION("TEXTJOIN("""", TRUE, ARRAYFORMULA(LEFT(SPLIT(C57, "" ""),1)))"),"GTD")</f>
        <v>GTD</v>
      </c>
      <c r="E57" s="104"/>
      <c r="F57" s="104" t="s">
        <v>618</v>
      </c>
      <c r="G57" s="110"/>
      <c r="H57" s="110"/>
      <c r="I57" s="110"/>
      <c r="J57" s="110"/>
      <c r="K57" s="110"/>
      <c r="L57" s="110"/>
      <c r="M57" s="111"/>
    </row>
    <row r="58" ht="18.0" customHeight="1">
      <c r="A58" s="107" t="str">
        <f>'analysis _non-RE-nodes'!A60</f>
        <v>Giant Thorny Devil</v>
      </c>
      <c r="B58" s="80" t="str">
        <f t="shared" si="1"/>
        <v>giant-thorny-devil</v>
      </c>
      <c r="C58" s="108" t="str">
        <f t="shared" si="2"/>
        <v>Giant Thorny Devil</v>
      </c>
      <c r="D58" s="108" t="str">
        <f>IFERROR(__xludf.DUMMYFUNCTION("TEXTJOIN("""", TRUE, ARRAYFORMULA(LEFT(SPLIT(C58, "" ""),1)))"),"GTD")</f>
        <v>GTD</v>
      </c>
      <c r="E58" s="104"/>
      <c r="F58" s="104" t="s">
        <v>618</v>
      </c>
      <c r="G58" s="110"/>
      <c r="H58" s="110"/>
      <c r="I58" s="110"/>
      <c r="J58" s="110"/>
      <c r="K58" s="110"/>
      <c r="L58" s="110"/>
      <c r="M58" s="111"/>
    </row>
    <row r="59" ht="18.0" customHeight="1">
      <c r="A59" s="107" t="str">
        <f>'analysis _non-RE-nodes'!A61</f>
        <v>Golden Australian Magpie</v>
      </c>
      <c r="B59" s="80" t="str">
        <f t="shared" si="1"/>
        <v>golden-australian-magpie</v>
      </c>
      <c r="C59" s="108" t="str">
        <f t="shared" si="2"/>
        <v>Golden Australian Magpie</v>
      </c>
      <c r="D59" s="108" t="str">
        <f>IFERROR(__xludf.DUMMYFUNCTION("TEXTJOIN("""", TRUE, ARRAYFORMULA(LEFT(SPLIT(C59, "" ""),1)))"),"GAM")</f>
        <v>GAM</v>
      </c>
      <c r="E59" s="104"/>
      <c r="F59" s="104" t="s">
        <v>618</v>
      </c>
      <c r="G59" s="110"/>
      <c r="H59" s="110"/>
      <c r="I59" s="110"/>
      <c r="J59" s="110"/>
      <c r="K59" s="110"/>
      <c r="L59" s="110"/>
      <c r="M59" s="111"/>
    </row>
    <row r="60" ht="18.0" customHeight="1">
      <c r="A60" s="107" t="str">
        <f>'analysis _non-RE-nodes'!A62</f>
        <v>Golden Bush Stone-curlew</v>
      </c>
      <c r="B60" s="80" t="str">
        <f t="shared" si="1"/>
        <v>golden-bush-stone-curlew</v>
      </c>
      <c r="C60" s="108" t="str">
        <f t="shared" si="2"/>
        <v>Golden Bush Stone-curlew</v>
      </c>
      <c r="D60" s="108" t="str">
        <f>IFERROR(__xludf.DUMMYFUNCTION("TEXTJOIN("""", TRUE, ARRAYFORMULA(LEFT(SPLIT(C60, "" ""),1)))"),"GBS")</f>
        <v>GBS</v>
      </c>
      <c r="E60" s="104"/>
      <c r="F60" s="104" t="s">
        <v>618</v>
      </c>
      <c r="G60" s="110"/>
      <c r="H60" s="110"/>
      <c r="I60" s="110"/>
      <c r="J60" s="110"/>
      <c r="K60" s="110"/>
      <c r="L60" s="110"/>
      <c r="M60" s="111"/>
    </row>
    <row r="61" ht="18.0" customHeight="1">
      <c r="A61" s="107" t="str">
        <f>'analysis _non-RE-nodes'!A63</f>
        <v>Golden Echidna</v>
      </c>
      <c r="B61" s="80" t="str">
        <f t="shared" si="1"/>
        <v>golden-echidna</v>
      </c>
      <c r="C61" s="108" t="str">
        <f t="shared" si="2"/>
        <v>Golden Echidna</v>
      </c>
      <c r="D61" s="108" t="str">
        <f>IFERROR(__xludf.DUMMYFUNCTION("TEXTJOIN("""", TRUE, ARRAYFORMULA(LEFT(SPLIT(C61, "" ""),1)))"),"GE")</f>
        <v>GE</v>
      </c>
      <c r="E61" s="104"/>
      <c r="F61" s="104" t="s">
        <v>618</v>
      </c>
      <c r="G61" s="110"/>
      <c r="H61" s="110"/>
      <c r="I61" s="110"/>
      <c r="J61" s="110"/>
      <c r="K61" s="110"/>
      <c r="L61" s="110"/>
      <c r="M61" s="111"/>
    </row>
    <row r="62" ht="18.0" customHeight="1">
      <c r="A62" s="107" t="str">
        <f>'analysis _non-RE-nodes'!A64</f>
        <v>Golden Emu</v>
      </c>
      <c r="B62" s="80" t="str">
        <f t="shared" si="1"/>
        <v>golden-emu</v>
      </c>
      <c r="C62" s="108" t="str">
        <f t="shared" si="2"/>
        <v>Golden Emu</v>
      </c>
      <c r="D62" s="108" t="str">
        <f>IFERROR(__xludf.DUMMYFUNCTION("TEXTJOIN("""", TRUE, ARRAYFORMULA(LEFT(SPLIT(C62, "" ""),1)))"),"GE")</f>
        <v>GE</v>
      </c>
      <c r="E62" s="104"/>
      <c r="F62" s="104" t="s">
        <v>618</v>
      </c>
      <c r="G62" s="110"/>
      <c r="H62" s="110"/>
      <c r="I62" s="110"/>
      <c r="J62" s="110"/>
      <c r="K62" s="110"/>
      <c r="L62" s="110"/>
      <c r="M62" s="111"/>
    </row>
    <row r="63" ht="18.0" customHeight="1">
      <c r="A63" s="107" t="str">
        <f>'analysis _non-RE-nodes'!A65</f>
        <v>Golden Fairy Penguin</v>
      </c>
      <c r="B63" s="80" t="str">
        <f t="shared" si="1"/>
        <v>golden-fairy-penguin</v>
      </c>
      <c r="C63" s="108" t="str">
        <f t="shared" si="2"/>
        <v>Golden Fairy Penguin</v>
      </c>
      <c r="D63" s="108" t="str">
        <f>IFERROR(__xludf.DUMMYFUNCTION("TEXTJOIN("""", TRUE, ARRAYFORMULA(LEFT(SPLIT(C63, "" ""),1)))"),"GFP")</f>
        <v>GFP</v>
      </c>
      <c r="E63" s="104"/>
      <c r="F63" s="104" t="s">
        <v>618</v>
      </c>
      <c r="G63" s="110"/>
      <c r="H63" s="110"/>
      <c r="I63" s="110"/>
      <c r="J63" s="110"/>
      <c r="K63" s="110"/>
      <c r="L63" s="110"/>
      <c r="M63" s="111"/>
    </row>
    <row r="64" ht="18.0" customHeight="1">
      <c r="A64" s="107" t="str">
        <f>'analysis _non-RE-nodes'!A66</f>
        <v>Golden Frilled Neck Lizard</v>
      </c>
      <c r="B64" s="80" t="str">
        <f t="shared" si="1"/>
        <v>golden-frilled-neck-lizard</v>
      </c>
      <c r="C64" s="108" t="str">
        <f t="shared" si="2"/>
        <v>Golden Frilled Neck Lizard</v>
      </c>
      <c r="D64" s="108" t="str">
        <f>IFERROR(__xludf.DUMMYFUNCTION("TEXTJOIN("""", TRUE, ARRAYFORMULA(LEFT(SPLIT(C64, "" ""),1)))"),"GFNL")</f>
        <v>GFNL</v>
      </c>
      <c r="E64" s="104"/>
      <c r="F64" s="104" t="s">
        <v>618</v>
      </c>
      <c r="G64" s="110"/>
      <c r="H64" s="110"/>
      <c r="I64" s="110"/>
      <c r="J64" s="110"/>
      <c r="K64" s="110"/>
      <c r="L64" s="110"/>
      <c r="M64" s="111"/>
    </row>
    <row r="65" ht="18.0" customHeight="1">
      <c r="A65" s="107" t="str">
        <f>'analysis _non-RE-nodes'!A67</f>
        <v>Golden Goanna</v>
      </c>
      <c r="B65" s="80" t="str">
        <f t="shared" si="1"/>
        <v>golden-goanna</v>
      </c>
      <c r="C65" s="108" t="str">
        <f t="shared" si="2"/>
        <v>Golden Goanna</v>
      </c>
      <c r="D65" s="108" t="str">
        <f>IFERROR(__xludf.DUMMYFUNCTION("TEXTJOIN("""", TRUE, ARRAYFORMULA(LEFT(SPLIT(C65, "" ""),1)))"),"GG")</f>
        <v>GG</v>
      </c>
      <c r="E65" s="104"/>
      <c r="F65" s="104" t="s">
        <v>618</v>
      </c>
      <c r="G65" s="110"/>
      <c r="H65" s="110"/>
      <c r="I65" s="110"/>
      <c r="J65" s="110"/>
      <c r="K65" s="110"/>
      <c r="L65" s="110"/>
      <c r="M65" s="111"/>
    </row>
    <row r="66" ht="18.0" customHeight="1">
      <c r="A66" s="107" t="str">
        <f>'analysis _non-RE-nodes'!A68</f>
        <v>Golden Kangaroo</v>
      </c>
      <c r="B66" s="80" t="str">
        <f t="shared" si="1"/>
        <v>golden-kangaroo</v>
      </c>
      <c r="C66" s="108" t="str">
        <f t="shared" si="2"/>
        <v>Golden Kangaroo</v>
      </c>
      <c r="D66" s="108" t="str">
        <f>IFERROR(__xludf.DUMMYFUNCTION("TEXTJOIN("""", TRUE, ARRAYFORMULA(LEFT(SPLIT(C66, "" ""),1)))"),"GK")</f>
        <v>GK</v>
      </c>
      <c r="E66" s="104"/>
      <c r="F66" s="104" t="s">
        <v>618</v>
      </c>
      <c r="G66" s="110"/>
      <c r="H66" s="110"/>
      <c r="I66" s="110"/>
      <c r="J66" s="110"/>
      <c r="K66" s="110"/>
      <c r="L66" s="110"/>
      <c r="M66" s="111"/>
    </row>
    <row r="67" ht="18.0" customHeight="1">
      <c r="A67" s="107" t="str">
        <f>'analysis _non-RE-nodes'!A69</f>
        <v>Golden Koala</v>
      </c>
      <c r="B67" s="80" t="str">
        <f t="shared" si="1"/>
        <v>golden-koala</v>
      </c>
      <c r="C67" s="108" t="str">
        <f t="shared" si="2"/>
        <v>Golden Koala</v>
      </c>
      <c r="D67" s="108" t="str">
        <f>IFERROR(__xludf.DUMMYFUNCTION("TEXTJOIN("""", TRUE, ARRAYFORMULA(LEFT(SPLIT(C67, "" ""),1)))"),"GK")</f>
        <v>GK</v>
      </c>
      <c r="E67" s="104"/>
      <c r="F67" s="104" t="s">
        <v>618</v>
      </c>
      <c r="G67" s="110"/>
      <c r="H67" s="110"/>
      <c r="I67" s="110"/>
      <c r="J67" s="110"/>
      <c r="K67" s="110"/>
      <c r="L67" s="110"/>
      <c r="M67" s="111"/>
    </row>
    <row r="68" ht="18.0" customHeight="1">
      <c r="A68" s="107" t="str">
        <f>'analysis _non-RE-nodes'!A70</f>
        <v>Golden Kookaburra</v>
      </c>
      <c r="B68" s="80" t="str">
        <f t="shared" si="1"/>
        <v>golden-kookaburra</v>
      </c>
      <c r="C68" s="108" t="str">
        <f t="shared" si="2"/>
        <v>Golden Kookaburra</v>
      </c>
      <c r="D68" s="108" t="str">
        <f>IFERROR(__xludf.DUMMYFUNCTION("TEXTJOIN("""", TRUE, ARRAYFORMULA(LEFT(SPLIT(C68, "" ""),1)))"),"GK")</f>
        <v>GK</v>
      </c>
      <c r="E68" s="104"/>
      <c r="F68" s="104" t="s">
        <v>618</v>
      </c>
      <c r="G68" s="110"/>
      <c r="H68" s="110"/>
      <c r="I68" s="110"/>
      <c r="J68" s="110"/>
      <c r="K68" s="110"/>
      <c r="L68" s="110"/>
      <c r="M68" s="111"/>
    </row>
    <row r="69" ht="18.0" customHeight="1">
      <c r="A69" s="107" t="str">
        <f>'analysis _non-RE-nodes'!A71</f>
        <v>Golden Lyrebird</v>
      </c>
      <c r="B69" s="80" t="str">
        <f t="shared" si="1"/>
        <v>golden-lyrebird</v>
      </c>
      <c r="C69" s="108" t="str">
        <f t="shared" si="2"/>
        <v>Golden Lyrebird</v>
      </c>
      <c r="D69" s="108" t="str">
        <f>IFERROR(__xludf.DUMMYFUNCTION("TEXTJOIN("""", TRUE, ARRAYFORMULA(LEFT(SPLIT(C69, "" ""),1)))"),"GL")</f>
        <v>GL</v>
      </c>
      <c r="E69" s="104"/>
      <c r="F69" s="104" t="s">
        <v>618</v>
      </c>
      <c r="G69" s="110"/>
      <c r="H69" s="110"/>
      <c r="I69" s="110"/>
      <c r="J69" s="110"/>
      <c r="K69" s="110"/>
      <c r="L69" s="110"/>
      <c r="M69" s="111"/>
    </row>
    <row r="70" ht="18.0" customHeight="1">
      <c r="A70" s="107" t="str">
        <f>'analysis _non-RE-nodes'!A72</f>
        <v>Golden Perentie</v>
      </c>
      <c r="B70" s="80" t="str">
        <f t="shared" si="1"/>
        <v>golden-perentie</v>
      </c>
      <c r="C70" s="108" t="str">
        <f t="shared" si="2"/>
        <v>Golden Perentie</v>
      </c>
      <c r="D70" s="108" t="str">
        <f>IFERROR(__xludf.DUMMYFUNCTION("TEXTJOIN("""", TRUE, ARRAYFORMULA(LEFT(SPLIT(C70, "" ""),1)))"),"GP")</f>
        <v>GP</v>
      </c>
      <c r="E70" s="104"/>
      <c r="F70" s="104" t="s">
        <v>618</v>
      </c>
      <c r="G70" s="110"/>
      <c r="H70" s="110"/>
      <c r="I70" s="110"/>
      <c r="J70" s="110"/>
      <c r="K70" s="110"/>
      <c r="L70" s="110"/>
      <c r="M70" s="111"/>
    </row>
    <row r="71" ht="18.0" customHeight="1">
      <c r="A71" s="107" t="str">
        <f>'analysis _non-RE-nodes'!A73</f>
        <v>Golden Tasmanian Devil</v>
      </c>
      <c r="B71" s="80" t="str">
        <f t="shared" si="1"/>
        <v>golden-tasmanian-devil</v>
      </c>
      <c r="C71" s="108" t="str">
        <f t="shared" si="2"/>
        <v>Golden Tasmanian Devil</v>
      </c>
      <c r="D71" s="108" t="str">
        <f>IFERROR(__xludf.DUMMYFUNCTION("TEXTJOIN("""", TRUE, ARRAYFORMULA(LEFT(SPLIT(C71, "" ""),1)))"),"GTD")</f>
        <v>GTD</v>
      </c>
      <c r="E71" s="104"/>
      <c r="F71" s="104" t="s">
        <v>618</v>
      </c>
      <c r="G71" s="110"/>
      <c r="H71" s="110"/>
      <c r="I71" s="110"/>
      <c r="J71" s="110"/>
      <c r="K71" s="110"/>
      <c r="L71" s="110"/>
      <c r="M71" s="111"/>
    </row>
    <row r="72" ht="18.0" customHeight="1">
      <c r="A72" s="107" t="str">
        <f>'analysis _non-RE-nodes'!A74</f>
        <v>Golden Wallaby</v>
      </c>
      <c r="B72" s="80" t="str">
        <f t="shared" si="1"/>
        <v>golden-wallaby</v>
      </c>
      <c r="C72" s="108" t="str">
        <f t="shared" si="2"/>
        <v>Golden Wallaby</v>
      </c>
      <c r="D72" s="108" t="str">
        <f>IFERROR(__xludf.DUMMYFUNCTION("TEXTJOIN("""", TRUE, ARRAYFORMULA(LEFT(SPLIT(C72, "" ""),1)))"),"GW")</f>
        <v>GW</v>
      </c>
      <c r="E72" s="104"/>
      <c r="F72" s="104" t="s">
        <v>618</v>
      </c>
      <c r="G72" s="110"/>
      <c r="H72" s="110"/>
      <c r="I72" s="110"/>
      <c r="J72" s="110"/>
      <c r="K72" s="110"/>
      <c r="L72" s="110"/>
      <c r="M72" s="111"/>
    </row>
    <row r="73" ht="18.0" customHeight="1">
      <c r="A73" s="107" t="str">
        <f>'analysis _non-RE-nodes'!A75</f>
        <v>Green Bandicoot</v>
      </c>
      <c r="B73" s="80" t="str">
        <f t="shared" si="1"/>
        <v>green-bandicoot</v>
      </c>
      <c r="C73" s="108" t="str">
        <f t="shared" si="2"/>
        <v>Green Bandicoot</v>
      </c>
      <c r="D73" s="108" t="str">
        <f>IFERROR(__xludf.DUMMYFUNCTION("TEXTJOIN("""", TRUE, ARRAYFORMULA(LEFT(SPLIT(C73, "" ""),1)))"),"GB")</f>
        <v>GB</v>
      </c>
      <c r="E73" s="104"/>
      <c r="F73" s="104" t="s">
        <v>618</v>
      </c>
      <c r="G73" s="110"/>
      <c r="H73" s="110"/>
      <c r="I73" s="110"/>
      <c r="J73" s="110"/>
      <c r="K73" s="110"/>
      <c r="L73" s="110"/>
      <c r="M73" s="111"/>
    </row>
    <row r="74" ht="18.0" customHeight="1">
      <c r="A74" s="107" t="str">
        <f>'analysis _non-RE-nodes'!A76</f>
        <v>Green Bush Stone-curlew</v>
      </c>
      <c r="B74" s="80" t="str">
        <f t="shared" si="1"/>
        <v>green-bush-stone-curlew</v>
      </c>
      <c r="C74" s="108" t="str">
        <f t="shared" si="2"/>
        <v>Green Bush Stone-curlew</v>
      </c>
      <c r="D74" s="108" t="str">
        <f>IFERROR(__xludf.DUMMYFUNCTION("TEXTJOIN("""", TRUE, ARRAYFORMULA(LEFT(SPLIT(C74, "" ""),1)))"),"GBS")</f>
        <v>GBS</v>
      </c>
      <c r="E74" s="104"/>
      <c r="F74" s="104" t="s">
        <v>618</v>
      </c>
      <c r="G74" s="110"/>
      <c r="H74" s="110"/>
      <c r="I74" s="110"/>
      <c r="J74" s="110"/>
      <c r="K74" s="110"/>
      <c r="L74" s="110"/>
      <c r="M74" s="111"/>
    </row>
    <row r="75" ht="18.0" customHeight="1">
      <c r="A75" s="107" t="str">
        <f>'analysis _non-RE-nodes'!A77</f>
        <v>Green Dingo</v>
      </c>
      <c r="B75" s="80" t="str">
        <f t="shared" si="1"/>
        <v>green-dingo</v>
      </c>
      <c r="C75" s="108" t="str">
        <f t="shared" si="2"/>
        <v>Green Dingo</v>
      </c>
      <c r="D75" s="108" t="str">
        <f>IFERROR(__xludf.DUMMYFUNCTION("TEXTJOIN("""", TRUE, ARRAYFORMULA(LEFT(SPLIT(C75, "" ""),1)))"),"GD")</f>
        <v>GD</v>
      </c>
      <c r="E75" s="104"/>
      <c r="F75" s="104" t="s">
        <v>618</v>
      </c>
      <c r="G75" s="110"/>
      <c r="H75" s="110"/>
      <c r="I75" s="110"/>
      <c r="J75" s="110"/>
      <c r="K75" s="110"/>
      <c r="L75" s="110"/>
      <c r="M75" s="111"/>
    </row>
    <row r="76" ht="18.0" customHeight="1">
      <c r="A76" s="107" t="str">
        <f>'analysis _non-RE-nodes'!A78</f>
        <v>Green Emu</v>
      </c>
      <c r="B76" s="80" t="str">
        <f t="shared" si="1"/>
        <v>green-emu</v>
      </c>
      <c r="C76" s="108" t="str">
        <f t="shared" si="2"/>
        <v>Green Emu</v>
      </c>
      <c r="D76" s="108" t="str">
        <f>IFERROR(__xludf.DUMMYFUNCTION("TEXTJOIN("""", TRUE, ARRAYFORMULA(LEFT(SPLIT(C76, "" ""),1)))"),"GE")</f>
        <v>GE</v>
      </c>
      <c r="E76" s="104"/>
      <c r="F76" s="104" t="s">
        <v>618</v>
      </c>
      <c r="G76" s="110"/>
      <c r="H76" s="110"/>
      <c r="I76" s="110"/>
      <c r="J76" s="110"/>
      <c r="K76" s="110"/>
      <c r="L76" s="110"/>
      <c r="M76" s="111"/>
    </row>
    <row r="77" ht="18.0" customHeight="1">
      <c r="A77" s="107" t="str">
        <f>'analysis _non-RE-nodes'!A79</f>
        <v>Green Kangaroo</v>
      </c>
      <c r="B77" s="80" t="str">
        <f t="shared" si="1"/>
        <v>green-kangaroo</v>
      </c>
      <c r="C77" s="108" t="str">
        <f t="shared" si="2"/>
        <v>Green Kangaroo</v>
      </c>
      <c r="D77" s="108" t="str">
        <f>IFERROR(__xludf.DUMMYFUNCTION("TEXTJOIN("""", TRUE, ARRAYFORMULA(LEFT(SPLIT(C77, "" ""),1)))"),"GK")</f>
        <v>GK</v>
      </c>
      <c r="E77" s="104"/>
      <c r="F77" s="104" t="s">
        <v>618</v>
      </c>
      <c r="G77" s="110"/>
      <c r="H77" s="110"/>
      <c r="I77" s="110"/>
      <c r="J77" s="110"/>
      <c r="K77" s="110"/>
      <c r="L77" s="110"/>
      <c r="M77" s="111"/>
    </row>
    <row r="78" ht="18.0" customHeight="1">
      <c r="A78" s="107" t="str">
        <f>'analysis _non-RE-nodes'!A80</f>
        <v>Green Koala</v>
      </c>
      <c r="B78" s="80" t="str">
        <f t="shared" si="1"/>
        <v>green-koala</v>
      </c>
      <c r="C78" s="108" t="str">
        <f t="shared" si="2"/>
        <v>Green Koala</v>
      </c>
      <c r="D78" s="108" t="str">
        <f>IFERROR(__xludf.DUMMYFUNCTION("TEXTJOIN("""", TRUE, ARRAYFORMULA(LEFT(SPLIT(C78, "" ""),1)))"),"GK")</f>
        <v>GK</v>
      </c>
      <c r="E78" s="104"/>
      <c r="F78" s="104" t="s">
        <v>618</v>
      </c>
      <c r="G78" s="110"/>
      <c r="H78" s="110"/>
      <c r="I78" s="110"/>
      <c r="J78" s="110"/>
      <c r="K78" s="110"/>
      <c r="L78" s="110"/>
      <c r="M78" s="111"/>
    </row>
    <row r="79" ht="18.0" customHeight="1">
      <c r="A79" s="107" t="str">
        <f>'analysis _non-RE-nodes'!A81</f>
        <v>Green Platypus</v>
      </c>
      <c r="B79" s="80" t="str">
        <f t="shared" si="1"/>
        <v>green-platypus</v>
      </c>
      <c r="C79" s="108" t="str">
        <f t="shared" si="2"/>
        <v>Green Platypus</v>
      </c>
      <c r="D79" s="108" t="str">
        <f>IFERROR(__xludf.DUMMYFUNCTION("TEXTJOIN("""", TRUE, ARRAYFORMULA(LEFT(SPLIT(C79, "" ""),1)))"),"GP")</f>
        <v>GP</v>
      </c>
      <c r="E79" s="104"/>
      <c r="F79" s="104" t="s">
        <v>618</v>
      </c>
      <c r="G79" s="110"/>
      <c r="H79" s="110"/>
      <c r="I79" s="110"/>
      <c r="J79" s="110"/>
      <c r="K79" s="110"/>
      <c r="L79" s="110"/>
      <c r="M79" s="111"/>
    </row>
    <row r="80" ht="18.0" customHeight="1">
      <c r="A80" s="107" t="str">
        <f>'analysis _non-RE-nodes'!A82</f>
        <v>Green Redback Spider</v>
      </c>
      <c r="B80" s="80" t="str">
        <f t="shared" si="1"/>
        <v>green-redback-spider</v>
      </c>
      <c r="C80" s="108" t="str">
        <f t="shared" si="2"/>
        <v>Green Redback Spider</v>
      </c>
      <c r="D80" s="108" t="str">
        <f>IFERROR(__xludf.DUMMYFUNCTION("TEXTJOIN("""", TRUE, ARRAYFORMULA(LEFT(SPLIT(C80, "" ""),1)))"),"GRS")</f>
        <v>GRS</v>
      </c>
      <c r="E80" s="104"/>
      <c r="F80" s="104" t="s">
        <v>618</v>
      </c>
      <c r="G80" s="110"/>
      <c r="H80" s="110"/>
      <c r="I80" s="110"/>
      <c r="J80" s="110"/>
      <c r="K80" s="110"/>
      <c r="L80" s="110"/>
      <c r="M80" s="111"/>
    </row>
    <row r="81" ht="18.0" customHeight="1">
      <c r="A81" s="107" t="str">
        <f>'analysis _non-RE-nodes'!A83</f>
        <v>Green Rosella</v>
      </c>
      <c r="B81" s="80" t="str">
        <f t="shared" si="1"/>
        <v>green-rosella</v>
      </c>
      <c r="C81" s="108" t="str">
        <f t="shared" si="2"/>
        <v>Green Rosella</v>
      </c>
      <c r="D81" s="108" t="str">
        <f>IFERROR(__xludf.DUMMYFUNCTION("TEXTJOIN("""", TRUE, ARRAYFORMULA(LEFT(SPLIT(C81, "" ""),1)))"),"GR")</f>
        <v>GR</v>
      </c>
      <c r="E81" s="104"/>
      <c r="F81" s="104" t="s">
        <v>618</v>
      </c>
      <c r="G81" s="110"/>
      <c r="H81" s="110"/>
      <c r="I81" s="110"/>
      <c r="J81" s="110"/>
      <c r="K81" s="110"/>
      <c r="L81" s="110"/>
      <c r="M81" s="111"/>
    </row>
    <row r="82" ht="18.0" customHeight="1">
      <c r="A82" s="107" t="str">
        <f>'analysis _non-RE-nodes'!A84</f>
        <v>Green Tasmanian Devil</v>
      </c>
      <c r="B82" s="80" t="str">
        <f t="shared" si="1"/>
        <v>green-tasmanian-devil</v>
      </c>
      <c r="C82" s="108" t="str">
        <f t="shared" si="2"/>
        <v>Green Tasmanian Devil</v>
      </c>
      <c r="D82" s="108" t="str">
        <f>IFERROR(__xludf.DUMMYFUNCTION("TEXTJOIN("""", TRUE, ARRAYFORMULA(LEFT(SPLIT(C82, "" ""),1)))"),"GTD")</f>
        <v>GTD</v>
      </c>
      <c r="E82" s="104"/>
      <c r="F82" s="104" t="s">
        <v>618</v>
      </c>
      <c r="G82" s="110"/>
      <c r="H82" s="110"/>
      <c r="I82" s="110"/>
      <c r="J82" s="110"/>
      <c r="K82" s="110"/>
      <c r="L82" s="110"/>
      <c r="M82" s="111"/>
    </row>
    <row r="83" ht="18.0" customHeight="1">
      <c r="A83" s="107" t="str">
        <f>'analysis _non-RE-nodes'!A85</f>
        <v>Green Wombat</v>
      </c>
      <c r="B83" s="80" t="str">
        <f t="shared" si="1"/>
        <v>green-wombat</v>
      </c>
      <c r="C83" s="108" t="str">
        <f t="shared" si="2"/>
        <v>Green Wombat</v>
      </c>
      <c r="D83" s="108" t="str">
        <f>IFERROR(__xludf.DUMMYFUNCTION("TEXTJOIN("""", TRUE, ARRAYFORMULA(LEFT(SPLIT(C83, "" ""),1)))"),"GW")</f>
        <v>GW</v>
      </c>
      <c r="E83" s="104"/>
      <c r="F83" s="104" t="s">
        <v>618</v>
      </c>
      <c r="G83" s="110"/>
      <c r="H83" s="110"/>
      <c r="I83" s="110"/>
      <c r="J83" s="110"/>
      <c r="K83" s="110"/>
      <c r="L83" s="110"/>
      <c r="M83" s="111"/>
    </row>
    <row r="84" ht="18.0" customHeight="1">
      <c r="A84" s="107" t="str">
        <f>'analysis _non-RE-nodes'!A86</f>
        <v>Happy Blue-tongue Skink</v>
      </c>
      <c r="B84" s="80" t="str">
        <f t="shared" si="1"/>
        <v>happy-blue-tongue-skink</v>
      </c>
      <c r="C84" s="108" t="str">
        <f t="shared" si="2"/>
        <v>Happy Blue-tongue Skink</v>
      </c>
      <c r="D84" s="108" t="str">
        <f>IFERROR(__xludf.DUMMYFUNCTION("TEXTJOIN("""", TRUE, ARRAYFORMULA(LEFT(SPLIT(C84, "" ""),1)))"),"HBS")</f>
        <v>HBS</v>
      </c>
      <c r="E84" s="104"/>
      <c r="F84" s="104" t="s">
        <v>618</v>
      </c>
      <c r="G84" s="110"/>
      <c r="H84" s="110"/>
      <c r="I84" s="110"/>
      <c r="J84" s="110"/>
      <c r="K84" s="110"/>
      <c r="L84" s="110"/>
      <c r="M84" s="111"/>
    </row>
    <row r="85" ht="18.0" customHeight="1">
      <c r="A85" s="107" t="str">
        <f>'analysis _non-RE-nodes'!A87</f>
        <v>Happy Echidna</v>
      </c>
      <c r="B85" s="80" t="str">
        <f t="shared" si="1"/>
        <v>happy-echidna</v>
      </c>
      <c r="C85" s="108" t="str">
        <f t="shared" si="2"/>
        <v>Happy Echidna</v>
      </c>
      <c r="D85" s="108" t="str">
        <f>IFERROR(__xludf.DUMMYFUNCTION("TEXTJOIN("""", TRUE, ARRAYFORMULA(LEFT(SPLIT(C85, "" ""),1)))"),"HE")</f>
        <v>HE</v>
      </c>
      <c r="E85" s="104"/>
      <c r="F85" s="104" t="s">
        <v>618</v>
      </c>
      <c r="G85" s="110"/>
      <c r="H85" s="110"/>
      <c r="I85" s="110"/>
      <c r="J85" s="110"/>
      <c r="K85" s="110"/>
      <c r="L85" s="110"/>
      <c r="M85" s="111"/>
    </row>
    <row r="86" ht="18.0" customHeight="1">
      <c r="A86" s="107" t="str">
        <f>'analysis _non-RE-nodes'!A88</f>
        <v>Happy Fairy Penguin</v>
      </c>
      <c r="B86" s="80" t="str">
        <f t="shared" si="1"/>
        <v>happy-fairy-penguin</v>
      </c>
      <c r="C86" s="108" t="str">
        <f t="shared" si="2"/>
        <v>Happy Fairy Penguin</v>
      </c>
      <c r="D86" s="108" t="str">
        <f>IFERROR(__xludf.DUMMYFUNCTION("TEXTJOIN("""", TRUE, ARRAYFORMULA(LEFT(SPLIT(C86, "" ""),1)))"),"HFP")</f>
        <v>HFP</v>
      </c>
      <c r="E86" s="104"/>
      <c r="F86" s="104" t="s">
        <v>618</v>
      </c>
      <c r="G86" s="110"/>
      <c r="H86" s="110"/>
      <c r="I86" s="110"/>
      <c r="J86" s="110"/>
      <c r="K86" s="110"/>
      <c r="L86" s="110"/>
      <c r="M86" s="111"/>
    </row>
    <row r="87" ht="18.0" customHeight="1">
      <c r="A87" s="107" t="str">
        <f>'analysis _non-RE-nodes'!A89</f>
        <v>Happy Frilled Neck Lizard</v>
      </c>
      <c r="B87" s="80" t="str">
        <f t="shared" si="1"/>
        <v>happy-frilled-neck-lizard</v>
      </c>
      <c r="C87" s="108" t="str">
        <f t="shared" si="2"/>
        <v>Happy Frilled Neck Lizard</v>
      </c>
      <c r="D87" s="108" t="str">
        <f>IFERROR(__xludf.DUMMYFUNCTION("TEXTJOIN("""", TRUE, ARRAYFORMULA(LEFT(SPLIT(C87, "" ""),1)))"),"HFNL")</f>
        <v>HFNL</v>
      </c>
      <c r="E87" s="104"/>
      <c r="F87" s="104" t="s">
        <v>618</v>
      </c>
      <c r="G87" s="110"/>
      <c r="H87" s="110"/>
      <c r="I87" s="110"/>
      <c r="J87" s="110"/>
      <c r="K87" s="110"/>
      <c r="L87" s="110"/>
      <c r="M87" s="111"/>
    </row>
    <row r="88" ht="18.0" customHeight="1">
      <c r="A88" s="107" t="str">
        <f>'analysis _non-RE-nodes'!A90</f>
        <v>Happy Goanna</v>
      </c>
      <c r="B88" s="80" t="str">
        <f t="shared" si="1"/>
        <v>happy-goanna</v>
      </c>
      <c r="C88" s="108" t="str">
        <f t="shared" si="2"/>
        <v>Happy Goanna</v>
      </c>
      <c r="D88" s="108" t="str">
        <f>IFERROR(__xludf.DUMMYFUNCTION("TEXTJOIN("""", TRUE, ARRAYFORMULA(LEFT(SPLIT(C88, "" ""),1)))"),"HG")</f>
        <v>HG</v>
      </c>
      <c r="E88" s="104"/>
      <c r="F88" s="104" t="s">
        <v>618</v>
      </c>
      <c r="G88" s="110"/>
      <c r="H88" s="110"/>
      <c r="I88" s="110"/>
      <c r="J88" s="110"/>
      <c r="K88" s="110"/>
      <c r="L88" s="110"/>
      <c r="M88" s="111"/>
    </row>
    <row r="89" ht="18.0" customHeight="1">
      <c r="A89" s="107" t="str">
        <f>'analysis _non-RE-nodes'!A91</f>
        <v>Happy Perentie</v>
      </c>
      <c r="B89" s="80" t="str">
        <f t="shared" si="1"/>
        <v>happy-perentie</v>
      </c>
      <c r="C89" s="108" t="str">
        <f t="shared" si="2"/>
        <v>Happy Perentie</v>
      </c>
      <c r="D89" s="108" t="str">
        <f>IFERROR(__xludf.DUMMYFUNCTION("TEXTJOIN("""", TRUE, ARRAYFORMULA(LEFT(SPLIT(C89, "" ""),1)))"),"HP")</f>
        <v>HP</v>
      </c>
      <c r="E89" s="104"/>
      <c r="F89" s="104" t="s">
        <v>618</v>
      </c>
      <c r="G89" s="110"/>
      <c r="H89" s="110"/>
      <c r="I89" s="110"/>
      <c r="J89" s="110"/>
      <c r="K89" s="110"/>
      <c r="L89" s="110"/>
      <c r="M89" s="111"/>
    </row>
    <row r="90" ht="18.0" customHeight="1">
      <c r="A90" s="107" t="str">
        <f>'analysis _non-RE-nodes'!A92</f>
        <v>Happy Platypus</v>
      </c>
      <c r="B90" s="80" t="str">
        <f t="shared" si="1"/>
        <v>happy-platypus</v>
      </c>
      <c r="C90" s="108" t="str">
        <f t="shared" si="2"/>
        <v>Happy Platypus</v>
      </c>
      <c r="D90" s="108" t="str">
        <f>IFERROR(__xludf.DUMMYFUNCTION("TEXTJOIN("""", TRUE, ARRAYFORMULA(LEFT(SPLIT(C90, "" ""),1)))"),"HP")</f>
        <v>HP</v>
      </c>
      <c r="E90" s="104"/>
      <c r="F90" s="104" t="s">
        <v>618</v>
      </c>
      <c r="G90" s="110"/>
      <c r="H90" s="110"/>
      <c r="I90" s="110"/>
      <c r="J90" s="110"/>
      <c r="K90" s="110"/>
      <c r="L90" s="110"/>
      <c r="M90" s="111"/>
    </row>
    <row r="91" ht="18.0" customHeight="1">
      <c r="A91" s="107" t="str">
        <f>'analysis _non-RE-nodes'!A93</f>
        <v>Happy Quokka</v>
      </c>
      <c r="B91" s="80" t="str">
        <f t="shared" si="1"/>
        <v>happy-quokka</v>
      </c>
      <c r="C91" s="108" t="str">
        <f t="shared" si="2"/>
        <v>Happy Quokka</v>
      </c>
      <c r="D91" s="108" t="str">
        <f>IFERROR(__xludf.DUMMYFUNCTION("TEXTJOIN("""", TRUE, ARRAYFORMULA(LEFT(SPLIT(C91, "" ""),1)))"),"HQ")</f>
        <v>HQ</v>
      </c>
      <c r="E91" s="104"/>
      <c r="F91" s="104" t="s">
        <v>618</v>
      </c>
      <c r="G91" s="110"/>
      <c r="H91" s="110"/>
      <c r="I91" s="110"/>
      <c r="J91" s="110"/>
      <c r="K91" s="110"/>
      <c r="L91" s="110"/>
      <c r="M91" s="111"/>
    </row>
    <row r="92" ht="18.0" customHeight="1">
      <c r="A92" s="107" t="str">
        <f>'analysis _non-RE-nodes'!A94</f>
        <v>Happy Rosella</v>
      </c>
      <c r="B92" s="80" t="str">
        <f t="shared" si="1"/>
        <v>happy-rosella</v>
      </c>
      <c r="C92" s="108" t="str">
        <f t="shared" si="2"/>
        <v>Happy Rosella</v>
      </c>
      <c r="D92" s="108" t="str">
        <f>IFERROR(__xludf.DUMMYFUNCTION("TEXTJOIN("""", TRUE, ARRAYFORMULA(LEFT(SPLIT(C92, "" ""),1)))"),"HR")</f>
        <v>HR</v>
      </c>
      <c r="E92" s="104"/>
      <c r="F92" s="104" t="s">
        <v>618</v>
      </c>
      <c r="G92" s="110"/>
      <c r="H92" s="110"/>
      <c r="I92" s="110"/>
      <c r="J92" s="110"/>
      <c r="K92" s="110"/>
      <c r="L92" s="110"/>
      <c r="M92" s="111"/>
    </row>
    <row r="93" ht="18.0" customHeight="1">
      <c r="A93" s="107" t="str">
        <f>'analysis _non-RE-nodes'!A95</f>
        <v>Lazy Bilby</v>
      </c>
      <c r="B93" s="80" t="str">
        <f t="shared" si="1"/>
        <v>lazy-bilby</v>
      </c>
      <c r="C93" s="108" t="str">
        <f t="shared" si="2"/>
        <v>Lazy Bilby</v>
      </c>
      <c r="D93" s="108" t="str">
        <f>IFERROR(__xludf.DUMMYFUNCTION("TEXTJOIN("""", TRUE, ARRAYFORMULA(LEFT(SPLIT(C93, "" ""),1)))"),"LB")</f>
        <v>LB</v>
      </c>
      <c r="E93" s="104"/>
      <c r="F93" s="104" t="s">
        <v>618</v>
      </c>
      <c r="G93" s="110"/>
      <c r="H93" s="110"/>
      <c r="I93" s="110"/>
      <c r="J93" s="110"/>
      <c r="K93" s="110"/>
      <c r="L93" s="110"/>
      <c r="M93" s="111"/>
    </row>
    <row r="94" ht="18.0" customHeight="1">
      <c r="A94" s="107" t="str">
        <f>'analysis _non-RE-nodes'!A96</f>
        <v>Lazy Blue-tongue Skink</v>
      </c>
      <c r="B94" s="80" t="str">
        <f t="shared" si="1"/>
        <v>lazy-blue-tongue-skink</v>
      </c>
      <c r="C94" s="108" t="str">
        <f t="shared" si="2"/>
        <v>Lazy Blue-tongue Skink</v>
      </c>
      <c r="D94" s="108" t="str">
        <f>IFERROR(__xludf.DUMMYFUNCTION("TEXTJOIN("""", TRUE, ARRAYFORMULA(LEFT(SPLIT(C94, "" ""),1)))"),"LBS")</f>
        <v>LBS</v>
      </c>
      <c r="E94" s="104"/>
      <c r="F94" s="104" t="s">
        <v>618</v>
      </c>
      <c r="G94" s="110"/>
      <c r="H94" s="110"/>
      <c r="I94" s="110"/>
      <c r="J94" s="110"/>
      <c r="K94" s="110"/>
      <c r="L94" s="110"/>
      <c r="M94" s="111"/>
    </row>
    <row r="95" ht="18.0" customHeight="1">
      <c r="A95" s="107" t="str">
        <f>'analysis _non-RE-nodes'!A97</f>
        <v>Lazy Cockatoo</v>
      </c>
      <c r="B95" s="80" t="str">
        <f t="shared" si="1"/>
        <v>lazy-cockatoo</v>
      </c>
      <c r="C95" s="108" t="str">
        <f t="shared" si="2"/>
        <v>Lazy Cockatoo</v>
      </c>
      <c r="D95" s="108" t="str">
        <f>IFERROR(__xludf.DUMMYFUNCTION("TEXTJOIN("""", TRUE, ARRAYFORMULA(LEFT(SPLIT(C95, "" ""),1)))"),"LC")</f>
        <v>LC</v>
      </c>
      <c r="E95" s="104"/>
      <c r="F95" s="104" t="s">
        <v>618</v>
      </c>
      <c r="G95" s="110"/>
      <c r="H95" s="110"/>
      <c r="I95" s="110"/>
      <c r="J95" s="110"/>
      <c r="K95" s="110"/>
      <c r="L95" s="110"/>
      <c r="M95" s="111"/>
    </row>
    <row r="96" ht="18.0" customHeight="1">
      <c r="A96" s="107" t="str">
        <f>'analysis _non-RE-nodes'!A98</f>
        <v>Lazy Fairy Penguin</v>
      </c>
      <c r="B96" s="80" t="str">
        <f t="shared" si="1"/>
        <v>lazy-fairy-penguin</v>
      </c>
      <c r="C96" s="108" t="str">
        <f t="shared" si="2"/>
        <v>Lazy Fairy Penguin</v>
      </c>
      <c r="D96" s="108" t="str">
        <f>IFERROR(__xludf.DUMMYFUNCTION("TEXTJOIN("""", TRUE, ARRAYFORMULA(LEFT(SPLIT(C96, "" ""),1)))"),"LFP")</f>
        <v>LFP</v>
      </c>
      <c r="E96" s="104"/>
      <c r="F96" s="104" t="s">
        <v>618</v>
      </c>
      <c r="G96" s="110"/>
      <c r="H96" s="110"/>
      <c r="I96" s="110"/>
      <c r="J96" s="110"/>
      <c r="K96" s="110"/>
      <c r="L96" s="110"/>
      <c r="M96" s="111"/>
    </row>
    <row r="97" ht="18.0" customHeight="1">
      <c r="A97" s="107" t="str">
        <f>'analysis _non-RE-nodes'!A99</f>
        <v>Lazy Goanna</v>
      </c>
      <c r="B97" s="80" t="str">
        <f t="shared" si="1"/>
        <v>lazy-goanna</v>
      </c>
      <c r="C97" s="108" t="str">
        <f t="shared" si="2"/>
        <v>Lazy Goanna</v>
      </c>
      <c r="D97" s="108" t="str">
        <f>IFERROR(__xludf.DUMMYFUNCTION("TEXTJOIN("""", TRUE, ARRAYFORMULA(LEFT(SPLIT(C97, "" ""),1)))"),"LG")</f>
        <v>LG</v>
      </c>
      <c r="E97" s="104"/>
      <c r="F97" s="104" t="s">
        <v>618</v>
      </c>
      <c r="G97" s="110"/>
      <c r="H97" s="110"/>
      <c r="I97" s="110"/>
      <c r="J97" s="110"/>
      <c r="K97" s="110"/>
      <c r="L97" s="110"/>
      <c r="M97" s="111"/>
    </row>
    <row r="98" ht="18.0" customHeight="1">
      <c r="A98" s="107" t="str">
        <f>'analysis _non-RE-nodes'!A100</f>
        <v>Lazy Kangaroo</v>
      </c>
      <c r="B98" s="80" t="str">
        <f t="shared" si="1"/>
        <v>lazy-kangaroo</v>
      </c>
      <c r="C98" s="108" t="str">
        <f t="shared" si="2"/>
        <v>Lazy Kangaroo</v>
      </c>
      <c r="D98" s="108" t="str">
        <f>IFERROR(__xludf.DUMMYFUNCTION("TEXTJOIN("""", TRUE, ARRAYFORMULA(LEFT(SPLIT(C98, "" ""),1)))"),"LK")</f>
        <v>LK</v>
      </c>
      <c r="E98" s="104"/>
      <c r="F98" s="104" t="s">
        <v>618</v>
      </c>
      <c r="G98" s="110"/>
      <c r="H98" s="110"/>
      <c r="I98" s="110"/>
      <c r="J98" s="110"/>
      <c r="K98" s="110"/>
      <c r="L98" s="110"/>
      <c r="M98" s="111"/>
    </row>
    <row r="99" ht="18.0" customHeight="1">
      <c r="A99" s="107" t="str">
        <f>'analysis _non-RE-nodes'!A101</f>
        <v>Lazy Perentie</v>
      </c>
      <c r="B99" s="80" t="str">
        <f t="shared" si="1"/>
        <v>lazy-perentie</v>
      </c>
      <c r="C99" s="108" t="str">
        <f t="shared" si="2"/>
        <v>Lazy Perentie</v>
      </c>
      <c r="D99" s="108" t="str">
        <f>IFERROR(__xludf.DUMMYFUNCTION("TEXTJOIN("""", TRUE, ARRAYFORMULA(LEFT(SPLIT(C99, "" ""),1)))"),"LP")</f>
        <v>LP</v>
      </c>
      <c r="E99" s="104"/>
      <c r="F99" s="104" t="s">
        <v>618</v>
      </c>
      <c r="G99" s="110"/>
      <c r="H99" s="110"/>
      <c r="I99" s="110"/>
      <c r="J99" s="110"/>
      <c r="K99" s="110"/>
      <c r="L99" s="110"/>
      <c r="M99" s="111"/>
    </row>
    <row r="100" ht="18.0" customHeight="1">
      <c r="A100" s="107" t="str">
        <f>'analysis _non-RE-nodes'!A102</f>
        <v>Lazy Quokka</v>
      </c>
      <c r="B100" s="80" t="str">
        <f t="shared" si="1"/>
        <v>lazy-quokka</v>
      </c>
      <c r="C100" s="108" t="str">
        <f t="shared" si="2"/>
        <v>Lazy Quokka</v>
      </c>
      <c r="D100" s="108" t="str">
        <f>IFERROR(__xludf.DUMMYFUNCTION("TEXTJOIN("""", TRUE, ARRAYFORMULA(LEFT(SPLIT(C100, "" ""),1)))"),"LQ")</f>
        <v>LQ</v>
      </c>
      <c r="E100" s="104"/>
      <c r="F100" s="104" t="s">
        <v>618</v>
      </c>
      <c r="G100" s="110"/>
      <c r="H100" s="110"/>
      <c r="I100" s="110"/>
      <c r="J100" s="110"/>
      <c r="K100" s="110"/>
      <c r="L100" s="110"/>
      <c r="M100" s="111"/>
    </row>
    <row r="101" ht="18.0" customHeight="1">
      <c r="A101" s="107" t="str">
        <f>'analysis _non-RE-nodes'!A103</f>
        <v>Lazy Tree Kangaroo</v>
      </c>
      <c r="B101" s="80" t="str">
        <f t="shared" si="1"/>
        <v>lazy-tree-kangaroo</v>
      </c>
      <c r="C101" s="108" t="str">
        <f t="shared" si="2"/>
        <v>Lazy Tree Kangaroo</v>
      </c>
      <c r="D101" s="108" t="str">
        <f>IFERROR(__xludf.DUMMYFUNCTION("TEXTJOIN("""", TRUE, ARRAYFORMULA(LEFT(SPLIT(C101, "" ""),1)))"),"LTK")</f>
        <v>LTK</v>
      </c>
      <c r="E101" s="104"/>
      <c r="F101" s="104" t="s">
        <v>618</v>
      </c>
      <c r="G101" s="110"/>
      <c r="H101" s="110"/>
      <c r="I101" s="110"/>
      <c r="J101" s="110"/>
      <c r="K101" s="110"/>
      <c r="L101" s="110"/>
      <c r="M101" s="111"/>
    </row>
    <row r="102" ht="18.0" customHeight="1">
      <c r="A102" s="107" t="str">
        <f>'analysis _non-RE-nodes'!A104</f>
        <v>Lazy Wombat</v>
      </c>
      <c r="B102" s="80" t="str">
        <f t="shared" si="1"/>
        <v>lazy-wombat</v>
      </c>
      <c r="C102" s="108" t="str">
        <f t="shared" si="2"/>
        <v>Lazy Wombat</v>
      </c>
      <c r="D102" s="108" t="str">
        <f>IFERROR(__xludf.DUMMYFUNCTION("TEXTJOIN("""", TRUE, ARRAYFORMULA(LEFT(SPLIT(C102, "" ""),1)))"),"LW")</f>
        <v>LW</v>
      </c>
      <c r="E102" s="104"/>
      <c r="F102" s="104" t="s">
        <v>618</v>
      </c>
      <c r="G102" s="110"/>
      <c r="H102" s="110"/>
      <c r="I102" s="110"/>
      <c r="J102" s="110"/>
      <c r="K102" s="110"/>
      <c r="L102" s="110"/>
      <c r="M102" s="111"/>
    </row>
    <row r="103" ht="18.0" customHeight="1">
      <c r="A103" s="107" t="str">
        <f>'analysis _non-RE-nodes'!A105</f>
        <v>Noisy Australian Magpie</v>
      </c>
      <c r="B103" s="80" t="str">
        <f t="shared" si="1"/>
        <v>noisy-australian-magpie</v>
      </c>
      <c r="C103" s="108" t="str">
        <f t="shared" si="2"/>
        <v>Noisy Australian Magpie</v>
      </c>
      <c r="D103" s="108" t="str">
        <f>IFERROR(__xludf.DUMMYFUNCTION("TEXTJOIN("""", TRUE, ARRAYFORMULA(LEFT(SPLIT(C103, "" ""),1)))"),"NAM")</f>
        <v>NAM</v>
      </c>
      <c r="E103" s="104"/>
      <c r="F103" s="104" t="s">
        <v>618</v>
      </c>
      <c r="G103" s="110"/>
      <c r="H103" s="110"/>
      <c r="I103" s="110"/>
      <c r="J103" s="110"/>
      <c r="K103" s="110"/>
      <c r="L103" s="110"/>
      <c r="M103" s="111"/>
    </row>
    <row r="104" ht="18.0" customHeight="1">
      <c r="A104" s="107" t="str">
        <f>'analysis _non-RE-nodes'!A106</f>
        <v>Noisy Bilby</v>
      </c>
      <c r="B104" s="80" t="str">
        <f t="shared" si="1"/>
        <v>noisy-bilby</v>
      </c>
      <c r="C104" s="108" t="str">
        <f t="shared" si="2"/>
        <v>Noisy Bilby</v>
      </c>
      <c r="D104" s="108" t="str">
        <f>IFERROR(__xludf.DUMMYFUNCTION("TEXTJOIN("""", TRUE, ARRAYFORMULA(LEFT(SPLIT(C104, "" ""),1)))"),"NB")</f>
        <v>NB</v>
      </c>
      <c r="E104" s="104"/>
      <c r="F104" s="104" t="s">
        <v>618</v>
      </c>
      <c r="G104" s="110"/>
      <c r="H104" s="110"/>
      <c r="I104" s="110"/>
      <c r="J104" s="110"/>
      <c r="K104" s="110"/>
      <c r="L104" s="110"/>
      <c r="M104" s="111"/>
    </row>
    <row r="105" ht="18.0" customHeight="1">
      <c r="A105" s="107" t="str">
        <f>'analysis _non-RE-nodes'!A107</f>
        <v>Noisy Cockatoo</v>
      </c>
      <c r="B105" s="80" t="str">
        <f t="shared" si="1"/>
        <v>noisy-cockatoo</v>
      </c>
      <c r="C105" s="108" t="str">
        <f t="shared" si="2"/>
        <v>Noisy Cockatoo</v>
      </c>
      <c r="D105" s="108" t="str">
        <f>IFERROR(__xludf.DUMMYFUNCTION("TEXTJOIN("""", TRUE, ARRAYFORMULA(LEFT(SPLIT(C105, "" ""),1)))"),"NC")</f>
        <v>NC</v>
      </c>
      <c r="E105" s="104"/>
      <c r="F105" s="104" t="s">
        <v>618</v>
      </c>
      <c r="G105" s="110"/>
      <c r="H105" s="110"/>
      <c r="I105" s="110"/>
      <c r="J105" s="110"/>
      <c r="K105" s="110"/>
      <c r="L105" s="110"/>
      <c r="M105" s="111"/>
    </row>
    <row r="106" ht="18.0" customHeight="1">
      <c r="A106" s="107" t="str">
        <f>'analysis _non-RE-nodes'!A108</f>
        <v>Noisy Echidna</v>
      </c>
      <c r="B106" s="80" t="str">
        <f t="shared" si="1"/>
        <v>noisy-echidna</v>
      </c>
      <c r="C106" s="108" t="str">
        <f t="shared" si="2"/>
        <v>Noisy Echidna</v>
      </c>
      <c r="D106" s="108" t="str">
        <f>IFERROR(__xludf.DUMMYFUNCTION("TEXTJOIN("""", TRUE, ARRAYFORMULA(LEFT(SPLIT(C106, "" ""),1)))"),"NE")</f>
        <v>NE</v>
      </c>
      <c r="E106" s="104"/>
      <c r="F106" s="104" t="s">
        <v>618</v>
      </c>
      <c r="G106" s="110"/>
      <c r="H106" s="110"/>
      <c r="I106" s="110"/>
      <c r="J106" s="110"/>
      <c r="K106" s="110"/>
      <c r="L106" s="110"/>
      <c r="M106" s="111"/>
    </row>
    <row r="107" ht="18.0" customHeight="1">
      <c r="A107" s="107" t="str">
        <f>'analysis _non-RE-nodes'!A109</f>
        <v>Noisy Kangaroo</v>
      </c>
      <c r="B107" s="80" t="str">
        <f t="shared" si="1"/>
        <v>noisy-kangaroo</v>
      </c>
      <c r="C107" s="108" t="str">
        <f t="shared" si="2"/>
        <v>Noisy Kangaroo</v>
      </c>
      <c r="D107" s="108" t="str">
        <f>IFERROR(__xludf.DUMMYFUNCTION("TEXTJOIN("""", TRUE, ARRAYFORMULA(LEFT(SPLIT(C107, "" ""),1)))"),"NK")</f>
        <v>NK</v>
      </c>
      <c r="E107" s="104"/>
      <c r="F107" s="104" t="s">
        <v>618</v>
      </c>
      <c r="G107" s="110"/>
      <c r="H107" s="110"/>
      <c r="I107" s="110"/>
      <c r="J107" s="110"/>
      <c r="K107" s="110"/>
      <c r="L107" s="110"/>
      <c r="M107" s="111"/>
    </row>
    <row r="108" ht="18.0" customHeight="1">
      <c r="A108" s="107" t="str">
        <f>'analysis _non-RE-nodes'!A110</f>
        <v>Noisy Kookaburra</v>
      </c>
      <c r="B108" s="80" t="str">
        <f t="shared" si="1"/>
        <v>noisy-kookaburra</v>
      </c>
      <c r="C108" s="108" t="str">
        <f t="shared" si="2"/>
        <v>Noisy Kookaburra</v>
      </c>
      <c r="D108" s="108" t="str">
        <f>IFERROR(__xludf.DUMMYFUNCTION("TEXTJOIN("""", TRUE, ARRAYFORMULA(LEFT(SPLIT(C108, "" ""),1)))"),"NK")</f>
        <v>NK</v>
      </c>
      <c r="E108" s="104"/>
      <c r="F108" s="104" t="s">
        <v>618</v>
      </c>
      <c r="G108" s="110"/>
      <c r="H108" s="110"/>
      <c r="I108" s="110"/>
      <c r="J108" s="110"/>
      <c r="K108" s="110"/>
      <c r="L108" s="110"/>
      <c r="M108" s="111"/>
    </row>
    <row r="109" ht="18.0" customHeight="1">
      <c r="A109" s="107" t="str">
        <f>'analysis _non-RE-nodes'!A111</f>
        <v>Noisy Numbat</v>
      </c>
      <c r="B109" s="80" t="str">
        <f t="shared" si="1"/>
        <v>noisy-numbat</v>
      </c>
      <c r="C109" s="108" t="str">
        <f t="shared" si="2"/>
        <v>Noisy Numbat</v>
      </c>
      <c r="D109" s="108" t="str">
        <f>IFERROR(__xludf.DUMMYFUNCTION("TEXTJOIN("""", TRUE, ARRAYFORMULA(LEFT(SPLIT(C109, "" ""),1)))"),"NN")</f>
        <v>NN</v>
      </c>
      <c r="E109" s="104"/>
      <c r="F109" s="104" t="s">
        <v>618</v>
      </c>
      <c r="G109" s="110"/>
      <c r="H109" s="110"/>
      <c r="I109" s="110"/>
      <c r="J109" s="110"/>
      <c r="K109" s="110"/>
      <c r="L109" s="110"/>
      <c r="M109" s="111"/>
    </row>
    <row r="110" ht="18.0" customHeight="1">
      <c r="A110" s="107" t="str">
        <f>'analysis _non-RE-nodes'!A112</f>
        <v>Noisy Perentie</v>
      </c>
      <c r="B110" s="80" t="str">
        <f t="shared" si="1"/>
        <v>noisy-perentie</v>
      </c>
      <c r="C110" s="108" t="str">
        <f t="shared" si="2"/>
        <v>Noisy Perentie</v>
      </c>
      <c r="D110" s="108" t="str">
        <f>IFERROR(__xludf.DUMMYFUNCTION("TEXTJOIN("""", TRUE, ARRAYFORMULA(LEFT(SPLIT(C110, "" ""),1)))"),"NP")</f>
        <v>NP</v>
      </c>
      <c r="E110" s="104"/>
      <c r="F110" s="104" t="s">
        <v>618</v>
      </c>
      <c r="G110" s="110"/>
      <c r="H110" s="110"/>
      <c r="I110" s="110"/>
      <c r="J110" s="110"/>
      <c r="K110" s="110"/>
      <c r="L110" s="110"/>
      <c r="M110" s="111"/>
    </row>
    <row r="111" ht="18.0" customHeight="1">
      <c r="A111" s="107" t="str">
        <f>'analysis _non-RE-nodes'!A113</f>
        <v>Noisy Possum</v>
      </c>
      <c r="B111" s="80" t="str">
        <f t="shared" si="1"/>
        <v>noisy-possum</v>
      </c>
      <c r="C111" s="108" t="str">
        <f t="shared" si="2"/>
        <v>Noisy Possum</v>
      </c>
      <c r="D111" s="108" t="str">
        <f>IFERROR(__xludf.DUMMYFUNCTION("TEXTJOIN("""", TRUE, ARRAYFORMULA(LEFT(SPLIT(C111, "" ""),1)))"),"NP")</f>
        <v>NP</v>
      </c>
      <c r="E111" s="104"/>
      <c r="F111" s="104" t="s">
        <v>618</v>
      </c>
      <c r="G111" s="110"/>
      <c r="H111" s="110"/>
      <c r="I111" s="110"/>
      <c r="J111" s="110"/>
      <c r="K111" s="110"/>
      <c r="L111" s="110"/>
      <c r="M111" s="111"/>
    </row>
    <row r="112" ht="18.0" customHeight="1">
      <c r="A112" s="107" t="str">
        <f>'analysis _non-RE-nodes'!A114</f>
        <v>Noisy Redback Spider</v>
      </c>
      <c r="B112" s="80" t="str">
        <f t="shared" si="1"/>
        <v>noisy-redback-spider</v>
      </c>
      <c r="C112" s="108" t="str">
        <f t="shared" si="2"/>
        <v>Noisy Redback Spider</v>
      </c>
      <c r="D112" s="108" t="str">
        <f>IFERROR(__xludf.DUMMYFUNCTION("TEXTJOIN("""", TRUE, ARRAYFORMULA(LEFT(SPLIT(C112, "" ""),1)))"),"NRS")</f>
        <v>NRS</v>
      </c>
      <c r="E112" s="104"/>
      <c r="F112" s="104" t="s">
        <v>618</v>
      </c>
      <c r="G112" s="110"/>
      <c r="H112" s="110"/>
      <c r="I112" s="110"/>
      <c r="J112" s="110"/>
      <c r="K112" s="110"/>
      <c r="L112" s="110"/>
      <c r="M112" s="111"/>
    </row>
    <row r="113" ht="18.0" customHeight="1">
      <c r="A113" s="107" t="str">
        <f>'analysis _non-RE-nodes'!A115</f>
        <v>Noisy Rosella</v>
      </c>
      <c r="B113" s="80" t="str">
        <f t="shared" si="1"/>
        <v>noisy-rosella</v>
      </c>
      <c r="C113" s="108" t="str">
        <f t="shared" si="2"/>
        <v>Noisy Rosella</v>
      </c>
      <c r="D113" s="108" t="str">
        <f>IFERROR(__xludf.DUMMYFUNCTION("TEXTJOIN("""", TRUE, ARRAYFORMULA(LEFT(SPLIT(C113, "" ""),1)))"),"NR")</f>
        <v>NR</v>
      </c>
      <c r="E113" s="104"/>
      <c r="F113" s="104" t="s">
        <v>618</v>
      </c>
      <c r="G113" s="110"/>
      <c r="H113" s="110"/>
      <c r="I113" s="110"/>
      <c r="J113" s="110"/>
      <c r="K113" s="110"/>
      <c r="L113" s="110"/>
      <c r="M113" s="111"/>
    </row>
    <row r="114" ht="18.0" customHeight="1">
      <c r="A114" s="107" t="str">
        <f>'analysis _non-RE-nodes'!A116</f>
        <v>Noisy Sugar Glider</v>
      </c>
      <c r="B114" s="80" t="str">
        <f t="shared" si="1"/>
        <v>noisy-sugar-glider</v>
      </c>
      <c r="C114" s="108" t="str">
        <f t="shared" si="2"/>
        <v>Noisy Sugar Glider</v>
      </c>
      <c r="D114" s="108" t="str">
        <f>IFERROR(__xludf.DUMMYFUNCTION("TEXTJOIN("""", TRUE, ARRAYFORMULA(LEFT(SPLIT(C114, "" ""),1)))"),"NSG")</f>
        <v>NSG</v>
      </c>
      <c r="E114" s="104"/>
      <c r="F114" s="104" t="s">
        <v>618</v>
      </c>
      <c r="G114" s="110"/>
      <c r="H114" s="110"/>
      <c r="I114" s="110"/>
      <c r="J114" s="110"/>
      <c r="K114" s="110"/>
      <c r="L114" s="110"/>
      <c r="M114" s="111"/>
    </row>
    <row r="115" ht="18.0" customHeight="1">
      <c r="A115" s="107" t="str">
        <f>'analysis _non-RE-nodes'!A117</f>
        <v>Noisy Tree Kangaroo</v>
      </c>
      <c r="B115" s="80" t="str">
        <f t="shared" si="1"/>
        <v>noisy-tree-kangaroo</v>
      </c>
      <c r="C115" s="108" t="str">
        <f t="shared" si="2"/>
        <v>Noisy Tree Kangaroo</v>
      </c>
      <c r="D115" s="108" t="str">
        <f>IFERROR(__xludf.DUMMYFUNCTION("TEXTJOIN("""", TRUE, ARRAYFORMULA(LEFT(SPLIT(C115, "" ""),1)))"),"NTK")</f>
        <v>NTK</v>
      </c>
      <c r="E115" s="104"/>
      <c r="F115" s="104" t="s">
        <v>618</v>
      </c>
      <c r="G115" s="110"/>
      <c r="H115" s="110"/>
      <c r="I115" s="110"/>
      <c r="J115" s="110"/>
      <c r="K115" s="110"/>
      <c r="L115" s="110"/>
      <c r="M115" s="111"/>
    </row>
    <row r="116" ht="18.0" customHeight="1">
      <c r="A116" s="107" t="str">
        <f>'analysis _non-RE-nodes'!A118</f>
        <v>Noisy Wombat</v>
      </c>
      <c r="B116" s="80" t="str">
        <f t="shared" si="1"/>
        <v>noisy-wombat</v>
      </c>
      <c r="C116" s="108" t="str">
        <f t="shared" si="2"/>
        <v>Noisy Wombat</v>
      </c>
      <c r="D116" s="108" t="str">
        <f>IFERROR(__xludf.DUMMYFUNCTION("TEXTJOIN("""", TRUE, ARRAYFORMULA(LEFT(SPLIT(C116, "" ""),1)))"),"NW")</f>
        <v>NW</v>
      </c>
      <c r="E116" s="104"/>
      <c r="F116" s="104" t="s">
        <v>618</v>
      </c>
      <c r="G116" s="110"/>
      <c r="H116" s="110"/>
      <c r="I116" s="110"/>
      <c r="J116" s="110"/>
      <c r="K116" s="110"/>
      <c r="L116" s="110"/>
      <c r="M116" s="111"/>
    </row>
    <row r="117" ht="18.0" customHeight="1">
      <c r="A117" s="107" t="str">
        <f>'analysis _non-RE-nodes'!A119</f>
        <v>Red Australian Magpie</v>
      </c>
      <c r="B117" s="80" t="str">
        <f t="shared" si="1"/>
        <v>red-australian-magpie</v>
      </c>
      <c r="C117" s="108" t="str">
        <f t="shared" si="2"/>
        <v>Red Australian Magpie</v>
      </c>
      <c r="D117" s="108" t="str">
        <f>IFERROR(__xludf.DUMMYFUNCTION("TEXTJOIN("""", TRUE, ARRAYFORMULA(LEFT(SPLIT(C117, "" ""),1)))"),"RAM")</f>
        <v>RAM</v>
      </c>
      <c r="E117" s="104"/>
      <c r="F117" s="104" t="s">
        <v>618</v>
      </c>
      <c r="G117" s="110"/>
      <c r="H117" s="110"/>
      <c r="I117" s="110"/>
      <c r="J117" s="110"/>
      <c r="K117" s="110"/>
      <c r="L117" s="110"/>
      <c r="M117" s="111"/>
    </row>
    <row r="118" ht="18.0" customHeight="1">
      <c r="A118" s="107" t="str">
        <f>'analysis _non-RE-nodes'!A120</f>
        <v>Red Bush Stone-curlew</v>
      </c>
      <c r="B118" s="80" t="str">
        <f t="shared" si="1"/>
        <v>red-bush-stone-curlew</v>
      </c>
      <c r="C118" s="108" t="str">
        <f t="shared" si="2"/>
        <v>Red Bush Stone-curlew</v>
      </c>
      <c r="D118" s="108" t="str">
        <f>IFERROR(__xludf.DUMMYFUNCTION("TEXTJOIN("""", TRUE, ARRAYFORMULA(LEFT(SPLIT(C118, "" ""),1)))"),"RBS")</f>
        <v>RBS</v>
      </c>
      <c r="E118" s="104"/>
      <c r="F118" s="104" t="s">
        <v>618</v>
      </c>
      <c r="G118" s="110"/>
      <c r="H118" s="110"/>
      <c r="I118" s="110"/>
      <c r="J118" s="110"/>
      <c r="K118" s="110"/>
      <c r="L118" s="110"/>
      <c r="M118" s="111"/>
    </row>
    <row r="119" ht="18.0" customHeight="1">
      <c r="A119" s="107" t="str">
        <f>'analysis _non-RE-nodes'!A121</f>
        <v>Red Dingo</v>
      </c>
      <c r="B119" s="80" t="str">
        <f t="shared" si="1"/>
        <v>red-dingo</v>
      </c>
      <c r="C119" s="108" t="str">
        <f t="shared" si="2"/>
        <v>Red Dingo</v>
      </c>
      <c r="D119" s="108" t="str">
        <f>IFERROR(__xludf.DUMMYFUNCTION("TEXTJOIN("""", TRUE, ARRAYFORMULA(LEFT(SPLIT(C119, "" ""),1)))"),"RD")</f>
        <v>RD</v>
      </c>
      <c r="E119" s="104"/>
      <c r="F119" s="104" t="s">
        <v>618</v>
      </c>
      <c r="G119" s="110"/>
      <c r="H119" s="110"/>
      <c r="I119" s="110"/>
      <c r="J119" s="110"/>
      <c r="K119" s="110"/>
      <c r="L119" s="110"/>
      <c r="M119" s="111"/>
    </row>
    <row r="120" ht="18.0" customHeight="1">
      <c r="A120" s="107" t="str">
        <f>'analysis _non-RE-nodes'!A122</f>
        <v>Red Fairy Penguin</v>
      </c>
      <c r="B120" s="80" t="str">
        <f t="shared" si="1"/>
        <v>red-fairy-penguin</v>
      </c>
      <c r="C120" s="108" t="str">
        <f t="shared" si="2"/>
        <v>Red Fairy Penguin</v>
      </c>
      <c r="D120" s="108" t="str">
        <f>IFERROR(__xludf.DUMMYFUNCTION("TEXTJOIN("""", TRUE, ARRAYFORMULA(LEFT(SPLIT(C120, "" ""),1)))"),"RFP")</f>
        <v>RFP</v>
      </c>
      <c r="E120" s="104"/>
      <c r="F120" s="104" t="s">
        <v>618</v>
      </c>
      <c r="G120" s="110"/>
      <c r="H120" s="110"/>
      <c r="I120" s="110"/>
      <c r="J120" s="110"/>
      <c r="K120" s="110"/>
      <c r="L120" s="110"/>
      <c r="M120" s="111"/>
    </row>
    <row r="121" ht="18.0" customHeight="1">
      <c r="A121" s="107" t="str">
        <f>'analysis _non-RE-nodes'!A123</f>
        <v>Red Frilled Neck Lizard</v>
      </c>
      <c r="B121" s="80" t="str">
        <f t="shared" si="1"/>
        <v>red-frilled-neck-lizard</v>
      </c>
      <c r="C121" s="108" t="str">
        <f t="shared" si="2"/>
        <v>Red Frilled Neck Lizard</v>
      </c>
      <c r="D121" s="108" t="str">
        <f>IFERROR(__xludf.DUMMYFUNCTION("TEXTJOIN("""", TRUE, ARRAYFORMULA(LEFT(SPLIT(C121, "" ""),1)))"),"RFNL")</f>
        <v>RFNL</v>
      </c>
      <c r="E121" s="104"/>
      <c r="F121" s="104" t="s">
        <v>618</v>
      </c>
      <c r="G121" s="110"/>
      <c r="H121" s="110"/>
      <c r="I121" s="110"/>
      <c r="J121" s="110"/>
      <c r="K121" s="110"/>
      <c r="L121" s="110"/>
      <c r="M121" s="111"/>
    </row>
    <row r="122" ht="18.0" customHeight="1">
      <c r="A122" s="107" t="str">
        <f>'analysis _non-RE-nodes'!A124</f>
        <v>Red Koala</v>
      </c>
      <c r="B122" s="80" t="str">
        <f t="shared" si="1"/>
        <v>red-koala</v>
      </c>
      <c r="C122" s="108" t="str">
        <f t="shared" si="2"/>
        <v>Red Koala</v>
      </c>
      <c r="D122" s="108" t="str">
        <f>IFERROR(__xludf.DUMMYFUNCTION("TEXTJOIN("""", TRUE, ARRAYFORMULA(LEFT(SPLIT(C122, "" ""),1)))"),"RK")</f>
        <v>RK</v>
      </c>
      <c r="E122" s="104"/>
      <c r="F122" s="104" t="s">
        <v>618</v>
      </c>
      <c r="G122" s="110"/>
      <c r="H122" s="110"/>
      <c r="I122" s="110"/>
      <c r="J122" s="110"/>
      <c r="K122" s="110"/>
      <c r="L122" s="110"/>
      <c r="M122" s="111"/>
    </row>
    <row r="123" ht="18.0" customHeight="1">
      <c r="A123" s="107" t="str">
        <f>'analysis _non-RE-nodes'!A125</f>
        <v>Red Numbat</v>
      </c>
      <c r="B123" s="80" t="str">
        <f t="shared" si="1"/>
        <v>red-numbat</v>
      </c>
      <c r="C123" s="108" t="str">
        <f t="shared" si="2"/>
        <v>Red Numbat</v>
      </c>
      <c r="D123" s="108" t="str">
        <f>IFERROR(__xludf.DUMMYFUNCTION("TEXTJOIN("""", TRUE, ARRAYFORMULA(LEFT(SPLIT(C123, "" ""),1)))"),"RN")</f>
        <v>RN</v>
      </c>
      <c r="E123" s="104"/>
      <c r="F123" s="104" t="s">
        <v>618</v>
      </c>
      <c r="G123" s="110"/>
      <c r="H123" s="110"/>
      <c r="I123" s="110"/>
      <c r="J123" s="110"/>
      <c r="K123" s="110"/>
      <c r="L123" s="110"/>
      <c r="M123" s="111"/>
    </row>
    <row r="124" ht="18.0" customHeight="1">
      <c r="A124" s="107" t="str">
        <f>'analysis _non-RE-nodes'!A126</f>
        <v>Red Tasmanian Devil</v>
      </c>
      <c r="B124" s="80" t="str">
        <f t="shared" si="1"/>
        <v>red-tasmanian-devil</v>
      </c>
      <c r="C124" s="108" t="str">
        <f t="shared" si="2"/>
        <v>Red Tasmanian Devil</v>
      </c>
      <c r="D124" s="108" t="str">
        <f>IFERROR(__xludf.DUMMYFUNCTION("TEXTJOIN("""", TRUE, ARRAYFORMULA(LEFT(SPLIT(C124, "" ""),1)))"),"RTD")</f>
        <v>RTD</v>
      </c>
      <c r="E124" s="104"/>
      <c r="F124" s="104" t="s">
        <v>618</v>
      </c>
      <c r="G124" s="110"/>
      <c r="H124" s="110"/>
      <c r="I124" s="110"/>
      <c r="J124" s="110"/>
      <c r="K124" s="110"/>
      <c r="L124" s="110"/>
      <c r="M124" s="111"/>
    </row>
    <row r="125" ht="18.0" customHeight="1">
      <c r="A125" s="107" t="str">
        <f>'analysis _non-RE-nodes'!A127</f>
        <v>Red Thorny Devil</v>
      </c>
      <c r="B125" s="80" t="str">
        <f t="shared" si="1"/>
        <v>red-thorny-devil</v>
      </c>
      <c r="C125" s="108" t="str">
        <f t="shared" si="2"/>
        <v>Red Thorny Devil</v>
      </c>
      <c r="D125" s="108" t="str">
        <f>IFERROR(__xludf.DUMMYFUNCTION("TEXTJOIN("""", TRUE, ARRAYFORMULA(LEFT(SPLIT(C125, "" ""),1)))"),"RTD")</f>
        <v>RTD</v>
      </c>
      <c r="E125" s="104"/>
      <c r="F125" s="104" t="s">
        <v>618</v>
      </c>
      <c r="G125" s="110"/>
      <c r="H125" s="110"/>
      <c r="I125" s="110"/>
      <c r="J125" s="110"/>
      <c r="K125" s="110"/>
      <c r="L125" s="110"/>
      <c r="M125" s="111"/>
    </row>
    <row r="126" ht="18.0" customHeight="1">
      <c r="A126" s="107" t="str">
        <f>'analysis _non-RE-nodes'!A128</f>
        <v>Red Tree Kangaroo</v>
      </c>
      <c r="B126" s="80" t="str">
        <f t="shared" si="1"/>
        <v>red-tree-kangaroo</v>
      </c>
      <c r="C126" s="108" t="str">
        <f t="shared" si="2"/>
        <v>Red Tree Kangaroo</v>
      </c>
      <c r="D126" s="108" t="str">
        <f>IFERROR(__xludf.DUMMYFUNCTION("TEXTJOIN("""", TRUE, ARRAYFORMULA(LEFT(SPLIT(C126, "" ""),1)))"),"RTK")</f>
        <v>RTK</v>
      </c>
      <c r="E126" s="104"/>
      <c r="F126" s="104" t="s">
        <v>618</v>
      </c>
      <c r="G126" s="110"/>
      <c r="H126" s="110"/>
      <c r="I126" s="110"/>
      <c r="J126" s="110"/>
      <c r="K126" s="110"/>
      <c r="L126" s="110"/>
      <c r="M126" s="111"/>
    </row>
    <row r="127" ht="18.0" customHeight="1">
      <c r="A127" s="107" t="str">
        <f>'analysis _non-RE-nodes'!A129</f>
        <v>Red Wombat</v>
      </c>
      <c r="B127" s="80" t="str">
        <f t="shared" si="1"/>
        <v>red-wombat</v>
      </c>
      <c r="C127" s="108" t="str">
        <f t="shared" si="2"/>
        <v>Red Wombat</v>
      </c>
      <c r="D127" s="108" t="str">
        <f>IFERROR(__xludf.DUMMYFUNCTION("TEXTJOIN("""", TRUE, ARRAYFORMULA(LEFT(SPLIT(C127, "" ""),1)))"),"RW")</f>
        <v>RW</v>
      </c>
      <c r="E127" s="104"/>
      <c r="F127" s="104" t="s">
        <v>618</v>
      </c>
      <c r="G127" s="110"/>
      <c r="H127" s="110"/>
      <c r="I127" s="110"/>
      <c r="J127" s="110"/>
      <c r="K127" s="110"/>
      <c r="L127" s="110"/>
      <c r="M127" s="111"/>
    </row>
    <row r="128" ht="18.0" customHeight="1">
      <c r="A128" s="107" t="str">
        <f>'analysis _non-RE-nodes'!A130</f>
        <v>Shy Australian Magpie</v>
      </c>
      <c r="B128" s="80" t="str">
        <f t="shared" si="1"/>
        <v>shy-australian-magpie</v>
      </c>
      <c r="C128" s="108" t="str">
        <f t="shared" si="2"/>
        <v>Shy Australian Magpie</v>
      </c>
      <c r="D128" s="108" t="str">
        <f>IFERROR(__xludf.DUMMYFUNCTION("TEXTJOIN("""", TRUE, ARRAYFORMULA(LEFT(SPLIT(C128, "" ""),1)))"),"SAM")</f>
        <v>SAM</v>
      </c>
      <c r="E128" s="104"/>
      <c r="F128" s="104" t="s">
        <v>618</v>
      </c>
      <c r="G128" s="110"/>
      <c r="H128" s="110"/>
      <c r="I128" s="110"/>
      <c r="J128" s="110"/>
      <c r="K128" s="110"/>
      <c r="L128" s="110"/>
      <c r="M128" s="111"/>
    </row>
    <row r="129" ht="18.0" customHeight="1">
      <c r="A129" s="107" t="str">
        <f>'analysis _non-RE-nodes'!A131</f>
        <v>Shy Bilby</v>
      </c>
      <c r="B129" s="80" t="str">
        <f t="shared" si="1"/>
        <v>shy-bilby</v>
      </c>
      <c r="C129" s="108" t="str">
        <f t="shared" si="2"/>
        <v>Shy Bilby</v>
      </c>
      <c r="D129" s="108" t="str">
        <f>IFERROR(__xludf.DUMMYFUNCTION("TEXTJOIN("""", TRUE, ARRAYFORMULA(LEFT(SPLIT(C129, "" ""),1)))"),"SB")</f>
        <v>SB</v>
      </c>
      <c r="E129" s="104"/>
      <c r="F129" s="104" t="s">
        <v>618</v>
      </c>
      <c r="G129" s="110"/>
      <c r="H129" s="110"/>
      <c r="I129" s="110"/>
      <c r="J129" s="110"/>
      <c r="K129" s="110"/>
      <c r="L129" s="110"/>
      <c r="M129" s="111"/>
    </row>
    <row r="130" ht="18.0" customHeight="1">
      <c r="A130" s="107" t="str">
        <f>'analysis _non-RE-nodes'!A132</f>
        <v>Shy Blue-tongue Skink</v>
      </c>
      <c r="B130" s="80" t="str">
        <f t="shared" si="1"/>
        <v>shy-blue-tongue-skink</v>
      </c>
      <c r="C130" s="108" t="str">
        <f t="shared" si="2"/>
        <v>Shy Blue-tongue Skink</v>
      </c>
      <c r="D130" s="108" t="str">
        <f>IFERROR(__xludf.DUMMYFUNCTION("TEXTJOIN("""", TRUE, ARRAYFORMULA(LEFT(SPLIT(C130, "" ""),1)))"),"SBS")</f>
        <v>SBS</v>
      </c>
      <c r="E130" s="104"/>
      <c r="F130" s="104" t="s">
        <v>618</v>
      </c>
      <c r="G130" s="110"/>
      <c r="H130" s="110"/>
      <c r="I130" s="110"/>
      <c r="J130" s="110"/>
      <c r="K130" s="110"/>
      <c r="L130" s="110"/>
      <c r="M130" s="111"/>
    </row>
    <row r="131" ht="18.0" customHeight="1">
      <c r="A131" s="107" t="str">
        <f>'analysis _non-RE-nodes'!A133</f>
        <v>Shy Cockatoo</v>
      </c>
      <c r="B131" s="80" t="str">
        <f t="shared" si="1"/>
        <v>shy-cockatoo</v>
      </c>
      <c r="C131" s="108" t="str">
        <f t="shared" si="2"/>
        <v>Shy Cockatoo</v>
      </c>
      <c r="D131" s="108" t="str">
        <f>IFERROR(__xludf.DUMMYFUNCTION("TEXTJOIN("""", TRUE, ARRAYFORMULA(LEFT(SPLIT(C131, "" ""),1)))"),"SC")</f>
        <v>SC</v>
      </c>
      <c r="E131" s="104"/>
      <c r="F131" s="104" t="s">
        <v>618</v>
      </c>
      <c r="G131" s="110"/>
      <c r="H131" s="110"/>
      <c r="I131" s="110"/>
      <c r="J131" s="110"/>
      <c r="K131" s="110"/>
      <c r="L131" s="110"/>
      <c r="M131" s="111"/>
    </row>
    <row r="132" ht="18.0" customHeight="1">
      <c r="A132" s="107" t="str">
        <f>'analysis _non-RE-nodes'!A134</f>
        <v>Shy Dingo</v>
      </c>
      <c r="B132" s="80" t="str">
        <f t="shared" si="1"/>
        <v>shy-dingo</v>
      </c>
      <c r="C132" s="108" t="str">
        <f t="shared" si="2"/>
        <v>Shy Dingo</v>
      </c>
      <c r="D132" s="108" t="str">
        <f>IFERROR(__xludf.DUMMYFUNCTION("TEXTJOIN("""", TRUE, ARRAYFORMULA(LEFT(SPLIT(C132, "" ""),1)))"),"SD")</f>
        <v>SD</v>
      </c>
      <c r="E132" s="104"/>
      <c r="F132" s="104" t="s">
        <v>618</v>
      </c>
      <c r="G132" s="110"/>
      <c r="H132" s="110"/>
      <c r="I132" s="110"/>
      <c r="J132" s="110"/>
      <c r="K132" s="110"/>
      <c r="L132" s="110"/>
      <c r="M132" s="111"/>
    </row>
    <row r="133" ht="18.0" customHeight="1">
      <c r="A133" s="107" t="str">
        <f>'analysis _non-RE-nodes'!A135</f>
        <v>Shy Echidna</v>
      </c>
      <c r="B133" s="80" t="str">
        <f t="shared" si="1"/>
        <v>shy-echidna</v>
      </c>
      <c r="C133" s="108" t="str">
        <f t="shared" si="2"/>
        <v>Shy Echidna</v>
      </c>
      <c r="D133" s="108" t="str">
        <f>IFERROR(__xludf.DUMMYFUNCTION("TEXTJOIN("""", TRUE, ARRAYFORMULA(LEFT(SPLIT(C133, "" ""),1)))"),"SE")</f>
        <v>SE</v>
      </c>
      <c r="E133" s="104"/>
      <c r="F133" s="104" t="s">
        <v>618</v>
      </c>
      <c r="G133" s="110"/>
      <c r="H133" s="110"/>
      <c r="I133" s="110"/>
      <c r="J133" s="110"/>
      <c r="K133" s="110"/>
      <c r="L133" s="110"/>
      <c r="M133" s="111"/>
    </row>
    <row r="134" ht="18.0" customHeight="1">
      <c r="A134" s="107" t="str">
        <f>'analysis _non-RE-nodes'!A136</f>
        <v>Shy Frilled Neck Lizard</v>
      </c>
      <c r="B134" s="80" t="str">
        <f t="shared" si="1"/>
        <v>shy-frilled-neck-lizard</v>
      </c>
      <c r="C134" s="108" t="str">
        <f t="shared" si="2"/>
        <v>Shy Frilled Neck Lizard</v>
      </c>
      <c r="D134" s="108" t="str">
        <f>IFERROR(__xludf.DUMMYFUNCTION("TEXTJOIN("""", TRUE, ARRAYFORMULA(LEFT(SPLIT(C134, "" ""),1)))"),"SFNL")</f>
        <v>SFNL</v>
      </c>
      <c r="E134" s="104"/>
      <c r="F134" s="104" t="s">
        <v>618</v>
      </c>
      <c r="G134" s="110"/>
      <c r="H134" s="110"/>
      <c r="I134" s="110"/>
      <c r="J134" s="110"/>
      <c r="K134" s="110"/>
      <c r="L134" s="110"/>
      <c r="M134" s="111"/>
    </row>
    <row r="135" ht="18.0" customHeight="1">
      <c r="A135" s="107" t="str">
        <f>'analysis _non-RE-nodes'!A137</f>
        <v>Shy Koala</v>
      </c>
      <c r="B135" s="80" t="str">
        <f t="shared" si="1"/>
        <v>shy-koala</v>
      </c>
      <c r="C135" s="108" t="str">
        <f t="shared" si="2"/>
        <v>Shy Koala</v>
      </c>
      <c r="D135" s="108" t="str">
        <f>IFERROR(__xludf.DUMMYFUNCTION("TEXTJOIN("""", TRUE, ARRAYFORMULA(LEFT(SPLIT(C135, "" ""),1)))"),"SK")</f>
        <v>SK</v>
      </c>
      <c r="E135" s="104"/>
      <c r="F135" s="104" t="s">
        <v>618</v>
      </c>
      <c r="G135" s="110"/>
      <c r="H135" s="110"/>
      <c r="I135" s="110"/>
      <c r="J135" s="110"/>
      <c r="K135" s="110"/>
      <c r="L135" s="110"/>
      <c r="M135" s="111"/>
    </row>
    <row r="136" ht="18.0" customHeight="1">
      <c r="A136" s="107" t="str">
        <f>'analysis _non-RE-nodes'!A138</f>
        <v>Shy Kookaburra</v>
      </c>
      <c r="B136" s="80" t="str">
        <f t="shared" si="1"/>
        <v>shy-kookaburra</v>
      </c>
      <c r="C136" s="108" t="str">
        <f t="shared" si="2"/>
        <v>Shy Kookaburra</v>
      </c>
      <c r="D136" s="108" t="str">
        <f>IFERROR(__xludf.DUMMYFUNCTION("TEXTJOIN("""", TRUE, ARRAYFORMULA(LEFT(SPLIT(C136, "" ""),1)))"),"SK")</f>
        <v>SK</v>
      </c>
      <c r="E136" s="104"/>
      <c r="F136" s="104" t="s">
        <v>618</v>
      </c>
      <c r="G136" s="110"/>
      <c r="H136" s="110"/>
      <c r="I136" s="110"/>
      <c r="J136" s="110"/>
      <c r="K136" s="110"/>
      <c r="L136" s="110"/>
      <c r="M136" s="111"/>
    </row>
    <row r="137" ht="18.0" customHeight="1">
      <c r="A137" s="107" t="str">
        <f>'analysis _non-RE-nodes'!A139</f>
        <v>Shy Lyrebird</v>
      </c>
      <c r="B137" s="80" t="str">
        <f t="shared" si="1"/>
        <v>shy-lyrebird</v>
      </c>
      <c r="C137" s="108" t="str">
        <f t="shared" si="2"/>
        <v>Shy Lyrebird</v>
      </c>
      <c r="D137" s="108" t="str">
        <f>IFERROR(__xludf.DUMMYFUNCTION("TEXTJOIN("""", TRUE, ARRAYFORMULA(LEFT(SPLIT(C137, "" ""),1)))"),"SL")</f>
        <v>SL</v>
      </c>
      <c r="E137" s="104"/>
      <c r="F137" s="104" t="s">
        <v>618</v>
      </c>
      <c r="G137" s="110"/>
      <c r="H137" s="110"/>
      <c r="I137" s="110"/>
      <c r="J137" s="110"/>
      <c r="K137" s="110"/>
      <c r="L137" s="110"/>
      <c r="M137" s="111"/>
    </row>
    <row r="138" ht="18.0" customHeight="1">
      <c r="A138" s="107" t="str">
        <f>'analysis _non-RE-nodes'!A140</f>
        <v>Shy Numbat</v>
      </c>
      <c r="B138" s="80" t="str">
        <f t="shared" si="1"/>
        <v>shy-numbat</v>
      </c>
      <c r="C138" s="108" t="str">
        <f t="shared" si="2"/>
        <v>Shy Numbat</v>
      </c>
      <c r="D138" s="108" t="str">
        <f>IFERROR(__xludf.DUMMYFUNCTION("TEXTJOIN("""", TRUE, ARRAYFORMULA(LEFT(SPLIT(C138, "" ""),1)))"),"SN")</f>
        <v>SN</v>
      </c>
      <c r="E138" s="104"/>
      <c r="F138" s="104" t="s">
        <v>618</v>
      </c>
      <c r="G138" s="110"/>
      <c r="H138" s="110"/>
      <c r="I138" s="110"/>
      <c r="J138" s="110"/>
      <c r="K138" s="110"/>
      <c r="L138" s="110"/>
      <c r="M138" s="111"/>
    </row>
    <row r="139" ht="18.0" customHeight="1">
      <c r="A139" s="107" t="str">
        <f>'analysis _non-RE-nodes'!A141</f>
        <v>Shy Platypus</v>
      </c>
      <c r="B139" s="80" t="str">
        <f t="shared" si="1"/>
        <v>shy-platypus</v>
      </c>
      <c r="C139" s="108" t="str">
        <f t="shared" si="2"/>
        <v>Shy Platypus</v>
      </c>
      <c r="D139" s="108" t="str">
        <f>IFERROR(__xludf.DUMMYFUNCTION("TEXTJOIN("""", TRUE, ARRAYFORMULA(LEFT(SPLIT(C139, "" ""),1)))"),"SP")</f>
        <v>SP</v>
      </c>
      <c r="E139" s="104"/>
      <c r="F139" s="104" t="s">
        <v>618</v>
      </c>
      <c r="G139" s="110"/>
      <c r="H139" s="110"/>
      <c r="I139" s="110"/>
      <c r="J139" s="110"/>
      <c r="K139" s="110"/>
      <c r="L139" s="110"/>
      <c r="M139" s="111"/>
    </row>
    <row r="140" ht="18.0" customHeight="1">
      <c r="A140" s="107" t="str">
        <f>'analysis _non-RE-nodes'!A142</f>
        <v>Shy Possum</v>
      </c>
      <c r="B140" s="80" t="str">
        <f t="shared" si="1"/>
        <v>shy-possum</v>
      </c>
      <c r="C140" s="108" t="str">
        <f t="shared" si="2"/>
        <v>Shy Possum</v>
      </c>
      <c r="D140" s="108" t="str">
        <f>IFERROR(__xludf.DUMMYFUNCTION("TEXTJOIN("""", TRUE, ARRAYFORMULA(LEFT(SPLIT(C140, "" ""),1)))"),"SP")</f>
        <v>SP</v>
      </c>
      <c r="E140" s="104"/>
      <c r="F140" s="104" t="s">
        <v>618</v>
      </c>
      <c r="G140" s="110"/>
      <c r="H140" s="110"/>
      <c r="I140" s="110"/>
      <c r="J140" s="110"/>
      <c r="K140" s="110"/>
      <c r="L140" s="110"/>
      <c r="M140" s="111"/>
    </row>
    <row r="141" ht="18.0" customHeight="1">
      <c r="A141" s="107" t="str">
        <f>'analysis _non-RE-nodes'!A143</f>
        <v>Shy Quokka</v>
      </c>
      <c r="B141" s="80" t="str">
        <f t="shared" si="1"/>
        <v>shy-quokka</v>
      </c>
      <c r="C141" s="108" t="str">
        <f t="shared" si="2"/>
        <v>Shy Quokka</v>
      </c>
      <c r="D141" s="108" t="str">
        <f>IFERROR(__xludf.DUMMYFUNCTION("TEXTJOIN("""", TRUE, ARRAYFORMULA(LEFT(SPLIT(C141, "" ""),1)))"),"SQ")</f>
        <v>SQ</v>
      </c>
      <c r="E141" s="104"/>
      <c r="F141" s="104" t="s">
        <v>618</v>
      </c>
      <c r="G141" s="110"/>
      <c r="H141" s="110"/>
      <c r="I141" s="110"/>
      <c r="J141" s="110"/>
      <c r="K141" s="110"/>
      <c r="L141" s="110"/>
      <c r="M141" s="111"/>
    </row>
    <row r="142" ht="18.0" customHeight="1">
      <c r="A142" s="107" t="str">
        <f>'analysis _non-RE-nodes'!A144</f>
        <v>Shy Tasmanian Devil</v>
      </c>
      <c r="B142" s="80" t="str">
        <f t="shared" si="1"/>
        <v>shy-tasmanian-devil</v>
      </c>
      <c r="C142" s="108" t="str">
        <f t="shared" si="2"/>
        <v>Shy Tasmanian Devil</v>
      </c>
      <c r="D142" s="108" t="str">
        <f>IFERROR(__xludf.DUMMYFUNCTION("TEXTJOIN("""", TRUE, ARRAYFORMULA(LEFT(SPLIT(C142, "" ""),1)))"),"STD")</f>
        <v>STD</v>
      </c>
      <c r="E142" s="104"/>
      <c r="F142" s="104" t="s">
        <v>618</v>
      </c>
      <c r="G142" s="110"/>
      <c r="H142" s="110"/>
      <c r="I142" s="110"/>
      <c r="J142" s="110"/>
      <c r="K142" s="110"/>
      <c r="L142" s="110"/>
      <c r="M142" s="111"/>
    </row>
    <row r="143" ht="18.0" customHeight="1">
      <c r="A143" s="107" t="str">
        <f>'analysis _non-RE-nodes'!A145</f>
        <v>Shy Wallaby</v>
      </c>
      <c r="B143" s="80" t="str">
        <f t="shared" si="1"/>
        <v>shy-wallaby</v>
      </c>
      <c r="C143" s="108" t="str">
        <f t="shared" si="2"/>
        <v>Shy Wallaby</v>
      </c>
      <c r="D143" s="108" t="str">
        <f>IFERROR(__xludf.DUMMYFUNCTION("TEXTJOIN("""", TRUE, ARRAYFORMULA(LEFT(SPLIT(C143, "" ""),1)))"),"SW")</f>
        <v>SW</v>
      </c>
      <c r="E143" s="104"/>
      <c r="F143" s="104" t="s">
        <v>618</v>
      </c>
      <c r="G143" s="110"/>
      <c r="H143" s="110"/>
      <c r="I143" s="110"/>
      <c r="J143" s="110"/>
      <c r="K143" s="110"/>
      <c r="L143" s="110"/>
      <c r="M143" s="111"/>
    </row>
    <row r="144" ht="18.0" customHeight="1">
      <c r="A144" s="107" t="str">
        <f>'analysis _non-RE-nodes'!A146</f>
        <v>Silent Bandicoot</v>
      </c>
      <c r="B144" s="80" t="str">
        <f t="shared" si="1"/>
        <v>silent-bandicoot</v>
      </c>
      <c r="C144" s="108" t="str">
        <f t="shared" si="2"/>
        <v>Silent Bandicoot</v>
      </c>
      <c r="D144" s="108" t="str">
        <f>IFERROR(__xludf.DUMMYFUNCTION("TEXTJOIN("""", TRUE, ARRAYFORMULA(LEFT(SPLIT(C144, "" ""),1)))"),"SB")</f>
        <v>SB</v>
      </c>
      <c r="E144" s="104"/>
      <c r="F144" s="104" t="s">
        <v>618</v>
      </c>
      <c r="G144" s="110"/>
      <c r="H144" s="110"/>
      <c r="I144" s="110"/>
      <c r="J144" s="110"/>
      <c r="K144" s="110"/>
      <c r="L144" s="110"/>
      <c r="M144" s="111"/>
    </row>
    <row r="145" ht="18.0" customHeight="1">
      <c r="A145" s="107" t="str">
        <f>'analysis _non-RE-nodes'!A147</f>
        <v>Silent Cassowary</v>
      </c>
      <c r="B145" s="80" t="str">
        <f t="shared" si="1"/>
        <v>silent-cassowary</v>
      </c>
      <c r="C145" s="108" t="str">
        <f t="shared" si="2"/>
        <v>Silent Cassowary</v>
      </c>
      <c r="D145" s="108" t="str">
        <f>IFERROR(__xludf.DUMMYFUNCTION("TEXTJOIN("""", TRUE, ARRAYFORMULA(LEFT(SPLIT(C145, "" ""),1)))"),"SC")</f>
        <v>SC</v>
      </c>
      <c r="E145" s="104"/>
      <c r="F145" s="104" t="s">
        <v>618</v>
      </c>
      <c r="G145" s="110"/>
      <c r="H145" s="110"/>
      <c r="I145" s="110"/>
      <c r="J145" s="110"/>
      <c r="K145" s="110"/>
      <c r="L145" s="110"/>
      <c r="M145" s="111"/>
    </row>
    <row r="146" ht="18.0" customHeight="1">
      <c r="A146" s="107" t="str">
        <f>'analysis _non-RE-nodes'!A148</f>
        <v>Silent Fairy Penguin</v>
      </c>
      <c r="B146" s="80" t="str">
        <f t="shared" si="1"/>
        <v>silent-fairy-penguin</v>
      </c>
      <c r="C146" s="108" t="str">
        <f t="shared" si="2"/>
        <v>Silent Fairy Penguin</v>
      </c>
      <c r="D146" s="108" t="str">
        <f>IFERROR(__xludf.DUMMYFUNCTION("TEXTJOIN("""", TRUE, ARRAYFORMULA(LEFT(SPLIT(C146, "" ""),1)))"),"SFP")</f>
        <v>SFP</v>
      </c>
      <c r="E146" s="104"/>
      <c r="F146" s="104" t="s">
        <v>618</v>
      </c>
      <c r="G146" s="110"/>
      <c r="H146" s="110"/>
      <c r="I146" s="110"/>
      <c r="J146" s="110"/>
      <c r="K146" s="110"/>
      <c r="L146" s="110"/>
      <c r="M146" s="111"/>
    </row>
    <row r="147" ht="18.0" customHeight="1">
      <c r="A147" s="107" t="str">
        <f>'analysis _non-RE-nodes'!A149</f>
        <v>Silent Goanna</v>
      </c>
      <c r="B147" s="80" t="str">
        <f t="shared" si="1"/>
        <v>silent-goanna</v>
      </c>
      <c r="C147" s="108" t="str">
        <f t="shared" si="2"/>
        <v>Silent Goanna</v>
      </c>
      <c r="D147" s="108" t="str">
        <f>IFERROR(__xludf.DUMMYFUNCTION("TEXTJOIN("""", TRUE, ARRAYFORMULA(LEFT(SPLIT(C147, "" ""),1)))"),"SG")</f>
        <v>SG</v>
      </c>
      <c r="E147" s="104"/>
      <c r="F147" s="104" t="s">
        <v>618</v>
      </c>
      <c r="G147" s="110"/>
      <c r="H147" s="110"/>
      <c r="I147" s="110"/>
      <c r="J147" s="110"/>
      <c r="K147" s="110"/>
      <c r="L147" s="110"/>
      <c r="M147" s="111"/>
    </row>
    <row r="148" ht="18.0" customHeight="1">
      <c r="A148" s="107" t="str">
        <f>'analysis _non-RE-nodes'!A150</f>
        <v>Silent Kangaroo</v>
      </c>
      <c r="B148" s="80" t="str">
        <f t="shared" si="1"/>
        <v>silent-kangaroo</v>
      </c>
      <c r="C148" s="108" t="str">
        <f t="shared" si="2"/>
        <v>Silent Kangaroo</v>
      </c>
      <c r="D148" s="108" t="str">
        <f>IFERROR(__xludf.DUMMYFUNCTION("TEXTJOIN("""", TRUE, ARRAYFORMULA(LEFT(SPLIT(C148, "" ""),1)))"),"SK")</f>
        <v>SK</v>
      </c>
      <c r="E148" s="104"/>
      <c r="F148" s="104" t="s">
        <v>618</v>
      </c>
      <c r="G148" s="110"/>
      <c r="H148" s="110"/>
      <c r="I148" s="110"/>
      <c r="J148" s="110"/>
      <c r="K148" s="110"/>
      <c r="L148" s="110"/>
      <c r="M148" s="111"/>
    </row>
    <row r="149" ht="18.0" customHeight="1">
      <c r="A149" s="107" t="str">
        <f>'analysis _non-RE-nodes'!A151</f>
        <v>Silent Numbat</v>
      </c>
      <c r="B149" s="80" t="str">
        <f t="shared" si="1"/>
        <v>silent-numbat</v>
      </c>
      <c r="C149" s="108" t="str">
        <f t="shared" si="2"/>
        <v>Silent Numbat</v>
      </c>
      <c r="D149" s="108" t="str">
        <f>IFERROR(__xludf.DUMMYFUNCTION("TEXTJOIN("""", TRUE, ARRAYFORMULA(LEFT(SPLIT(C149, "" ""),1)))"),"SN")</f>
        <v>SN</v>
      </c>
      <c r="E149" s="104"/>
      <c r="F149" s="104" t="s">
        <v>618</v>
      </c>
      <c r="G149" s="110"/>
      <c r="H149" s="110"/>
      <c r="I149" s="110"/>
      <c r="J149" s="110"/>
      <c r="K149" s="110"/>
      <c r="L149" s="110"/>
      <c r="M149" s="111"/>
    </row>
    <row r="150" ht="18.0" customHeight="1">
      <c r="A150" s="107" t="str">
        <f>'analysis _non-RE-nodes'!A152</f>
        <v>Silent Possum</v>
      </c>
      <c r="B150" s="80" t="str">
        <f t="shared" si="1"/>
        <v>silent-possum</v>
      </c>
      <c r="C150" s="108" t="str">
        <f t="shared" si="2"/>
        <v>Silent Possum</v>
      </c>
      <c r="D150" s="108" t="str">
        <f>IFERROR(__xludf.DUMMYFUNCTION("TEXTJOIN("""", TRUE, ARRAYFORMULA(LEFT(SPLIT(C150, "" ""),1)))"),"SP")</f>
        <v>SP</v>
      </c>
      <c r="E150" s="104"/>
      <c r="F150" s="104" t="s">
        <v>618</v>
      </c>
      <c r="G150" s="110"/>
      <c r="H150" s="110"/>
      <c r="I150" s="110"/>
      <c r="J150" s="110"/>
      <c r="K150" s="110"/>
      <c r="L150" s="110"/>
      <c r="M150" s="111"/>
    </row>
    <row r="151" ht="18.0" customHeight="1">
      <c r="A151" s="107" t="str">
        <f>'analysis _non-RE-nodes'!A153</f>
        <v>Silent Quokka</v>
      </c>
      <c r="B151" s="80" t="str">
        <f t="shared" si="1"/>
        <v>silent-quokka</v>
      </c>
      <c r="C151" s="108" t="str">
        <f t="shared" si="2"/>
        <v>Silent Quokka</v>
      </c>
      <c r="D151" s="108" t="str">
        <f>IFERROR(__xludf.DUMMYFUNCTION("TEXTJOIN("""", TRUE, ARRAYFORMULA(LEFT(SPLIT(C151, "" ""),1)))"),"SQ")</f>
        <v>SQ</v>
      </c>
      <c r="E151" s="104"/>
      <c r="F151" s="104" t="s">
        <v>618</v>
      </c>
      <c r="G151" s="110"/>
      <c r="H151" s="110"/>
      <c r="I151" s="110"/>
      <c r="J151" s="110"/>
      <c r="K151" s="110"/>
      <c r="L151" s="110"/>
      <c r="M151" s="111"/>
    </row>
    <row r="152" ht="18.0" customHeight="1">
      <c r="A152" s="107" t="str">
        <f>'analysis _non-RE-nodes'!A154</f>
        <v>Silent Sugar Glider</v>
      </c>
      <c r="B152" s="80" t="str">
        <f t="shared" si="1"/>
        <v>silent-sugar-glider</v>
      </c>
      <c r="C152" s="108" t="str">
        <f t="shared" si="2"/>
        <v>Silent Sugar Glider</v>
      </c>
      <c r="D152" s="108" t="str">
        <f>IFERROR(__xludf.DUMMYFUNCTION("TEXTJOIN("""", TRUE, ARRAYFORMULA(LEFT(SPLIT(C152, "" ""),1)))"),"SSG")</f>
        <v>SSG</v>
      </c>
      <c r="E152" s="104"/>
      <c r="F152" s="104" t="s">
        <v>618</v>
      </c>
      <c r="G152" s="110"/>
      <c r="H152" s="110"/>
      <c r="I152" s="110"/>
      <c r="J152" s="110"/>
      <c r="K152" s="110"/>
      <c r="L152" s="110"/>
      <c r="M152" s="111"/>
    </row>
    <row r="153" ht="18.0" customHeight="1">
      <c r="A153" s="107" t="str">
        <f>'analysis _non-RE-nodes'!A155</f>
        <v>Silent Wallaby</v>
      </c>
      <c r="B153" s="80" t="str">
        <f t="shared" si="1"/>
        <v>silent-wallaby</v>
      </c>
      <c r="C153" s="108" t="str">
        <f t="shared" si="2"/>
        <v>Silent Wallaby</v>
      </c>
      <c r="D153" s="108" t="str">
        <f>IFERROR(__xludf.DUMMYFUNCTION("TEXTJOIN("""", TRUE, ARRAYFORMULA(LEFT(SPLIT(C153, "" ""),1)))"),"SW")</f>
        <v>SW</v>
      </c>
      <c r="E153" s="104"/>
      <c r="F153" s="104" t="s">
        <v>618</v>
      </c>
      <c r="G153" s="110"/>
      <c r="H153" s="110"/>
      <c r="I153" s="110"/>
      <c r="J153" s="110"/>
      <c r="K153" s="110"/>
      <c r="L153" s="110"/>
      <c r="M153" s="111"/>
    </row>
    <row r="154" ht="18.0" customHeight="1">
      <c r="A154" s="107" t="str">
        <f>'analysis _non-RE-nodes'!A156</f>
        <v>Sleepy Bandicoot</v>
      </c>
      <c r="B154" s="80" t="str">
        <f t="shared" si="1"/>
        <v>sleepy-bandicoot</v>
      </c>
      <c r="C154" s="108" t="str">
        <f t="shared" si="2"/>
        <v>Sleepy Bandicoot</v>
      </c>
      <c r="D154" s="108" t="str">
        <f>IFERROR(__xludf.DUMMYFUNCTION("TEXTJOIN("""", TRUE, ARRAYFORMULA(LEFT(SPLIT(C154, "" ""),1)))"),"SB")</f>
        <v>SB</v>
      </c>
      <c r="E154" s="104"/>
      <c r="F154" s="104" t="s">
        <v>618</v>
      </c>
      <c r="G154" s="110"/>
      <c r="H154" s="110"/>
      <c r="I154" s="110"/>
      <c r="J154" s="110"/>
      <c r="K154" s="110"/>
      <c r="L154" s="110"/>
      <c r="M154" s="111"/>
    </row>
    <row r="155" ht="18.0" customHeight="1">
      <c r="A155" s="107" t="str">
        <f>'analysis _non-RE-nodes'!A157</f>
        <v>Sleepy Cassowary</v>
      </c>
      <c r="B155" s="80" t="str">
        <f t="shared" si="1"/>
        <v>sleepy-cassowary</v>
      </c>
      <c r="C155" s="108" t="str">
        <f t="shared" si="2"/>
        <v>Sleepy Cassowary</v>
      </c>
      <c r="D155" s="108" t="str">
        <f>IFERROR(__xludf.DUMMYFUNCTION("TEXTJOIN("""", TRUE, ARRAYFORMULA(LEFT(SPLIT(C155, "" ""),1)))"),"SC")</f>
        <v>SC</v>
      </c>
      <c r="E155" s="104"/>
      <c r="F155" s="104" t="s">
        <v>618</v>
      </c>
      <c r="G155" s="110"/>
      <c r="H155" s="110"/>
      <c r="I155" s="110"/>
      <c r="J155" s="110"/>
      <c r="K155" s="110"/>
      <c r="L155" s="110"/>
      <c r="M155" s="111"/>
    </row>
    <row r="156" ht="18.0" customHeight="1">
      <c r="A156" s="107" t="str">
        <f>'analysis _non-RE-nodes'!A158</f>
        <v>Sleepy Fairy Penguin</v>
      </c>
      <c r="B156" s="80" t="str">
        <f t="shared" si="1"/>
        <v>sleepy-fairy-penguin</v>
      </c>
      <c r="C156" s="108" t="str">
        <f t="shared" si="2"/>
        <v>Sleepy Fairy Penguin</v>
      </c>
      <c r="D156" s="108" t="str">
        <f>IFERROR(__xludf.DUMMYFUNCTION("TEXTJOIN("""", TRUE, ARRAYFORMULA(LEFT(SPLIT(C156, "" ""),1)))"),"SFP")</f>
        <v>SFP</v>
      </c>
      <c r="E156" s="104"/>
      <c r="F156" s="104" t="s">
        <v>618</v>
      </c>
      <c r="G156" s="110"/>
      <c r="H156" s="110"/>
      <c r="I156" s="110"/>
      <c r="J156" s="110"/>
      <c r="K156" s="110"/>
      <c r="L156" s="110"/>
      <c r="M156" s="111"/>
    </row>
    <row r="157" ht="18.0" customHeight="1">
      <c r="A157" s="107" t="str">
        <f>'analysis _non-RE-nodes'!A159</f>
        <v>Sleepy Koala</v>
      </c>
      <c r="B157" s="80" t="str">
        <f t="shared" si="1"/>
        <v>sleepy-koala</v>
      </c>
      <c r="C157" s="108" t="str">
        <f t="shared" si="2"/>
        <v>Sleepy Koala</v>
      </c>
      <c r="D157" s="108" t="str">
        <f>IFERROR(__xludf.DUMMYFUNCTION("TEXTJOIN("""", TRUE, ARRAYFORMULA(LEFT(SPLIT(C157, "" ""),1)))"),"SK")</f>
        <v>SK</v>
      </c>
      <c r="E157" s="104"/>
      <c r="F157" s="104" t="s">
        <v>618</v>
      </c>
      <c r="G157" s="110"/>
      <c r="H157" s="110"/>
      <c r="I157" s="110"/>
      <c r="J157" s="110"/>
      <c r="K157" s="110"/>
      <c r="L157" s="110"/>
      <c r="M157" s="111"/>
    </row>
    <row r="158" ht="18.0" customHeight="1">
      <c r="A158" s="107" t="str">
        <f>'analysis _non-RE-nodes'!A160</f>
        <v>Sleepy Kookaburra</v>
      </c>
      <c r="B158" s="80" t="str">
        <f t="shared" si="1"/>
        <v>sleepy-kookaburra</v>
      </c>
      <c r="C158" s="108" t="str">
        <f t="shared" si="2"/>
        <v>Sleepy Kookaburra</v>
      </c>
      <c r="D158" s="108" t="str">
        <f>IFERROR(__xludf.DUMMYFUNCTION("TEXTJOIN("""", TRUE, ARRAYFORMULA(LEFT(SPLIT(C158, "" ""),1)))"),"SK")</f>
        <v>SK</v>
      </c>
      <c r="E158" s="104"/>
      <c r="F158" s="104" t="s">
        <v>618</v>
      </c>
      <c r="G158" s="110"/>
      <c r="H158" s="110"/>
      <c r="I158" s="110"/>
      <c r="J158" s="110"/>
      <c r="K158" s="110"/>
      <c r="L158" s="110"/>
      <c r="M158" s="111"/>
    </row>
    <row r="159" ht="18.0" customHeight="1">
      <c r="A159" s="107" t="str">
        <f>'analysis _non-RE-nodes'!A161</f>
        <v>Sleepy Lyrebird</v>
      </c>
      <c r="B159" s="80" t="str">
        <f t="shared" si="1"/>
        <v>sleepy-lyrebird</v>
      </c>
      <c r="C159" s="108" t="str">
        <f t="shared" si="2"/>
        <v>Sleepy Lyrebird</v>
      </c>
      <c r="D159" s="108" t="str">
        <f>IFERROR(__xludf.DUMMYFUNCTION("TEXTJOIN("""", TRUE, ARRAYFORMULA(LEFT(SPLIT(C159, "" ""),1)))"),"SL")</f>
        <v>SL</v>
      </c>
      <c r="E159" s="104"/>
      <c r="F159" s="104" t="s">
        <v>618</v>
      </c>
      <c r="G159" s="110"/>
      <c r="H159" s="110"/>
      <c r="I159" s="110"/>
      <c r="J159" s="110"/>
      <c r="K159" s="110"/>
      <c r="L159" s="110"/>
      <c r="M159" s="111"/>
    </row>
    <row r="160" ht="18.0" customHeight="1">
      <c r="A160" s="107" t="str">
        <f>'analysis _non-RE-nodes'!A162</f>
        <v>Sleepy Numbat</v>
      </c>
      <c r="B160" s="80" t="str">
        <f t="shared" si="1"/>
        <v>sleepy-numbat</v>
      </c>
      <c r="C160" s="108" t="str">
        <f t="shared" si="2"/>
        <v>Sleepy Numbat</v>
      </c>
      <c r="D160" s="108" t="str">
        <f>IFERROR(__xludf.DUMMYFUNCTION("TEXTJOIN("""", TRUE, ARRAYFORMULA(LEFT(SPLIT(C160, "" ""),1)))"),"SN")</f>
        <v>SN</v>
      </c>
      <c r="E160" s="104"/>
      <c r="F160" s="104" t="s">
        <v>618</v>
      </c>
      <c r="G160" s="110"/>
      <c r="H160" s="110"/>
      <c r="I160" s="110"/>
      <c r="J160" s="110"/>
      <c r="K160" s="110"/>
      <c r="L160" s="110"/>
      <c r="M160" s="111"/>
    </row>
    <row r="161" ht="18.0" customHeight="1">
      <c r="A161" s="107" t="str">
        <f>'analysis _non-RE-nodes'!A163</f>
        <v>Sleepy Perentie</v>
      </c>
      <c r="B161" s="80" t="str">
        <f t="shared" si="1"/>
        <v>sleepy-perentie</v>
      </c>
      <c r="C161" s="108" t="str">
        <f t="shared" si="2"/>
        <v>Sleepy Perentie</v>
      </c>
      <c r="D161" s="108" t="str">
        <f>IFERROR(__xludf.DUMMYFUNCTION("TEXTJOIN("""", TRUE, ARRAYFORMULA(LEFT(SPLIT(C161, "" ""),1)))"),"SP")</f>
        <v>SP</v>
      </c>
      <c r="E161" s="104"/>
      <c r="F161" s="104" t="s">
        <v>618</v>
      </c>
      <c r="G161" s="110"/>
      <c r="H161" s="110"/>
      <c r="I161" s="110"/>
      <c r="J161" s="110"/>
      <c r="K161" s="110"/>
      <c r="L161" s="110"/>
      <c r="M161" s="111"/>
    </row>
    <row r="162" ht="18.0" customHeight="1">
      <c r="A162" s="107" t="str">
        <f>'analysis _non-RE-nodes'!A164</f>
        <v>Sleepy Platypus</v>
      </c>
      <c r="B162" s="80" t="str">
        <f t="shared" si="1"/>
        <v>sleepy-platypus</v>
      </c>
      <c r="C162" s="108" t="str">
        <f t="shared" si="2"/>
        <v>Sleepy Platypus</v>
      </c>
      <c r="D162" s="108" t="str">
        <f>IFERROR(__xludf.DUMMYFUNCTION("TEXTJOIN("""", TRUE, ARRAYFORMULA(LEFT(SPLIT(C162, "" ""),1)))"),"SP")</f>
        <v>SP</v>
      </c>
      <c r="E162" s="104"/>
      <c r="F162" s="104" t="s">
        <v>618</v>
      </c>
      <c r="G162" s="110"/>
      <c r="H162" s="110"/>
      <c r="I162" s="110"/>
      <c r="J162" s="110"/>
      <c r="K162" s="110"/>
      <c r="L162" s="110"/>
      <c r="M162" s="111"/>
    </row>
    <row r="163" ht="18.0" customHeight="1">
      <c r="A163" s="107" t="str">
        <f>'analysis _non-RE-nodes'!A165</f>
        <v>Sleepy Possum</v>
      </c>
      <c r="B163" s="80" t="str">
        <f t="shared" si="1"/>
        <v>sleepy-possum</v>
      </c>
      <c r="C163" s="108" t="str">
        <f t="shared" si="2"/>
        <v>Sleepy Possum</v>
      </c>
      <c r="D163" s="108" t="str">
        <f>IFERROR(__xludf.DUMMYFUNCTION("TEXTJOIN("""", TRUE, ARRAYFORMULA(LEFT(SPLIT(C163, "" ""),1)))"),"SP")</f>
        <v>SP</v>
      </c>
      <c r="E163" s="104"/>
      <c r="F163" s="104" t="s">
        <v>618</v>
      </c>
      <c r="G163" s="110"/>
      <c r="H163" s="110"/>
      <c r="I163" s="110"/>
      <c r="J163" s="110"/>
      <c r="K163" s="110"/>
      <c r="L163" s="110"/>
      <c r="M163" s="111"/>
    </row>
    <row r="164" ht="18.0" customHeight="1">
      <c r="A164" s="107" t="str">
        <f>'analysis _non-RE-nodes'!A166</f>
        <v>Sleepy Sugar Glider</v>
      </c>
      <c r="B164" s="80" t="str">
        <f t="shared" si="1"/>
        <v>sleepy-sugar-glider</v>
      </c>
      <c r="C164" s="108" t="str">
        <f t="shared" si="2"/>
        <v>Sleepy Sugar Glider</v>
      </c>
      <c r="D164" s="108" t="str">
        <f>IFERROR(__xludf.DUMMYFUNCTION("TEXTJOIN("""", TRUE, ARRAYFORMULA(LEFT(SPLIT(C164, "" ""),1)))"),"SSG")</f>
        <v>SSG</v>
      </c>
      <c r="E164" s="104"/>
      <c r="F164" s="104" t="s">
        <v>618</v>
      </c>
      <c r="G164" s="110"/>
      <c r="H164" s="110"/>
      <c r="I164" s="110"/>
      <c r="J164" s="110"/>
      <c r="K164" s="110"/>
      <c r="L164" s="110"/>
      <c r="M164" s="111"/>
    </row>
    <row r="165" ht="18.0" customHeight="1">
      <c r="A165" s="107" t="str">
        <f>'analysis _non-RE-nodes'!A167</f>
        <v>Sleepy Thorny Devil</v>
      </c>
      <c r="B165" s="80" t="str">
        <f t="shared" si="1"/>
        <v>sleepy-thorny-devil</v>
      </c>
      <c r="C165" s="108" t="str">
        <f t="shared" si="2"/>
        <v>Sleepy Thorny Devil</v>
      </c>
      <c r="D165" s="108" t="str">
        <f>IFERROR(__xludf.DUMMYFUNCTION("TEXTJOIN("""", TRUE, ARRAYFORMULA(LEFT(SPLIT(C165, "" ""),1)))"),"STD")</f>
        <v>STD</v>
      </c>
      <c r="E165" s="104"/>
      <c r="F165" s="104" t="s">
        <v>618</v>
      </c>
      <c r="G165" s="110"/>
      <c r="H165" s="110"/>
      <c r="I165" s="110"/>
      <c r="J165" s="110"/>
      <c r="K165" s="110"/>
      <c r="L165" s="110"/>
      <c r="M165" s="111"/>
    </row>
    <row r="166" ht="18.0" customHeight="1">
      <c r="A166" s="107" t="str">
        <f>'analysis _non-RE-nodes'!A168</f>
        <v>Sleepy Tree Kangaroo</v>
      </c>
      <c r="B166" s="80" t="str">
        <f t="shared" si="1"/>
        <v>sleepy-tree-kangaroo</v>
      </c>
      <c r="C166" s="108" t="str">
        <f t="shared" si="2"/>
        <v>Sleepy Tree Kangaroo</v>
      </c>
      <c r="D166" s="108" t="str">
        <f>IFERROR(__xludf.DUMMYFUNCTION("TEXTJOIN("""", TRUE, ARRAYFORMULA(LEFT(SPLIT(C166, "" ""),1)))"),"STK")</f>
        <v>STK</v>
      </c>
      <c r="E166" s="104"/>
      <c r="F166" s="104" t="s">
        <v>618</v>
      </c>
      <c r="G166" s="110"/>
      <c r="H166" s="110"/>
      <c r="I166" s="110"/>
      <c r="J166" s="110"/>
      <c r="K166" s="110"/>
      <c r="L166" s="110"/>
      <c r="M166" s="111"/>
    </row>
    <row r="167" ht="18.0" customHeight="1">
      <c r="A167" s="107" t="str">
        <f>'analysis _non-RE-nodes'!A169</f>
        <v>Sleepy Wombat</v>
      </c>
      <c r="B167" s="80" t="str">
        <f t="shared" si="1"/>
        <v>sleepy-wombat</v>
      </c>
      <c r="C167" s="108" t="str">
        <f t="shared" si="2"/>
        <v>Sleepy Wombat</v>
      </c>
      <c r="D167" s="108" t="str">
        <f>IFERROR(__xludf.DUMMYFUNCTION("TEXTJOIN("""", TRUE, ARRAYFORMULA(LEFT(SPLIT(C167, "" ""),1)))"),"SW")</f>
        <v>SW</v>
      </c>
      <c r="E167" s="104"/>
      <c r="F167" s="104" t="s">
        <v>618</v>
      </c>
      <c r="G167" s="110"/>
      <c r="H167" s="110"/>
      <c r="I167" s="110"/>
      <c r="J167" s="110"/>
      <c r="K167" s="110"/>
      <c r="L167" s="110"/>
      <c r="M167" s="111"/>
    </row>
    <row r="168" ht="18.0" customHeight="1">
      <c r="A168" s="107" t="str">
        <f>'analysis _non-RE-nodes'!A170</f>
        <v>Spotted Australian Magpie</v>
      </c>
      <c r="B168" s="80" t="str">
        <f t="shared" si="1"/>
        <v>spotted-australian-magpie</v>
      </c>
      <c r="C168" s="108" t="str">
        <f t="shared" si="2"/>
        <v>Spotted Australian Magpie</v>
      </c>
      <c r="D168" s="108" t="str">
        <f>IFERROR(__xludf.DUMMYFUNCTION("TEXTJOIN("""", TRUE, ARRAYFORMULA(LEFT(SPLIT(C168, "" ""),1)))"),"SAM")</f>
        <v>SAM</v>
      </c>
      <c r="E168" s="104"/>
      <c r="F168" s="104" t="s">
        <v>618</v>
      </c>
      <c r="G168" s="110"/>
      <c r="H168" s="110"/>
      <c r="I168" s="110"/>
      <c r="J168" s="110"/>
      <c r="K168" s="110"/>
      <c r="L168" s="110"/>
      <c r="M168" s="111"/>
    </row>
    <row r="169" ht="18.0" customHeight="1">
      <c r="A169" s="107" t="str">
        <f>'analysis _non-RE-nodes'!A171</f>
        <v>Spotted Bandicoot</v>
      </c>
      <c r="B169" s="80" t="str">
        <f t="shared" si="1"/>
        <v>spotted-bandicoot</v>
      </c>
      <c r="C169" s="108" t="str">
        <f t="shared" si="2"/>
        <v>Spotted Bandicoot</v>
      </c>
      <c r="D169" s="108" t="str">
        <f>IFERROR(__xludf.DUMMYFUNCTION("TEXTJOIN("""", TRUE, ARRAYFORMULA(LEFT(SPLIT(C169, "" ""),1)))"),"SB")</f>
        <v>SB</v>
      </c>
      <c r="E169" s="104"/>
      <c r="F169" s="104" t="s">
        <v>618</v>
      </c>
      <c r="G169" s="110"/>
      <c r="H169" s="110"/>
      <c r="I169" s="110"/>
      <c r="J169" s="110"/>
      <c r="K169" s="110"/>
      <c r="L169" s="110"/>
      <c r="M169" s="111"/>
    </row>
    <row r="170" ht="18.0" customHeight="1">
      <c r="A170" s="107" t="str">
        <f>'analysis _non-RE-nodes'!A172</f>
        <v>Spotted Bush Stone-curlew</v>
      </c>
      <c r="B170" s="80" t="str">
        <f t="shared" si="1"/>
        <v>spotted-bush-stone-curlew</v>
      </c>
      <c r="C170" s="108" t="str">
        <f t="shared" si="2"/>
        <v>Spotted Bush Stone-curlew</v>
      </c>
      <c r="D170" s="108" t="str">
        <f>IFERROR(__xludf.DUMMYFUNCTION("TEXTJOIN("""", TRUE, ARRAYFORMULA(LEFT(SPLIT(C170, "" ""),1)))"),"SBS")</f>
        <v>SBS</v>
      </c>
      <c r="E170" s="104"/>
      <c r="F170" s="104" t="s">
        <v>618</v>
      </c>
      <c r="G170" s="110"/>
      <c r="H170" s="110"/>
      <c r="I170" s="110"/>
      <c r="J170" s="110"/>
      <c r="K170" s="110"/>
      <c r="L170" s="110"/>
      <c r="M170" s="111"/>
    </row>
    <row r="171" ht="18.0" customHeight="1">
      <c r="A171" s="107" t="str">
        <f>'analysis _non-RE-nodes'!A173</f>
        <v>Spotted Echidna</v>
      </c>
      <c r="B171" s="80" t="str">
        <f t="shared" si="1"/>
        <v>spotted-echidna</v>
      </c>
      <c r="C171" s="108" t="str">
        <f t="shared" si="2"/>
        <v>Spotted Echidna</v>
      </c>
      <c r="D171" s="108" t="str">
        <f>IFERROR(__xludf.DUMMYFUNCTION("TEXTJOIN("""", TRUE, ARRAYFORMULA(LEFT(SPLIT(C171, "" ""),1)))"),"SE")</f>
        <v>SE</v>
      </c>
      <c r="E171" s="104"/>
      <c r="F171" s="104" t="s">
        <v>618</v>
      </c>
      <c r="G171" s="110"/>
      <c r="H171" s="110"/>
      <c r="I171" s="110"/>
      <c r="J171" s="110"/>
      <c r="K171" s="110"/>
      <c r="L171" s="110"/>
      <c r="M171" s="111"/>
    </row>
    <row r="172" ht="18.0" customHeight="1">
      <c r="A172" s="107" t="str">
        <f>'analysis _non-RE-nodes'!A174</f>
        <v>Spotted Fairy Penguin</v>
      </c>
      <c r="B172" s="80" t="str">
        <f t="shared" si="1"/>
        <v>spotted-fairy-penguin</v>
      </c>
      <c r="C172" s="108" t="str">
        <f t="shared" si="2"/>
        <v>Spotted Fairy Penguin</v>
      </c>
      <c r="D172" s="108" t="str">
        <f>IFERROR(__xludf.DUMMYFUNCTION("TEXTJOIN("""", TRUE, ARRAYFORMULA(LEFT(SPLIT(C172, "" ""),1)))"),"SFP")</f>
        <v>SFP</v>
      </c>
      <c r="E172" s="104"/>
      <c r="F172" s="104" t="s">
        <v>618</v>
      </c>
      <c r="G172" s="110"/>
      <c r="H172" s="110"/>
      <c r="I172" s="110"/>
      <c r="J172" s="110"/>
      <c r="K172" s="110"/>
      <c r="L172" s="110"/>
      <c r="M172" s="111"/>
    </row>
    <row r="173" ht="18.0" customHeight="1">
      <c r="A173" s="107" t="str">
        <f>'analysis _non-RE-nodes'!A175</f>
        <v>Spotted Kangaroo</v>
      </c>
      <c r="B173" s="80" t="str">
        <f t="shared" si="1"/>
        <v>spotted-kangaroo</v>
      </c>
      <c r="C173" s="108" t="str">
        <f t="shared" si="2"/>
        <v>Spotted Kangaroo</v>
      </c>
      <c r="D173" s="108" t="str">
        <f>IFERROR(__xludf.DUMMYFUNCTION("TEXTJOIN("""", TRUE, ARRAYFORMULA(LEFT(SPLIT(C173, "" ""),1)))"),"SK")</f>
        <v>SK</v>
      </c>
      <c r="E173" s="104"/>
      <c r="F173" s="104" t="s">
        <v>618</v>
      </c>
      <c r="G173" s="110"/>
      <c r="H173" s="110"/>
      <c r="I173" s="110"/>
      <c r="J173" s="110"/>
      <c r="K173" s="110"/>
      <c r="L173" s="110"/>
      <c r="M173" s="111"/>
    </row>
    <row r="174" ht="18.0" customHeight="1">
      <c r="A174" s="107" t="str">
        <f>'analysis _non-RE-nodes'!A176</f>
        <v>Spotted Platypus</v>
      </c>
      <c r="B174" s="80" t="str">
        <f t="shared" si="1"/>
        <v>spotted-platypus</v>
      </c>
      <c r="C174" s="108" t="str">
        <f t="shared" si="2"/>
        <v>Spotted Platypus</v>
      </c>
      <c r="D174" s="108" t="str">
        <f>IFERROR(__xludf.DUMMYFUNCTION("TEXTJOIN("""", TRUE, ARRAYFORMULA(LEFT(SPLIT(C174, "" ""),1)))"),"SP")</f>
        <v>SP</v>
      </c>
      <c r="E174" s="104"/>
      <c r="F174" s="104" t="s">
        <v>618</v>
      </c>
      <c r="G174" s="110"/>
      <c r="H174" s="110"/>
      <c r="I174" s="110"/>
      <c r="J174" s="110"/>
      <c r="K174" s="110"/>
      <c r="L174" s="110"/>
      <c r="M174" s="111"/>
    </row>
    <row r="175" ht="18.0" customHeight="1">
      <c r="A175" s="107" t="str">
        <f>'analysis _non-RE-nodes'!A177</f>
        <v>Spotted Possum</v>
      </c>
      <c r="B175" s="80" t="str">
        <f t="shared" si="1"/>
        <v>spotted-possum</v>
      </c>
      <c r="C175" s="108" t="str">
        <f t="shared" si="2"/>
        <v>Spotted Possum</v>
      </c>
      <c r="D175" s="108" t="str">
        <f>IFERROR(__xludf.DUMMYFUNCTION("TEXTJOIN("""", TRUE, ARRAYFORMULA(LEFT(SPLIT(C175, "" ""),1)))"),"SP")</f>
        <v>SP</v>
      </c>
      <c r="E175" s="104"/>
      <c r="F175" s="104" t="s">
        <v>618</v>
      </c>
      <c r="G175" s="110"/>
      <c r="H175" s="110"/>
      <c r="I175" s="110"/>
      <c r="J175" s="110"/>
      <c r="K175" s="110"/>
      <c r="L175" s="110"/>
      <c r="M175" s="111"/>
    </row>
    <row r="176" ht="18.0" customHeight="1">
      <c r="A176" s="107" t="str">
        <f>'analysis _non-RE-nodes'!A178</f>
        <v>Spotted Sugar Glider</v>
      </c>
      <c r="B176" s="80" t="str">
        <f t="shared" si="1"/>
        <v>spotted-sugar-glider</v>
      </c>
      <c r="C176" s="108" t="str">
        <f t="shared" si="2"/>
        <v>Spotted Sugar Glider</v>
      </c>
      <c r="D176" s="108" t="str">
        <f>IFERROR(__xludf.DUMMYFUNCTION("TEXTJOIN("""", TRUE, ARRAYFORMULA(LEFT(SPLIT(C176, "" ""),1)))"),"SSG")</f>
        <v>SSG</v>
      </c>
      <c r="E176" s="104"/>
      <c r="F176" s="104" t="s">
        <v>618</v>
      </c>
      <c r="G176" s="110"/>
      <c r="H176" s="110"/>
      <c r="I176" s="110"/>
      <c r="J176" s="110"/>
      <c r="K176" s="110"/>
      <c r="L176" s="110"/>
      <c r="M176" s="111"/>
    </row>
    <row r="177" ht="18.0" customHeight="1">
      <c r="A177" s="107" t="str">
        <f>'analysis _non-RE-nodes'!A179</f>
        <v>Spotted Tasmanian Devil</v>
      </c>
      <c r="B177" s="80" t="str">
        <f t="shared" si="1"/>
        <v>spotted-tasmanian-devil</v>
      </c>
      <c r="C177" s="108" t="str">
        <f t="shared" si="2"/>
        <v>Spotted Tasmanian Devil</v>
      </c>
      <c r="D177" s="108" t="str">
        <f>IFERROR(__xludf.DUMMYFUNCTION("TEXTJOIN("""", TRUE, ARRAYFORMULA(LEFT(SPLIT(C177, "" ""),1)))"),"STD")</f>
        <v>STD</v>
      </c>
      <c r="E177" s="104"/>
      <c r="F177" s="104" t="s">
        <v>618</v>
      </c>
      <c r="G177" s="110"/>
      <c r="H177" s="110"/>
      <c r="I177" s="110"/>
      <c r="J177" s="110"/>
      <c r="K177" s="110"/>
      <c r="L177" s="110"/>
      <c r="M177" s="111"/>
    </row>
    <row r="178" ht="18.0" customHeight="1">
      <c r="A178" s="107" t="str">
        <f>'analysis _non-RE-nodes'!A180</f>
        <v>Spotted Thorny Devil</v>
      </c>
      <c r="B178" s="80" t="str">
        <f t="shared" si="1"/>
        <v>spotted-thorny-devil</v>
      </c>
      <c r="C178" s="108" t="str">
        <f t="shared" si="2"/>
        <v>Spotted Thorny Devil</v>
      </c>
      <c r="D178" s="108" t="str">
        <f>IFERROR(__xludf.DUMMYFUNCTION("TEXTJOIN("""", TRUE, ARRAYFORMULA(LEFT(SPLIT(C178, "" ""),1)))"),"STD")</f>
        <v>STD</v>
      </c>
      <c r="E178" s="104"/>
      <c r="F178" s="104" t="s">
        <v>618</v>
      </c>
      <c r="G178" s="110"/>
      <c r="H178" s="110"/>
      <c r="I178" s="110"/>
      <c r="J178" s="110"/>
      <c r="K178" s="110"/>
      <c r="L178" s="110"/>
      <c r="M178" s="111"/>
    </row>
    <row r="179" ht="18.0" customHeight="1">
      <c r="A179" s="107" t="str">
        <f>'analysis _non-RE-nodes'!A181</f>
        <v>Striped Australian Magpie</v>
      </c>
      <c r="B179" s="80" t="str">
        <f t="shared" si="1"/>
        <v>striped-australian-magpie</v>
      </c>
      <c r="C179" s="108" t="str">
        <f t="shared" si="2"/>
        <v>Striped Australian Magpie</v>
      </c>
      <c r="D179" s="108" t="str">
        <f>IFERROR(__xludf.DUMMYFUNCTION("TEXTJOIN("""", TRUE, ARRAYFORMULA(LEFT(SPLIT(C179, "" ""),1)))"),"SAM")</f>
        <v>SAM</v>
      </c>
      <c r="E179" s="104"/>
      <c r="F179" s="104" t="s">
        <v>618</v>
      </c>
      <c r="G179" s="110"/>
      <c r="H179" s="110"/>
      <c r="I179" s="110"/>
      <c r="J179" s="110"/>
      <c r="K179" s="110"/>
      <c r="L179" s="110"/>
      <c r="M179" s="111"/>
    </row>
    <row r="180" ht="18.0" customHeight="1">
      <c r="A180" s="107" t="str">
        <f>'analysis _non-RE-nodes'!A182</f>
        <v>Striped Bandicoot</v>
      </c>
      <c r="B180" s="80" t="str">
        <f t="shared" si="1"/>
        <v>striped-bandicoot</v>
      </c>
      <c r="C180" s="108" t="str">
        <f t="shared" si="2"/>
        <v>Striped Bandicoot</v>
      </c>
      <c r="D180" s="108" t="str">
        <f>IFERROR(__xludf.DUMMYFUNCTION("TEXTJOIN("""", TRUE, ARRAYFORMULA(LEFT(SPLIT(C180, "" ""),1)))"),"SB")</f>
        <v>SB</v>
      </c>
      <c r="E180" s="104"/>
      <c r="F180" s="104" t="s">
        <v>618</v>
      </c>
      <c r="G180" s="110"/>
      <c r="H180" s="110"/>
      <c r="I180" s="110"/>
      <c r="J180" s="110"/>
      <c r="K180" s="110"/>
      <c r="L180" s="110"/>
      <c r="M180" s="111"/>
    </row>
    <row r="181" ht="18.0" customHeight="1">
      <c r="A181" s="107" t="str">
        <f>'analysis _non-RE-nodes'!A183</f>
        <v>Striped Bilby</v>
      </c>
      <c r="B181" s="80" t="str">
        <f t="shared" si="1"/>
        <v>striped-bilby</v>
      </c>
      <c r="C181" s="108" t="str">
        <f t="shared" si="2"/>
        <v>Striped Bilby</v>
      </c>
      <c r="D181" s="108" t="str">
        <f>IFERROR(__xludf.DUMMYFUNCTION("TEXTJOIN("""", TRUE, ARRAYFORMULA(LEFT(SPLIT(C181, "" ""),1)))"),"SB")</f>
        <v>SB</v>
      </c>
      <c r="E181" s="104"/>
      <c r="F181" s="104" t="s">
        <v>618</v>
      </c>
      <c r="G181" s="110"/>
      <c r="H181" s="110"/>
      <c r="I181" s="110"/>
      <c r="J181" s="110"/>
      <c r="K181" s="110"/>
      <c r="L181" s="110"/>
      <c r="M181" s="111"/>
    </row>
    <row r="182" ht="18.0" customHeight="1">
      <c r="A182" s="107" t="str">
        <f>'analysis _non-RE-nodes'!A184</f>
        <v>Striped Bush Stone-curlew</v>
      </c>
      <c r="B182" s="80" t="str">
        <f t="shared" si="1"/>
        <v>striped-bush-stone-curlew</v>
      </c>
      <c r="C182" s="108" t="str">
        <f t="shared" si="2"/>
        <v>Striped Bush Stone-curlew</v>
      </c>
      <c r="D182" s="108" t="str">
        <f>IFERROR(__xludf.DUMMYFUNCTION("TEXTJOIN("""", TRUE, ARRAYFORMULA(LEFT(SPLIT(C182, "" ""),1)))"),"SBS")</f>
        <v>SBS</v>
      </c>
      <c r="E182" s="104"/>
      <c r="F182" s="104" t="s">
        <v>618</v>
      </c>
      <c r="G182" s="110"/>
      <c r="H182" s="110"/>
      <c r="I182" s="110"/>
      <c r="J182" s="110"/>
      <c r="K182" s="110"/>
      <c r="L182" s="110"/>
      <c r="M182" s="111"/>
    </row>
    <row r="183" ht="18.0" customHeight="1">
      <c r="A183" s="107" t="str">
        <f>'analysis _non-RE-nodes'!A185</f>
        <v>Striped Echidna</v>
      </c>
      <c r="B183" s="80" t="str">
        <f t="shared" si="1"/>
        <v>striped-echidna</v>
      </c>
      <c r="C183" s="108" t="str">
        <f t="shared" si="2"/>
        <v>Striped Echidna</v>
      </c>
      <c r="D183" s="108" t="str">
        <f>IFERROR(__xludf.DUMMYFUNCTION("TEXTJOIN("""", TRUE, ARRAYFORMULA(LEFT(SPLIT(C183, "" ""),1)))"),"SE")</f>
        <v>SE</v>
      </c>
      <c r="E183" s="104"/>
      <c r="F183" s="104" t="s">
        <v>618</v>
      </c>
      <c r="G183" s="110"/>
      <c r="H183" s="110"/>
      <c r="I183" s="110"/>
      <c r="J183" s="110"/>
      <c r="K183" s="110"/>
      <c r="L183" s="110"/>
      <c r="M183" s="111"/>
    </row>
    <row r="184" ht="18.0" customHeight="1">
      <c r="A184" s="107" t="str">
        <f>'analysis _non-RE-nodes'!A186</f>
        <v>Striped Quokka</v>
      </c>
      <c r="B184" s="80" t="str">
        <f t="shared" si="1"/>
        <v>striped-quokka</v>
      </c>
      <c r="C184" s="108" t="str">
        <f t="shared" si="2"/>
        <v>Striped Quokka</v>
      </c>
      <c r="D184" s="108" t="str">
        <f>IFERROR(__xludf.DUMMYFUNCTION("TEXTJOIN("""", TRUE, ARRAYFORMULA(LEFT(SPLIT(C184, "" ""),1)))"),"SQ")</f>
        <v>SQ</v>
      </c>
      <c r="E184" s="104"/>
      <c r="F184" s="104" t="s">
        <v>618</v>
      </c>
      <c r="G184" s="110"/>
      <c r="H184" s="110"/>
      <c r="I184" s="110"/>
      <c r="J184" s="110"/>
      <c r="K184" s="110"/>
      <c r="L184" s="110"/>
      <c r="M184" s="111"/>
    </row>
    <row r="185" ht="18.0" customHeight="1">
      <c r="A185" s="107" t="str">
        <f>'analysis _non-RE-nodes'!A187</f>
        <v>Striped Tasmanian Devil</v>
      </c>
      <c r="B185" s="80" t="str">
        <f t="shared" si="1"/>
        <v>striped-tasmanian-devil</v>
      </c>
      <c r="C185" s="108" t="str">
        <f t="shared" si="2"/>
        <v>Striped Tasmanian Devil</v>
      </c>
      <c r="D185" s="108" t="str">
        <f>IFERROR(__xludf.DUMMYFUNCTION("TEXTJOIN("""", TRUE, ARRAYFORMULA(LEFT(SPLIT(C185, "" ""),1)))"),"STD")</f>
        <v>STD</v>
      </c>
      <c r="E185" s="104"/>
      <c r="F185" s="104" t="s">
        <v>618</v>
      </c>
      <c r="G185" s="110"/>
      <c r="H185" s="110"/>
      <c r="I185" s="110"/>
      <c r="J185" s="110"/>
      <c r="K185" s="110"/>
      <c r="L185" s="110"/>
      <c r="M185" s="111"/>
    </row>
    <row r="186" ht="18.0" customHeight="1">
      <c r="A186" s="107" t="str">
        <f>'analysis _non-RE-nodes'!A188</f>
        <v>Striped Tree Kangaroo</v>
      </c>
      <c r="B186" s="80" t="str">
        <f t="shared" si="1"/>
        <v>striped-tree-kangaroo</v>
      </c>
      <c r="C186" s="108" t="str">
        <f t="shared" si="2"/>
        <v>Striped Tree Kangaroo</v>
      </c>
      <c r="D186" s="108" t="str">
        <f>IFERROR(__xludf.DUMMYFUNCTION("TEXTJOIN("""", TRUE, ARRAYFORMULA(LEFT(SPLIT(C186, "" ""),1)))"),"STK")</f>
        <v>STK</v>
      </c>
      <c r="E186" s="104"/>
      <c r="F186" s="104" t="s">
        <v>618</v>
      </c>
      <c r="G186" s="110"/>
      <c r="H186" s="110"/>
      <c r="I186" s="110"/>
      <c r="J186" s="110"/>
      <c r="K186" s="110"/>
      <c r="L186" s="110"/>
      <c r="M186" s="111"/>
    </row>
    <row r="187" ht="18.0" customHeight="1">
      <c r="A187" s="107" t="str">
        <f>'analysis _non-RE-nodes'!A189</f>
        <v>Swift Bush Stone-curlew</v>
      </c>
      <c r="B187" s="80" t="str">
        <f t="shared" si="1"/>
        <v>swift-bush-stone-curlew</v>
      </c>
      <c r="C187" s="108" t="str">
        <f t="shared" si="2"/>
        <v>Swift Bush Stone-curlew</v>
      </c>
      <c r="D187" s="108" t="str">
        <f>IFERROR(__xludf.DUMMYFUNCTION("TEXTJOIN("""", TRUE, ARRAYFORMULA(LEFT(SPLIT(C187, "" ""),1)))"),"SBS")</f>
        <v>SBS</v>
      </c>
      <c r="E187" s="104"/>
      <c r="F187" s="104" t="s">
        <v>618</v>
      </c>
      <c r="G187" s="110"/>
      <c r="H187" s="110"/>
      <c r="I187" s="110"/>
      <c r="J187" s="110"/>
      <c r="K187" s="110"/>
      <c r="L187" s="110"/>
      <c r="M187" s="111"/>
    </row>
    <row r="188" ht="18.0" customHeight="1">
      <c r="A188" s="107" t="str">
        <f>'analysis _non-RE-nodes'!A190</f>
        <v>Swift Emu</v>
      </c>
      <c r="B188" s="80" t="str">
        <f t="shared" si="1"/>
        <v>swift-emu</v>
      </c>
      <c r="C188" s="108" t="str">
        <f t="shared" si="2"/>
        <v>Swift Emu</v>
      </c>
      <c r="D188" s="108" t="str">
        <f>IFERROR(__xludf.DUMMYFUNCTION("TEXTJOIN("""", TRUE, ARRAYFORMULA(LEFT(SPLIT(C188, "" ""),1)))"),"SE")</f>
        <v>SE</v>
      </c>
      <c r="E188" s="104"/>
      <c r="F188" s="104" t="s">
        <v>618</v>
      </c>
      <c r="G188" s="110"/>
      <c r="H188" s="110"/>
      <c r="I188" s="110"/>
      <c r="J188" s="110"/>
      <c r="K188" s="110"/>
      <c r="L188" s="110"/>
      <c r="M188" s="111"/>
    </row>
    <row r="189" ht="18.0" customHeight="1">
      <c r="A189" s="107" t="str">
        <f>'analysis _non-RE-nodes'!A191</f>
        <v>Swift Fairy Penguin</v>
      </c>
      <c r="B189" s="80" t="str">
        <f t="shared" si="1"/>
        <v>swift-fairy-penguin</v>
      </c>
      <c r="C189" s="108" t="str">
        <f t="shared" si="2"/>
        <v>Swift Fairy Penguin</v>
      </c>
      <c r="D189" s="108" t="str">
        <f>IFERROR(__xludf.DUMMYFUNCTION("TEXTJOIN("""", TRUE, ARRAYFORMULA(LEFT(SPLIT(C189, "" ""),1)))"),"SFP")</f>
        <v>SFP</v>
      </c>
      <c r="E189" s="104"/>
      <c r="F189" s="104" t="s">
        <v>618</v>
      </c>
      <c r="G189" s="110"/>
      <c r="H189" s="110"/>
      <c r="I189" s="110"/>
      <c r="J189" s="110"/>
      <c r="K189" s="110"/>
      <c r="L189" s="110"/>
      <c r="M189" s="111"/>
    </row>
    <row r="190" ht="18.0" customHeight="1">
      <c r="A190" s="107" t="str">
        <f>'analysis _non-RE-nodes'!A192</f>
        <v>Swift Lyrebird</v>
      </c>
      <c r="B190" s="80" t="str">
        <f t="shared" si="1"/>
        <v>swift-lyrebird</v>
      </c>
      <c r="C190" s="108" t="str">
        <f t="shared" si="2"/>
        <v>Swift Lyrebird</v>
      </c>
      <c r="D190" s="108" t="str">
        <f>IFERROR(__xludf.DUMMYFUNCTION("TEXTJOIN("""", TRUE, ARRAYFORMULA(LEFT(SPLIT(C190, "" ""),1)))"),"SL")</f>
        <v>SL</v>
      </c>
      <c r="E190" s="104"/>
      <c r="F190" s="104" t="s">
        <v>618</v>
      </c>
      <c r="G190" s="110"/>
      <c r="H190" s="110"/>
      <c r="I190" s="110"/>
      <c r="J190" s="110"/>
      <c r="K190" s="110"/>
      <c r="L190" s="110"/>
      <c r="M190" s="111"/>
    </row>
    <row r="191" ht="18.0" customHeight="1">
      <c r="A191" s="107" t="str">
        <f>'analysis _non-RE-nodes'!A193</f>
        <v>Swift Platypus</v>
      </c>
      <c r="B191" s="80" t="str">
        <f t="shared" si="1"/>
        <v>swift-platypus</v>
      </c>
      <c r="C191" s="108" t="str">
        <f t="shared" si="2"/>
        <v>Swift Platypus</v>
      </c>
      <c r="D191" s="108" t="str">
        <f>IFERROR(__xludf.DUMMYFUNCTION("TEXTJOIN("""", TRUE, ARRAYFORMULA(LEFT(SPLIT(C191, "" ""),1)))"),"SP")</f>
        <v>SP</v>
      </c>
      <c r="E191" s="104"/>
      <c r="F191" s="104" t="s">
        <v>618</v>
      </c>
      <c r="G191" s="110"/>
      <c r="H191" s="110"/>
      <c r="I191" s="110"/>
      <c r="J191" s="110"/>
      <c r="K191" s="110"/>
      <c r="L191" s="110"/>
      <c r="M191" s="111"/>
    </row>
    <row r="192" ht="18.0" customHeight="1">
      <c r="A192" s="107" t="str">
        <f>'analysis _non-RE-nodes'!A194</f>
        <v>Swift Redback Spider</v>
      </c>
      <c r="B192" s="80" t="str">
        <f t="shared" si="1"/>
        <v>swift-redback-spider</v>
      </c>
      <c r="C192" s="108" t="str">
        <f t="shared" si="2"/>
        <v>Swift Redback Spider</v>
      </c>
      <c r="D192" s="108" t="str">
        <f>IFERROR(__xludf.DUMMYFUNCTION("TEXTJOIN("""", TRUE, ARRAYFORMULA(LEFT(SPLIT(C192, "" ""),1)))"),"SRS")</f>
        <v>SRS</v>
      </c>
      <c r="E192" s="104"/>
      <c r="F192" s="104" t="s">
        <v>618</v>
      </c>
      <c r="G192" s="110"/>
      <c r="H192" s="110"/>
      <c r="I192" s="110"/>
      <c r="J192" s="110"/>
      <c r="K192" s="110"/>
      <c r="L192" s="110"/>
      <c r="M192" s="111"/>
    </row>
    <row r="193" ht="18.0" customHeight="1">
      <c r="A193" s="107" t="str">
        <f>'analysis _non-RE-nodes'!A195</f>
        <v>Swift Sugar Glider</v>
      </c>
      <c r="B193" s="80" t="str">
        <f t="shared" si="1"/>
        <v>swift-sugar-glider</v>
      </c>
      <c r="C193" s="108" t="str">
        <f t="shared" si="2"/>
        <v>Swift Sugar Glider</v>
      </c>
      <c r="D193" s="108" t="str">
        <f>IFERROR(__xludf.DUMMYFUNCTION("TEXTJOIN("""", TRUE, ARRAYFORMULA(LEFT(SPLIT(C193, "" ""),1)))"),"SSG")</f>
        <v>SSG</v>
      </c>
      <c r="E193" s="104"/>
      <c r="F193" s="104" t="s">
        <v>618</v>
      </c>
      <c r="G193" s="110"/>
      <c r="H193" s="110"/>
      <c r="I193" s="110"/>
      <c r="J193" s="110"/>
      <c r="K193" s="110"/>
      <c r="L193" s="110"/>
      <c r="M193" s="111"/>
    </row>
    <row r="194" ht="18.0" customHeight="1">
      <c r="A194" s="107" t="str">
        <f>'analysis _non-RE-nodes'!A196</f>
        <v>Tiny Bandicoot</v>
      </c>
      <c r="B194" s="80" t="str">
        <f t="shared" si="1"/>
        <v>tiny-bandicoot</v>
      </c>
      <c r="C194" s="108" t="str">
        <f t="shared" si="2"/>
        <v>Tiny Bandicoot</v>
      </c>
      <c r="D194" s="108" t="str">
        <f>IFERROR(__xludf.DUMMYFUNCTION("TEXTJOIN("""", TRUE, ARRAYFORMULA(LEFT(SPLIT(C194, "" ""),1)))"),"TB")</f>
        <v>TB</v>
      </c>
      <c r="E194" s="104"/>
      <c r="F194" s="104" t="s">
        <v>618</v>
      </c>
      <c r="G194" s="110"/>
      <c r="H194" s="110"/>
      <c r="I194" s="110"/>
      <c r="J194" s="110"/>
      <c r="K194" s="110"/>
      <c r="L194" s="110"/>
      <c r="M194" s="111"/>
    </row>
    <row r="195" ht="18.0" customHeight="1">
      <c r="A195" s="107" t="str">
        <f>'analysis _non-RE-nodes'!A197</f>
        <v>Tiny Cockatoo</v>
      </c>
      <c r="B195" s="80" t="str">
        <f t="shared" si="1"/>
        <v>tiny-cockatoo</v>
      </c>
      <c r="C195" s="108" t="str">
        <f t="shared" si="2"/>
        <v>Tiny Cockatoo</v>
      </c>
      <c r="D195" s="108" t="str">
        <f>IFERROR(__xludf.DUMMYFUNCTION("TEXTJOIN("""", TRUE, ARRAYFORMULA(LEFT(SPLIT(C195, "" ""),1)))"),"TC")</f>
        <v>TC</v>
      </c>
      <c r="E195" s="104"/>
      <c r="F195" s="104" t="s">
        <v>618</v>
      </c>
      <c r="G195" s="110"/>
      <c r="H195" s="110"/>
      <c r="I195" s="110"/>
      <c r="J195" s="110"/>
      <c r="K195" s="110"/>
      <c r="L195" s="110"/>
      <c r="M195" s="111"/>
    </row>
    <row r="196" ht="18.0" customHeight="1">
      <c r="A196" s="107" t="str">
        <f>'analysis _non-RE-nodes'!A198</f>
        <v>Tiny Dingo</v>
      </c>
      <c r="B196" s="80" t="str">
        <f t="shared" si="1"/>
        <v>tiny-dingo</v>
      </c>
      <c r="C196" s="108" t="str">
        <f t="shared" si="2"/>
        <v>Tiny Dingo</v>
      </c>
      <c r="D196" s="108" t="str">
        <f>IFERROR(__xludf.DUMMYFUNCTION("TEXTJOIN("""", TRUE, ARRAYFORMULA(LEFT(SPLIT(C196, "" ""),1)))"),"TD")</f>
        <v>TD</v>
      </c>
      <c r="E196" s="104"/>
      <c r="F196" s="104" t="s">
        <v>618</v>
      </c>
      <c r="G196" s="110"/>
      <c r="H196" s="110"/>
      <c r="I196" s="110"/>
      <c r="J196" s="110"/>
      <c r="K196" s="110"/>
      <c r="L196" s="110"/>
      <c r="M196" s="111"/>
    </row>
    <row r="197" ht="18.0" customHeight="1">
      <c r="A197" s="107" t="str">
        <f>'analysis _non-RE-nodes'!A199</f>
        <v>Tiny Echidna</v>
      </c>
      <c r="B197" s="80" t="str">
        <f t="shared" si="1"/>
        <v>tiny-echidna</v>
      </c>
      <c r="C197" s="108" t="str">
        <f t="shared" si="2"/>
        <v>Tiny Echidna</v>
      </c>
      <c r="D197" s="108" t="str">
        <f>IFERROR(__xludf.DUMMYFUNCTION("TEXTJOIN("""", TRUE, ARRAYFORMULA(LEFT(SPLIT(C197, "" ""),1)))"),"TE")</f>
        <v>TE</v>
      </c>
      <c r="E197" s="104"/>
      <c r="F197" s="104" t="s">
        <v>618</v>
      </c>
      <c r="G197" s="110"/>
      <c r="H197" s="110"/>
      <c r="I197" s="110"/>
      <c r="J197" s="110"/>
      <c r="K197" s="110"/>
      <c r="L197" s="110"/>
      <c r="M197" s="111"/>
    </row>
    <row r="198" ht="18.0" customHeight="1">
      <c r="A198" s="107" t="str">
        <f>'analysis _non-RE-nodes'!A200</f>
        <v>Tiny Fairy Penguin</v>
      </c>
      <c r="B198" s="80" t="str">
        <f t="shared" si="1"/>
        <v>tiny-fairy-penguin</v>
      </c>
      <c r="C198" s="108" t="str">
        <f t="shared" si="2"/>
        <v>Tiny Fairy Penguin</v>
      </c>
      <c r="D198" s="108" t="str">
        <f>IFERROR(__xludf.DUMMYFUNCTION("TEXTJOIN("""", TRUE, ARRAYFORMULA(LEFT(SPLIT(C198, "" ""),1)))"),"TFP")</f>
        <v>TFP</v>
      </c>
      <c r="E198" s="104"/>
      <c r="F198" s="104" t="s">
        <v>618</v>
      </c>
      <c r="G198" s="110"/>
      <c r="H198" s="110"/>
      <c r="I198" s="110"/>
      <c r="J198" s="110"/>
      <c r="K198" s="110"/>
      <c r="L198" s="110"/>
      <c r="M198" s="111"/>
    </row>
    <row r="199" ht="18.0" customHeight="1">
      <c r="A199" s="107" t="str">
        <f>'analysis _non-RE-nodes'!A201</f>
        <v>Tiny Goanna</v>
      </c>
      <c r="B199" s="80" t="str">
        <f t="shared" si="1"/>
        <v>tiny-goanna</v>
      </c>
      <c r="C199" s="108" t="str">
        <f t="shared" si="2"/>
        <v>Tiny Goanna</v>
      </c>
      <c r="D199" s="108" t="str">
        <f>IFERROR(__xludf.DUMMYFUNCTION("TEXTJOIN("""", TRUE, ARRAYFORMULA(LEFT(SPLIT(C199, "" ""),1)))"),"TG")</f>
        <v>TG</v>
      </c>
      <c r="E199" s="104"/>
      <c r="F199" s="104" t="s">
        <v>618</v>
      </c>
      <c r="G199" s="110"/>
      <c r="H199" s="110"/>
      <c r="I199" s="110"/>
      <c r="J199" s="110"/>
      <c r="K199" s="110"/>
      <c r="L199" s="110"/>
      <c r="M199" s="111"/>
    </row>
    <row r="200" ht="18.0" customHeight="1">
      <c r="A200" s="107" t="str">
        <f>'analysis _non-RE-nodes'!A202</f>
        <v>Tiny Numbat</v>
      </c>
      <c r="B200" s="80" t="str">
        <f t="shared" si="1"/>
        <v>tiny-numbat</v>
      </c>
      <c r="C200" s="108" t="str">
        <f t="shared" si="2"/>
        <v>Tiny Numbat</v>
      </c>
      <c r="D200" s="108" t="str">
        <f>IFERROR(__xludf.DUMMYFUNCTION("TEXTJOIN("""", TRUE, ARRAYFORMULA(LEFT(SPLIT(C200, "" ""),1)))"),"TN")</f>
        <v>TN</v>
      </c>
      <c r="E200" s="104"/>
      <c r="F200" s="104" t="s">
        <v>618</v>
      </c>
      <c r="G200" s="110"/>
      <c r="H200" s="110"/>
      <c r="I200" s="110"/>
      <c r="J200" s="110"/>
      <c r="K200" s="110"/>
      <c r="L200" s="110"/>
      <c r="M200" s="111"/>
    </row>
    <row r="201" ht="18.0" customHeight="1">
      <c r="A201" s="107" t="str">
        <f>'analysis _non-RE-nodes'!A203</f>
        <v>Tiny Possum</v>
      </c>
      <c r="B201" s="80" t="str">
        <f t="shared" si="1"/>
        <v>tiny-possum</v>
      </c>
      <c r="C201" s="108" t="str">
        <f t="shared" si="2"/>
        <v>Tiny Possum</v>
      </c>
      <c r="D201" s="108" t="str">
        <f>IFERROR(__xludf.DUMMYFUNCTION("TEXTJOIN("""", TRUE, ARRAYFORMULA(LEFT(SPLIT(C201, "" ""),1)))"),"TP")</f>
        <v>TP</v>
      </c>
      <c r="E201" s="104"/>
      <c r="F201" s="104" t="s">
        <v>618</v>
      </c>
      <c r="G201" s="110"/>
      <c r="H201" s="110"/>
      <c r="I201" s="110"/>
      <c r="J201" s="110"/>
      <c r="K201" s="110"/>
      <c r="L201" s="110"/>
      <c r="M201" s="111"/>
    </row>
    <row r="202" ht="18.0" customHeight="1">
      <c r="A202" s="107" t="str">
        <f>'analysis _non-RE-nodes'!A204</f>
        <v>Wild Blue-tongue Skink</v>
      </c>
      <c r="B202" s="80" t="str">
        <f t="shared" si="1"/>
        <v>wild-blue-tongue-skink</v>
      </c>
      <c r="C202" s="108" t="str">
        <f t="shared" si="2"/>
        <v>Wild Blue-tongue Skink</v>
      </c>
      <c r="D202" s="108" t="str">
        <f>IFERROR(__xludf.DUMMYFUNCTION("TEXTJOIN("""", TRUE, ARRAYFORMULA(LEFT(SPLIT(C202, "" ""),1)))"),"WBS")</f>
        <v>WBS</v>
      </c>
      <c r="E202" s="104"/>
      <c r="F202" s="104" t="s">
        <v>618</v>
      </c>
      <c r="G202" s="110"/>
      <c r="H202" s="110"/>
      <c r="I202" s="110"/>
      <c r="J202" s="110"/>
      <c r="K202" s="110"/>
      <c r="L202" s="110"/>
      <c r="M202" s="111"/>
    </row>
    <row r="203" ht="18.0" customHeight="1">
      <c r="A203" s="107" t="str">
        <f>'analysis _non-RE-nodes'!A205</f>
        <v>Wild Dingo</v>
      </c>
      <c r="B203" s="80" t="str">
        <f t="shared" si="1"/>
        <v>wild-dingo</v>
      </c>
      <c r="C203" s="108" t="str">
        <f t="shared" si="2"/>
        <v>Wild Dingo</v>
      </c>
      <c r="D203" s="108" t="str">
        <f>IFERROR(__xludf.DUMMYFUNCTION("TEXTJOIN("""", TRUE, ARRAYFORMULA(LEFT(SPLIT(C203, "" ""),1)))"),"WD")</f>
        <v>WD</v>
      </c>
      <c r="E203" s="104"/>
      <c r="F203" s="104" t="s">
        <v>618</v>
      </c>
      <c r="G203" s="110"/>
      <c r="H203" s="110"/>
      <c r="I203" s="110"/>
      <c r="J203" s="110"/>
      <c r="K203" s="110"/>
      <c r="L203" s="110"/>
      <c r="M203" s="111"/>
    </row>
    <row r="204" ht="18.0" customHeight="1">
      <c r="A204" s="107" t="str">
        <f>'analysis _non-RE-nodes'!A206</f>
        <v>Wild Fairy Penguin</v>
      </c>
      <c r="B204" s="80" t="str">
        <f t="shared" si="1"/>
        <v>wild-fairy-penguin</v>
      </c>
      <c r="C204" s="108" t="str">
        <f t="shared" si="2"/>
        <v>Wild Fairy Penguin</v>
      </c>
      <c r="D204" s="108" t="str">
        <f>IFERROR(__xludf.DUMMYFUNCTION("TEXTJOIN("""", TRUE, ARRAYFORMULA(LEFT(SPLIT(C204, "" ""),1)))"),"WFP")</f>
        <v>WFP</v>
      </c>
      <c r="E204" s="104"/>
      <c r="F204" s="104" t="s">
        <v>618</v>
      </c>
      <c r="G204" s="110"/>
      <c r="H204" s="110"/>
      <c r="I204" s="110"/>
      <c r="J204" s="110"/>
      <c r="K204" s="110"/>
      <c r="L204" s="110"/>
      <c r="M204" s="111"/>
    </row>
    <row r="205" ht="18.0" customHeight="1">
      <c r="A205" s="107" t="str">
        <f>'analysis _non-RE-nodes'!A207</f>
        <v>Wild Koala</v>
      </c>
      <c r="B205" s="80" t="str">
        <f t="shared" si="1"/>
        <v>wild-koala</v>
      </c>
      <c r="C205" s="108" t="str">
        <f t="shared" si="2"/>
        <v>Wild Koala</v>
      </c>
      <c r="D205" s="108" t="str">
        <f>IFERROR(__xludf.DUMMYFUNCTION("TEXTJOIN("""", TRUE, ARRAYFORMULA(LEFT(SPLIT(C205, "" ""),1)))"),"WK")</f>
        <v>WK</v>
      </c>
      <c r="E205" s="104"/>
      <c r="F205" s="104" t="s">
        <v>618</v>
      </c>
      <c r="G205" s="110"/>
      <c r="H205" s="110"/>
      <c r="I205" s="110"/>
      <c r="J205" s="110"/>
      <c r="K205" s="110"/>
      <c r="L205" s="110"/>
      <c r="M205" s="111"/>
    </row>
    <row r="206" ht="18.0" customHeight="1">
      <c r="A206" s="107" t="str">
        <f>'analysis _non-RE-nodes'!A208</f>
        <v>Wild Quokka</v>
      </c>
      <c r="B206" s="80" t="str">
        <f t="shared" si="1"/>
        <v>wild-quokka</v>
      </c>
      <c r="C206" s="108" t="str">
        <f t="shared" si="2"/>
        <v>Wild Quokka</v>
      </c>
      <c r="D206" s="108" t="str">
        <f>IFERROR(__xludf.DUMMYFUNCTION("TEXTJOIN("""", TRUE, ARRAYFORMULA(LEFT(SPLIT(C206, "" ""),1)))"),"WQ")</f>
        <v>WQ</v>
      </c>
      <c r="E206" s="104"/>
      <c r="F206" s="104" t="s">
        <v>618</v>
      </c>
      <c r="G206" s="110"/>
      <c r="H206" s="110"/>
      <c r="I206" s="110"/>
      <c r="J206" s="110"/>
      <c r="K206" s="110"/>
      <c r="L206" s="110"/>
      <c r="M206" s="111"/>
    </row>
    <row r="207" ht="18.0" customHeight="1">
      <c r="A207" s="107" t="str">
        <f>'analysis _non-RE-nodes'!A209</f>
        <v>Wild Rosella</v>
      </c>
      <c r="B207" s="80" t="str">
        <f t="shared" si="1"/>
        <v>wild-rosella</v>
      </c>
      <c r="C207" s="108" t="str">
        <f t="shared" si="2"/>
        <v>Wild Rosella</v>
      </c>
      <c r="D207" s="108" t="str">
        <f>IFERROR(__xludf.DUMMYFUNCTION("TEXTJOIN("""", TRUE, ARRAYFORMULA(LEFT(SPLIT(C207, "" ""),1)))"),"WR")</f>
        <v>WR</v>
      </c>
      <c r="E207" s="104"/>
      <c r="F207" s="104" t="s">
        <v>618</v>
      </c>
      <c r="G207" s="110"/>
      <c r="H207" s="110"/>
      <c r="I207" s="110"/>
      <c r="J207" s="110"/>
      <c r="K207" s="110"/>
      <c r="L207" s="110"/>
      <c r="M207" s="111"/>
    </row>
    <row r="208" ht="18.0" customHeight="1">
      <c r="A208" s="107" t="str">
        <f>'analysis _non-RE-nodes'!A210</f>
        <v>Wild Thorny Devil</v>
      </c>
      <c r="B208" s="80" t="str">
        <f t="shared" si="1"/>
        <v>wild-thorny-devil</v>
      </c>
      <c r="C208" s="108" t="str">
        <f t="shared" si="2"/>
        <v>Wild Thorny Devil</v>
      </c>
      <c r="D208" s="108" t="str">
        <f>IFERROR(__xludf.DUMMYFUNCTION("TEXTJOIN("""", TRUE, ARRAYFORMULA(LEFT(SPLIT(C208, "" ""),1)))"),"WTD")</f>
        <v>WTD</v>
      </c>
      <c r="E208" s="104"/>
      <c r="F208" s="104" t="s">
        <v>618</v>
      </c>
      <c r="G208" s="110"/>
      <c r="H208" s="110"/>
      <c r="I208" s="110"/>
      <c r="J208" s="110"/>
      <c r="K208" s="110"/>
      <c r="L208" s="110"/>
      <c r="M208" s="111"/>
    </row>
    <row r="209" ht="18.0" customHeight="1">
      <c r="A209" s="107" t="str">
        <f>'analysis _non-RE-nodes'!A211</f>
        <v>Wild Wombat</v>
      </c>
      <c r="B209" s="80" t="str">
        <f t="shared" si="1"/>
        <v>wild-wombat</v>
      </c>
      <c r="C209" s="108" t="str">
        <f t="shared" si="2"/>
        <v>Wild Wombat</v>
      </c>
      <c r="D209" s="108" t="str">
        <f>IFERROR(__xludf.DUMMYFUNCTION("TEXTJOIN("""", TRUE, ARRAYFORMULA(LEFT(SPLIT(C209, "" ""),1)))"),"WW")</f>
        <v>WW</v>
      </c>
      <c r="E209" s="104"/>
      <c r="F209" s="104" t="s">
        <v>618</v>
      </c>
      <c r="G209" s="110"/>
      <c r="H209" s="110"/>
      <c r="I209" s="110"/>
      <c r="J209" s="110"/>
      <c r="K209" s="110"/>
      <c r="L209" s="110"/>
      <c r="M209" s="111"/>
    </row>
    <row r="210" ht="18.0" customHeight="1">
      <c r="A210" s="107" t="str">
        <f>'analysis _non-RE-nodes'!A212</f>
        <v>Yellow Blue-tongue Skink</v>
      </c>
      <c r="B210" s="80" t="str">
        <f t="shared" si="1"/>
        <v>yellow-blue-tongue-skink</v>
      </c>
      <c r="C210" s="108" t="str">
        <f t="shared" si="2"/>
        <v>Yellow Blue-tongue Skink</v>
      </c>
      <c r="D210" s="108" t="str">
        <f>IFERROR(__xludf.DUMMYFUNCTION("TEXTJOIN("""", TRUE, ARRAYFORMULA(LEFT(SPLIT(C210, "" ""),1)))"),"YBS")</f>
        <v>YBS</v>
      </c>
      <c r="E210" s="104"/>
      <c r="F210" s="104" t="s">
        <v>618</v>
      </c>
      <c r="G210" s="110"/>
      <c r="H210" s="110"/>
      <c r="I210" s="110"/>
      <c r="J210" s="110"/>
      <c r="K210" s="110"/>
      <c r="L210" s="110"/>
      <c r="M210" s="111"/>
    </row>
    <row r="211" ht="18.0" customHeight="1">
      <c r="A211" s="107" t="str">
        <f>'analysis _non-RE-nodes'!A213</f>
        <v>Yellow Cockatoo</v>
      </c>
      <c r="B211" s="80" t="str">
        <f t="shared" si="1"/>
        <v>yellow-cockatoo</v>
      </c>
      <c r="C211" s="108" t="str">
        <f t="shared" si="2"/>
        <v>Yellow Cockatoo</v>
      </c>
      <c r="D211" s="108" t="str">
        <f>IFERROR(__xludf.DUMMYFUNCTION("TEXTJOIN("""", TRUE, ARRAYFORMULA(LEFT(SPLIT(C211, "" ""),1)))"),"YC")</f>
        <v>YC</v>
      </c>
      <c r="E211" s="104"/>
      <c r="F211" s="104" t="s">
        <v>618</v>
      </c>
      <c r="G211" s="110"/>
      <c r="H211" s="110"/>
      <c r="I211" s="110"/>
      <c r="J211" s="110"/>
      <c r="K211" s="110"/>
      <c r="L211" s="110"/>
      <c r="M211" s="111"/>
    </row>
    <row r="212" ht="18.0" customHeight="1">
      <c r="A212" s="107" t="str">
        <f>'analysis _non-RE-nodes'!A214</f>
        <v>Yellow Echidna</v>
      </c>
      <c r="B212" s="80" t="str">
        <f t="shared" si="1"/>
        <v>yellow-echidna</v>
      </c>
      <c r="C212" s="108" t="str">
        <f t="shared" si="2"/>
        <v>Yellow Echidna</v>
      </c>
      <c r="D212" s="108" t="str">
        <f>IFERROR(__xludf.DUMMYFUNCTION("TEXTJOIN("""", TRUE, ARRAYFORMULA(LEFT(SPLIT(C212, "" ""),1)))"),"YE")</f>
        <v>YE</v>
      </c>
      <c r="E212" s="104"/>
      <c r="F212" s="104" t="s">
        <v>618</v>
      </c>
      <c r="G212" s="110"/>
      <c r="H212" s="110"/>
      <c r="I212" s="110"/>
      <c r="J212" s="110"/>
      <c r="K212" s="110"/>
      <c r="L212" s="110"/>
      <c r="M212" s="111"/>
    </row>
    <row r="213" ht="18.0" customHeight="1">
      <c r="A213" s="107" t="str">
        <f>'analysis _non-RE-nodes'!A215</f>
        <v>Yellow Fairy Penguin</v>
      </c>
      <c r="B213" s="80" t="str">
        <f t="shared" si="1"/>
        <v>yellow-fairy-penguin</v>
      </c>
      <c r="C213" s="108" t="str">
        <f t="shared" si="2"/>
        <v>Yellow Fairy Penguin</v>
      </c>
      <c r="D213" s="108" t="str">
        <f>IFERROR(__xludf.DUMMYFUNCTION("TEXTJOIN("""", TRUE, ARRAYFORMULA(LEFT(SPLIT(C213, "" ""),1)))"),"YFP")</f>
        <v>YFP</v>
      </c>
      <c r="E213" s="104"/>
      <c r="F213" s="104" t="s">
        <v>618</v>
      </c>
      <c r="G213" s="110"/>
      <c r="H213" s="110"/>
      <c r="I213" s="110"/>
      <c r="J213" s="110"/>
      <c r="K213" s="110"/>
      <c r="L213" s="110"/>
      <c r="M213" s="111"/>
    </row>
    <row r="214" ht="18.0" customHeight="1">
      <c r="A214" s="107" t="str">
        <f>'analysis _non-RE-nodes'!A216</f>
        <v>Yellow Frilled Neck Lizard</v>
      </c>
      <c r="B214" s="80" t="str">
        <f t="shared" si="1"/>
        <v>yellow-frilled-neck-lizard</v>
      </c>
      <c r="C214" s="108" t="str">
        <f t="shared" si="2"/>
        <v>Yellow Frilled Neck Lizard</v>
      </c>
      <c r="D214" s="108" t="str">
        <f>IFERROR(__xludf.DUMMYFUNCTION("TEXTJOIN("""", TRUE, ARRAYFORMULA(LEFT(SPLIT(C214, "" ""),1)))"),"YFNL")</f>
        <v>YFNL</v>
      </c>
      <c r="E214" s="104"/>
      <c r="F214" s="104" t="s">
        <v>618</v>
      </c>
      <c r="G214" s="110"/>
      <c r="H214" s="110"/>
      <c r="I214" s="110"/>
      <c r="J214" s="110"/>
      <c r="K214" s="110"/>
      <c r="L214" s="110"/>
      <c r="M214" s="111"/>
    </row>
    <row r="215" ht="18.0" customHeight="1">
      <c r="A215" s="107" t="str">
        <f>'analysis _non-RE-nodes'!A217</f>
        <v>Yellow Platypus</v>
      </c>
      <c r="B215" s="80" t="str">
        <f t="shared" si="1"/>
        <v>yellow-platypus</v>
      </c>
      <c r="C215" s="108" t="str">
        <f t="shared" si="2"/>
        <v>Yellow Platypus</v>
      </c>
      <c r="D215" s="108" t="str">
        <f>IFERROR(__xludf.DUMMYFUNCTION("TEXTJOIN("""", TRUE, ARRAYFORMULA(LEFT(SPLIT(C215, "" ""),1)))"),"YP")</f>
        <v>YP</v>
      </c>
      <c r="E215" s="104"/>
      <c r="F215" s="104" t="s">
        <v>618</v>
      </c>
      <c r="G215" s="110"/>
      <c r="H215" s="110"/>
      <c r="I215" s="110"/>
      <c r="J215" s="110"/>
      <c r="K215" s="110"/>
      <c r="L215" s="110"/>
      <c r="M215" s="111"/>
    </row>
    <row r="216" ht="18.0" customHeight="1">
      <c r="A216" s="107" t="str">
        <f>'analysis _non-RE-nodes'!A218</f>
        <v>Yellow Redback Spider</v>
      </c>
      <c r="B216" s="80" t="str">
        <f t="shared" si="1"/>
        <v>yellow-redback-spider</v>
      </c>
      <c r="C216" s="108" t="str">
        <f t="shared" si="2"/>
        <v>Yellow Redback Spider</v>
      </c>
      <c r="D216" s="108" t="str">
        <f>IFERROR(__xludf.DUMMYFUNCTION("TEXTJOIN("""", TRUE, ARRAYFORMULA(LEFT(SPLIT(C216, "" ""),1)))"),"YRS")</f>
        <v>YRS</v>
      </c>
      <c r="E216" s="104"/>
      <c r="F216" s="104" t="s">
        <v>618</v>
      </c>
      <c r="G216" s="110"/>
      <c r="H216" s="110"/>
      <c r="I216" s="110"/>
      <c r="J216" s="110"/>
      <c r="K216" s="110"/>
      <c r="L216" s="110"/>
      <c r="M216" s="111"/>
    </row>
    <row r="217" ht="18.0" customHeight="1">
      <c r="A217" s="107" t="str">
        <f>'analysis _non-RE-nodes'!A219</f>
        <v>Yellow Thorny Devil</v>
      </c>
      <c r="B217" s="80" t="str">
        <f t="shared" si="1"/>
        <v>yellow-thorny-devil</v>
      </c>
      <c r="C217" s="108" t="str">
        <f t="shared" si="2"/>
        <v>Yellow Thorny Devil</v>
      </c>
      <c r="D217" s="108" t="str">
        <f>IFERROR(__xludf.DUMMYFUNCTION("TEXTJOIN("""", TRUE, ARRAYFORMULA(LEFT(SPLIT(C217, "" ""),1)))"),"YTD")</f>
        <v>YTD</v>
      </c>
      <c r="E217" s="104"/>
      <c r="F217" s="104" t="s">
        <v>618</v>
      </c>
      <c r="G217" s="110"/>
      <c r="H217" s="110"/>
      <c r="I217" s="110"/>
      <c r="J217" s="110"/>
      <c r="K217" s="110"/>
      <c r="L217" s="110"/>
      <c r="M217" s="111"/>
    </row>
    <row r="218" ht="18.0" customHeight="1">
      <c r="A218" s="107" t="str">
        <f>'analysis _non-RE-nodes'!A220</f>
        <v>Yellow Tree Kangaroo</v>
      </c>
      <c r="B218" s="80" t="str">
        <f t="shared" si="1"/>
        <v>yellow-tree-kangaroo</v>
      </c>
      <c r="C218" s="108" t="str">
        <f t="shared" si="2"/>
        <v>Yellow Tree Kangaroo</v>
      </c>
      <c r="D218" s="108" t="str">
        <f>IFERROR(__xludf.DUMMYFUNCTION("TEXTJOIN("""", TRUE, ARRAYFORMULA(LEFT(SPLIT(C218, "" ""),1)))"),"YTK")</f>
        <v>YTK</v>
      </c>
      <c r="E218" s="104"/>
      <c r="F218" s="104" t="s">
        <v>618</v>
      </c>
      <c r="G218" s="110"/>
      <c r="H218" s="110"/>
      <c r="I218" s="110"/>
      <c r="J218" s="110"/>
      <c r="K218" s="110"/>
      <c r="L218" s="110"/>
      <c r="M218" s="111"/>
    </row>
    <row r="219" ht="18.0" customHeight="1">
      <c r="A219" s="112" t="str">
        <f>'analysis _non-RE-nodes'!A221</f>
        <v>Yellow Wombat</v>
      </c>
      <c r="B219" s="113" t="str">
        <f t="shared" si="1"/>
        <v>yellow-wombat</v>
      </c>
      <c r="C219" s="114" t="str">
        <f t="shared" si="2"/>
        <v>Yellow Wombat</v>
      </c>
      <c r="D219" s="114" t="str">
        <f>IFERROR(__xludf.DUMMYFUNCTION("TEXTJOIN("""", TRUE, ARRAYFORMULA(LEFT(SPLIT(C219, "" ""),1)))"),"YW")</f>
        <v>YW</v>
      </c>
      <c r="E219" s="115"/>
      <c r="F219" s="104" t="s">
        <v>618</v>
      </c>
      <c r="G219" s="116"/>
      <c r="H219" s="116"/>
      <c r="I219" s="116"/>
      <c r="J219" s="116"/>
      <c r="K219" s="116"/>
      <c r="L219" s="116"/>
      <c r="M219" s="117"/>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36C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13"/>
    <col customWidth="1" min="2" max="2" width="19.25"/>
    <col customWidth="1" min="3" max="3" width="10.0"/>
    <col customWidth="1" min="4" max="4" width="13.5"/>
    <col customWidth="1" min="7" max="7" width="14.0"/>
    <col customWidth="1" min="13" max="13" width="21.38"/>
  </cols>
  <sheetData>
    <row r="1" ht="29.25" customHeight="1">
      <c r="A1" s="84" t="str">
        <f t="array" ref="A1:N1">transpose('meta-link-question-map'!A16:A29)</f>
        <v>node-from</v>
      </c>
      <c r="B1" s="84" t="s">
        <v>859</v>
      </c>
      <c r="C1" s="84" t="s">
        <v>837</v>
      </c>
      <c r="D1" s="84" t="s">
        <v>838</v>
      </c>
      <c r="E1" s="84" t="s">
        <v>860</v>
      </c>
      <c r="F1" s="84" t="s">
        <v>840</v>
      </c>
      <c r="G1" s="84" t="s">
        <v>861</v>
      </c>
      <c r="H1" s="84" t="s">
        <v>843</v>
      </c>
      <c r="I1" s="84" t="s">
        <v>841</v>
      </c>
      <c r="J1" s="84" t="s">
        <v>844</v>
      </c>
      <c r="K1" s="84" t="s">
        <v>842</v>
      </c>
      <c r="L1" s="84" t="s">
        <v>862</v>
      </c>
      <c r="M1" s="84" t="s">
        <v>847</v>
      </c>
      <c r="N1" s="85" t="s">
        <v>848</v>
      </c>
    </row>
    <row r="2" ht="15.75" customHeight="1">
      <c r="A2" s="86" t="str">
        <f>Substitute(SUBSTITUTE(substitute(substitute(substitute(substitute(substitute(substitute(substitute(lower('source-downstream'!A2)," ","-"),"(",""),")",""),"&gt;",""),"&lt;",""),"---","-"),".","-"),"--","-"),"&amp;","-and-")</f>
        <v>blue-lyrebird</v>
      </c>
      <c r="B2" s="86" t="str">
        <f>Substitute(SUBSTITUTE(substitute(substitute(substitute(substitute(substitute(substitute(substitute(lower('source-downstream'!B2)," ","-"),"(",""),")",""),"&gt;",""),"&lt;",""),"---","-"),".","-"),"--","-"),"&amp;","-and-")</f>
        <v>tiny-fairy-penguin</v>
      </c>
      <c r="C2" s="65" t="str">
        <f>if('source-downstream'!C2="",'schema-frequency'!$B$11,vlookup('source-downstream'!C2,FREQUENCY_MAP, 3, FALSE))</f>
        <v>ad-hoc</v>
      </c>
      <c r="D2" s="87" t="str">
        <f>'source-downstream'!D2</f>
        <v>Provision of recycled construction materials 
 Receives final product from all three sites</v>
      </c>
      <c r="E2" s="65" t="str">
        <f>if('source-downstream'!E2="",'schema-geographic-dependency'!$B$5, vlookup('source-downstream'!E2,'schema-geographic-dependency'!A:B,2,FALSE))</f>
        <v>same-region</v>
      </c>
      <c r="F2" s="65" t="str">
        <f>if('source-downstream'!F2="",'schema-yn'!$A$5,vlookup('source-downstream'!F2,YN_MAP,3,FALSE))</f>
        <v>no</v>
      </c>
      <c r="G2" s="87" t="str">
        <f>'source-downstream'!G2</f>
        <v>Within the same region, the wider Melbourne metropolitan area</v>
      </c>
      <c r="H2" s="65" t="str">
        <f>'source-downstream'!H2</f>
        <v/>
      </c>
      <c r="I2" s="65" t="str">
        <f>if('source-downstream'!I2="",'schema-yn'!$A$5,vlookup('source-downstream'!I2,YN_MAP,3,FALSE))</f>
        <v>yes</v>
      </c>
      <c r="J2" s="87" t="str">
        <f>'source-downstream'!J2</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2" s="65" t="str">
        <f>if('source-downstream'!K2="",'data-cleansing-maps'!$L$10,vlookup('source-downstream'!K2,RESILIENCE_OPTION_MAP,3,FALSE))</f>
        <v>not-provided</v>
      </c>
      <c r="L2" s="87" t="str">
        <f>'source-downstream'!L2</f>
        <v/>
      </c>
      <c r="M2" s="65" t="str">
        <f>if('source-downstream'!M2="",'schema-rv-services'!$B$26,vlookup(vlookup('source-downstream'!$M2,'analysis-rv-services'!$C:$E,3,FALSE),'schema-rv-services'!$A:$B,2, FALSE))</f>
        <v>recycled-material</v>
      </c>
      <c r="N2" s="65"/>
    </row>
    <row r="3" ht="15.75" customHeight="1">
      <c r="A3" s="88" t="str">
        <f>Substitute(SUBSTITUTE(substitute(substitute(substitute(substitute(substitute(substitute(substitute(lower('source-downstream'!A3)," ","-"),"(",""),")",""),"&gt;",""),"&lt;",""),"---","-"),".","-"),"--","-"),"&amp;","-and-")</f>
        <v>blue-lyrebird</v>
      </c>
      <c r="B3" s="88" t="str">
        <f>Substitute(SUBSTITUTE(substitute(substitute(substitute(substitute(substitute(substitute(substitute(lower('source-downstream'!B3)," ","-"),"(",""),")",""),"&gt;",""),"&lt;",""),"---","-"),".","-"),"--","-"),"&amp;","-and-")</f>
        <v>blue-lyrebird</v>
      </c>
      <c r="C3" s="70" t="str">
        <f>if('source-downstream'!C3="",'schema-frequency'!$B$11,vlookup('source-downstream'!C3,FREQUENCY_MAP, 3, FALSE))</f>
        <v>ad-hoc</v>
      </c>
      <c r="D3" s="89" t="str">
        <f>'source-downstream'!D3</f>
        <v>Provision of recycled construction materials 
 Receives final product from all three sites</v>
      </c>
      <c r="E3" s="65" t="str">
        <f>if('source-downstream'!E3="",'schema-geographic-dependency'!$B$5, vlookup('source-downstream'!E3,'schema-geographic-dependency'!A:B,2,FALSE))</f>
        <v>same-region</v>
      </c>
      <c r="F3" s="70" t="str">
        <f>if('source-downstream'!F3="",'schema-yn'!$A$5,vlookup('source-downstream'!F3,YN_MAP,3,FALSE))</f>
        <v>no</v>
      </c>
      <c r="G3" s="89" t="str">
        <f>'source-downstream'!G3</f>
        <v>Within the same region, the wider Melbourne metropolitan area</v>
      </c>
      <c r="H3" s="70" t="str">
        <f>'source-downstream'!H3</f>
        <v/>
      </c>
      <c r="I3" s="70" t="str">
        <f>if('source-downstream'!I3="",'schema-yn'!$A$5,vlookup('source-downstream'!I3,YN_MAP,3,FALSE))</f>
        <v>yes</v>
      </c>
      <c r="J3" s="89" t="str">
        <f>'source-downstream'!J3</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3" s="70" t="str">
        <f>if('source-downstream'!K3="",'data-cleansing-maps'!$L$10,vlookup('source-downstream'!K3,RESILIENCE_OPTION_MAP,3,FALSE))</f>
        <v>not-provided</v>
      </c>
      <c r="L3" s="89" t="str">
        <f>'source-downstream'!L3</f>
        <v/>
      </c>
      <c r="M3" s="65" t="str">
        <f>if('source-downstream'!M3="",'schema-rv-services'!$B$26,vlookup(vlookup('source-downstream'!$M3,'analysis-rv-services'!$C:$E,3,FALSE),'schema-rv-services'!$A:$B,2, FALSE))</f>
        <v>recycled-material</v>
      </c>
      <c r="N3" s="70"/>
    </row>
    <row r="4" ht="15.75" customHeight="1">
      <c r="A4" s="88" t="str">
        <f>Substitute(SUBSTITUTE(substitute(substitute(substitute(substitute(substitute(substitute(substitute(lower('source-downstream'!A4)," ","-"),"(",""),")",""),"&gt;",""),"&lt;",""),"---","-"),".","-"),"--","-"),"&amp;","-and-")</f>
        <v>blue-lyrebird</v>
      </c>
      <c r="B4" s="88" t="str">
        <f>Substitute(SUBSTITUTE(substitute(substitute(substitute(substitute(substitute(substitute(substitute(lower('source-downstream'!B4)," ","-"),"(",""),")",""),"&gt;",""),"&lt;",""),"---","-"),".","-"),"--","-"),"&amp;","-and-")</f>
        <v>striped-tree-kangaroo</v>
      </c>
      <c r="C4" s="70" t="str">
        <f>if('source-downstream'!C4="",'schema-frequency'!$B$11,vlookup('source-downstream'!C4,FREQUENCY_MAP, 3, FALSE))</f>
        <v>ad-hoc</v>
      </c>
      <c r="D4" s="89" t="str">
        <f>'source-downstream'!D4</f>
        <v>Provision of recycled construction materials 
 Receives final product from all three sites</v>
      </c>
      <c r="E4" s="65" t="str">
        <f>if('source-downstream'!E4="",'schema-geographic-dependency'!$B$5, vlookup('source-downstream'!E4,'schema-geographic-dependency'!A:B,2,FALSE))</f>
        <v>same-region</v>
      </c>
      <c r="F4" s="70" t="str">
        <f>if('source-downstream'!F4="",'schema-yn'!$A$5,vlookup('source-downstream'!F4,YN_MAP,3,FALSE))</f>
        <v>no</v>
      </c>
      <c r="G4" s="89" t="str">
        <f>'source-downstream'!G4</f>
        <v>Within the same region, the wider Melbourne metropolitan area</v>
      </c>
      <c r="H4" s="70" t="str">
        <f>'source-downstream'!H4</f>
        <v/>
      </c>
      <c r="I4" s="70" t="str">
        <f>if('source-downstream'!I4="",'schema-yn'!$A$5,vlookup('source-downstream'!I4,YN_MAP,3,FALSE))</f>
        <v>yes</v>
      </c>
      <c r="J4" s="89" t="str">
        <f>'source-downstream'!J4</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4" s="70" t="str">
        <f>if('source-downstream'!K4="",'data-cleansing-maps'!$L$10,vlookup('source-downstream'!K4,RESILIENCE_OPTION_MAP,3,FALSE))</f>
        <v>not-provided</v>
      </c>
      <c r="L4" s="89" t="str">
        <f>'source-downstream'!L4</f>
        <v/>
      </c>
      <c r="M4" s="65" t="str">
        <f>if('source-downstream'!M4="",'schema-rv-services'!$B$26,vlookup(vlookup('source-downstream'!$M4,'analysis-rv-services'!$C:$E,3,FALSE),'schema-rv-services'!$A:$B,2, FALSE))</f>
        <v>recycled-material</v>
      </c>
      <c r="N4" s="70"/>
    </row>
    <row r="5" ht="15.75" customHeight="1">
      <c r="A5" s="88" t="str">
        <f>Substitute(SUBSTITUTE(substitute(substitute(substitute(substitute(substitute(substitute(substitute(lower('source-downstream'!A5)," ","-"),"(",""),")",""),"&gt;",""),"&lt;",""),"---","-"),".","-"),"--","-"),"&amp;","-and-")</f>
        <v>blue-lyrebird</v>
      </c>
      <c r="B5" s="88" t="str">
        <f>Substitute(SUBSTITUTE(substitute(substitute(substitute(substitute(substitute(substitute(substitute(lower('source-downstream'!B5)," ","-"),"(",""),")",""),"&gt;",""),"&lt;",""),"---","-"),".","-"),"--","-"),"&amp;","-and-")</f>
        <v>fuzzy-quokka</v>
      </c>
      <c r="C5" s="70" t="str">
        <f>if('source-downstream'!C5="",'schema-frequency'!$B$11,vlookup('source-downstream'!C5,FREQUENCY_MAP, 3, FALSE))</f>
        <v>ad-hoc</v>
      </c>
      <c r="D5" s="89" t="str">
        <f>'source-downstream'!D5</f>
        <v>Provision of recycled construction materials 
 Receives final product from all three sites</v>
      </c>
      <c r="E5" s="65" t="str">
        <f>if('source-downstream'!E5="",'schema-geographic-dependency'!$B$5, vlookup('source-downstream'!E5,'schema-geographic-dependency'!A:B,2,FALSE))</f>
        <v>same-region</v>
      </c>
      <c r="F5" s="70" t="str">
        <f>if('source-downstream'!F5="",'schema-yn'!$A$5,vlookup('source-downstream'!F5,YN_MAP,3,FALSE))</f>
        <v>no</v>
      </c>
      <c r="G5" s="89" t="str">
        <f>'source-downstream'!G5</f>
        <v>Within the same region, the wider Melbourne metropolitan area</v>
      </c>
      <c r="H5" s="70" t="str">
        <f>'source-downstream'!H5</f>
        <v/>
      </c>
      <c r="I5" s="70" t="str">
        <f>if('source-downstream'!I5="",'schema-yn'!$A$5,vlookup('source-downstream'!I5,YN_MAP,3,FALSE))</f>
        <v>yes</v>
      </c>
      <c r="J5" s="89" t="str">
        <f>'source-downstream'!J5</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5" s="70" t="str">
        <f>if('source-downstream'!K5="",'data-cleansing-maps'!$L$10,vlookup('source-downstream'!K5,RESILIENCE_OPTION_MAP,3,FALSE))</f>
        <v>alternative-supplier</v>
      </c>
      <c r="L5" s="89" t="str">
        <f>'source-downstream'!L5</f>
        <v/>
      </c>
      <c r="M5" s="65" t="str">
        <f>if('source-downstream'!M5="",'schema-rv-services'!$B$26,vlookup(vlookup('source-downstream'!$M5,'analysis-rv-services'!$C:$E,3,FALSE),'schema-rv-services'!$A:$B,2, FALSE))</f>
        <v>recycled-material</v>
      </c>
      <c r="N5" s="70"/>
    </row>
    <row r="6" ht="15.75" customHeight="1">
      <c r="A6" s="88" t="str">
        <f>Substitute(SUBSTITUTE(substitute(substitute(substitute(substitute(substitute(substitute(substitute(lower('source-downstream'!A6)," ","-"),"(",""),")",""),"&gt;",""),"&lt;",""),"---","-"),".","-"),"--","-"),"&amp;","-and-")</f>
        <v>blue-lyrebird</v>
      </c>
      <c r="B6" s="88" t="str">
        <f>Substitute(SUBSTITUTE(substitute(substitute(substitute(substitute(substitute(substitute(substitute(lower('source-downstream'!B6)," ","-"),"(",""),")",""),"&gt;",""),"&lt;",""),"---","-"),".","-"),"--","-"),"&amp;","-and-")</f>
        <v>blue-frilled-neck-lizard</v>
      </c>
      <c r="C6" s="70" t="str">
        <f>if('source-downstream'!C6="",'schema-frequency'!$B$11,vlookup('source-downstream'!C6,FREQUENCY_MAP, 3, FALSE))</f>
        <v>ad-hoc</v>
      </c>
      <c r="D6" s="89" t="str">
        <f>'source-downstream'!D6</f>
        <v>Provision of recycled construction materials 
 Receives final product from Clarinda and Laverton North</v>
      </c>
      <c r="E6" s="65" t="str">
        <f>if('source-downstream'!E6="",'schema-geographic-dependency'!$B$5, vlookup('source-downstream'!E6,'schema-geographic-dependency'!A:B,2,FALSE))</f>
        <v>same-region</v>
      </c>
      <c r="F6" s="70" t="str">
        <f>if('source-downstream'!F6="",'schema-yn'!$A$5,vlookup('source-downstream'!F6,YN_MAP,3,FALSE))</f>
        <v>no</v>
      </c>
      <c r="G6" s="89" t="str">
        <f>'source-downstream'!G6</f>
        <v>Within the same region, the wider Melbourne metropolitan area</v>
      </c>
      <c r="H6" s="70" t="str">
        <f>'source-downstream'!H6</f>
        <v/>
      </c>
      <c r="I6" s="70" t="str">
        <f>if('source-downstream'!I6="",'schema-yn'!$A$5,vlookup('source-downstream'!I6,YN_MAP,3,FALSE))</f>
        <v>yes</v>
      </c>
      <c r="J6" s="89" t="str">
        <f>'source-downstream'!J6</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6" s="70" t="str">
        <f>if('source-downstream'!K6="",'data-cleansing-maps'!$L$10,vlookup('source-downstream'!K6,RESILIENCE_OPTION_MAP,3,FALSE))</f>
        <v>alternative-supplier</v>
      </c>
      <c r="L6" s="89" t="str">
        <f>'source-downstream'!L6</f>
        <v/>
      </c>
      <c r="M6" s="65" t="str">
        <f>if('source-downstream'!M6="",'schema-rv-services'!$B$26,vlookup(vlookup('source-downstream'!$M6,'analysis-rv-services'!$C:$E,3,FALSE),'schema-rv-services'!$A:$B,2, FALSE))</f>
        <v>recycled-material</v>
      </c>
      <c r="N6" s="70"/>
    </row>
    <row r="7" ht="15.75" customHeight="1">
      <c r="A7" s="88" t="str">
        <f>Substitute(SUBSTITUTE(substitute(substitute(substitute(substitute(substitute(substitute(substitute(lower('source-downstream'!A7)," ","-"),"(",""),")",""),"&gt;",""),"&lt;",""),"---","-"),".","-"),"--","-"),"&amp;","-and-")</f>
        <v>blue-lyrebird</v>
      </c>
      <c r="B7" s="88" t="str">
        <f>Substitute(SUBSTITUTE(substitute(substitute(substitute(substitute(substitute(substitute(substitute(lower('source-downstream'!B7)," ","-"),"(",""),")",""),"&gt;",""),"&lt;",""),"---","-"),".","-"),"--","-"),"&amp;","-and-")</f>
        <v>clever-goanna</v>
      </c>
      <c r="C7" s="70" t="str">
        <f>if('source-downstream'!C7="",'schema-frequency'!$B$11,vlookup('source-downstream'!C7,FREQUENCY_MAP, 3, FALSE))</f>
        <v>ad-hoc</v>
      </c>
      <c r="D7" s="89" t="str">
        <f>'source-downstream'!D7</f>
        <v>Provision of recycled construction materials 
 Receives final product from all three sites</v>
      </c>
      <c r="E7" s="65" t="str">
        <f>if('source-downstream'!E7="",'schema-geographic-dependency'!$B$5, vlookup('source-downstream'!E7,'schema-geographic-dependency'!A:B,2,FALSE))</f>
        <v>same-region</v>
      </c>
      <c r="F7" s="70" t="str">
        <f>if('source-downstream'!F7="",'schema-yn'!$A$5,vlookup('source-downstream'!F7,YN_MAP,3,FALSE))</f>
        <v>no</v>
      </c>
      <c r="G7" s="89" t="str">
        <f>'source-downstream'!G7</f>
        <v>Within the same region, the wider Melbourne metropolitan area</v>
      </c>
      <c r="H7" s="70" t="str">
        <f>'source-downstream'!H7</f>
        <v/>
      </c>
      <c r="I7" s="70" t="str">
        <f>if('source-downstream'!I7="",'schema-yn'!$A$5,vlookup('source-downstream'!I7,YN_MAP,3,FALSE))</f>
        <v>yes</v>
      </c>
      <c r="J7" s="89" t="str">
        <f>'source-downstream'!J7</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7" s="70" t="str">
        <f>if('source-downstream'!K7="",'data-cleansing-maps'!$L$10,vlookup('source-downstream'!K7,RESILIENCE_OPTION_MAP,3,FALSE))</f>
        <v>alternative-supplier</v>
      </c>
      <c r="L7" s="89" t="str">
        <f>'source-downstream'!L7</f>
        <v>– Mickleham Rd Upgrade</v>
      </c>
      <c r="M7" s="65" t="str">
        <f>if('source-downstream'!M7="",'schema-rv-services'!$B$26,vlookup(vlookup('source-downstream'!$M7,'analysis-rv-services'!$C:$E,3,FALSE),'schema-rv-services'!$A:$B,2, FALSE))</f>
        <v>recycled-material</v>
      </c>
      <c r="N7" s="70"/>
    </row>
    <row r="8" ht="15.75" customHeight="1">
      <c r="A8" s="88" t="str">
        <f>Substitute(SUBSTITUTE(substitute(substitute(substitute(substitute(substitute(substitute(substitute(lower('source-downstream'!A8)," ","-"),"(",""),")",""),"&gt;",""),"&lt;",""),"---","-"),".","-"),"--","-"),"&amp;","-and-")</f>
        <v>blue-lyrebird</v>
      </c>
      <c r="B8" s="88" t="str">
        <f>Substitute(SUBSTITUTE(substitute(substitute(substitute(substitute(substitute(substitute(substitute(lower('source-downstream'!B8)," ","-"),"(",""),")",""),"&gt;",""),"&lt;",""),"---","-"),".","-"),"--","-"),"&amp;","-and-")</f>
        <v>red-wombat</v>
      </c>
      <c r="C8" s="70" t="str">
        <f>if('source-downstream'!C8="",'schema-frequency'!$B$11,vlookup('source-downstream'!C8,FREQUENCY_MAP, 3, FALSE))</f>
        <v>ad-hoc</v>
      </c>
      <c r="D8" s="89" t="str">
        <f>'source-downstream'!D8</f>
        <v>Provision of recycled construction materials 
 Receives final product from all three sites</v>
      </c>
      <c r="E8" s="65" t="str">
        <f>if('source-downstream'!E8="",'schema-geographic-dependency'!$B$5, vlookup('source-downstream'!E8,'schema-geographic-dependency'!A:B,2,FALSE))</f>
        <v>same-region</v>
      </c>
      <c r="F8" s="70" t="str">
        <f>if('source-downstream'!F8="",'schema-yn'!$A$5,vlookup('source-downstream'!F8,YN_MAP,3,FALSE))</f>
        <v>no</v>
      </c>
      <c r="G8" s="89" t="str">
        <f>'source-downstream'!G8</f>
        <v>Within the same region, the wider Melbourne metropolitan area</v>
      </c>
      <c r="H8" s="70" t="str">
        <f>'source-downstream'!H8</f>
        <v/>
      </c>
      <c r="I8" s="70" t="str">
        <f>if('source-downstream'!I8="",'schema-yn'!$A$5,vlookup('source-downstream'!I8,YN_MAP,3,FALSE))</f>
        <v>yes</v>
      </c>
      <c r="J8" s="89" t="str">
        <f>'source-downstream'!J8</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8" s="70" t="str">
        <f>if('source-downstream'!K8="",'data-cleansing-maps'!$L$10,vlookup('source-downstream'!K8,RESILIENCE_OPTION_MAP,3,FALSE))</f>
        <v>alternative-supplier</v>
      </c>
      <c r="L8" s="89" t="str">
        <f>'source-downstream'!L8</f>
        <v>– Narre Warren Upgrade</v>
      </c>
      <c r="M8" s="65" t="str">
        <f>if('source-downstream'!M8="",'schema-rv-services'!$B$26,vlookup(vlookup('source-downstream'!$M8,'analysis-rv-services'!$C:$E,3,FALSE),'schema-rv-services'!$A:$B,2, FALSE))</f>
        <v>recycled-material</v>
      </c>
      <c r="N8" s="70"/>
    </row>
    <row r="9" ht="15.75" customHeight="1">
      <c r="A9" s="88" t="str">
        <f>Substitute(SUBSTITUTE(substitute(substitute(substitute(substitute(substitute(substitute(substitute(lower('source-downstream'!A9)," ","-"),"(",""),")",""),"&gt;",""),"&lt;",""),"---","-"),".","-"),"--","-"),"&amp;","-and-")</f>
        <v>blue-lyrebird</v>
      </c>
      <c r="B9" s="88" t="str">
        <f>Substitute(SUBSTITUTE(substitute(substitute(substitute(substitute(substitute(substitute(substitute(lower('source-downstream'!B9)," ","-"),"(",""),")",""),"&gt;",""),"&lt;",""),"---","-"),".","-"),"--","-"),"&amp;","-and-")</f>
        <v>green-emu</v>
      </c>
      <c r="C9" s="70" t="str">
        <f>if('source-downstream'!C9="",'schema-frequency'!$B$11,vlookup('source-downstream'!C9,FREQUENCY_MAP, 3, FALSE))</f>
        <v>ad-hoc</v>
      </c>
      <c r="D9" s="89" t="str">
        <f>'source-downstream'!D9</f>
        <v>Provision of recycled construction materials 
 Receives final product from all three sites</v>
      </c>
      <c r="E9" s="65" t="str">
        <f>if('source-downstream'!E9="",'schema-geographic-dependency'!$B$5, vlookup('source-downstream'!E9,'schema-geographic-dependency'!A:B,2,FALSE))</f>
        <v>same-region</v>
      </c>
      <c r="F9" s="70" t="str">
        <f>if('source-downstream'!F9="",'schema-yn'!$A$5,vlookup('source-downstream'!F9,YN_MAP,3,FALSE))</f>
        <v>no</v>
      </c>
      <c r="G9" s="89" t="str">
        <f>'source-downstream'!G9</f>
        <v>Within the same region, the wider Melbourne metropolitan area</v>
      </c>
      <c r="H9" s="70" t="str">
        <f>'source-downstream'!H9</f>
        <v/>
      </c>
      <c r="I9" s="70" t="str">
        <f>if('source-downstream'!I9="",'schema-yn'!$A$5,vlookup('source-downstream'!I9,YN_MAP,3,FALSE))</f>
        <v>yes</v>
      </c>
      <c r="J9" s="89" t="str">
        <f>'source-downstream'!J9</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9" s="70" t="str">
        <f>if('source-downstream'!K9="",'data-cleansing-maps'!$L$10,vlookup('source-downstream'!K9,RESILIENCE_OPTION_MAP,3,FALSE))</f>
        <v>alternative-supplier</v>
      </c>
      <c r="L9" s="89" t="str">
        <f>'source-downstream'!L9</f>
        <v/>
      </c>
      <c r="M9" s="65" t="str">
        <f>if('source-downstream'!M9="",'schema-rv-services'!$B$26,vlookup(vlookup('source-downstream'!$M9,'analysis-rv-services'!$C:$E,3,FALSE),'schema-rv-services'!$A:$B,2, FALSE))</f>
        <v>recycled-material</v>
      </c>
      <c r="N9" s="70"/>
    </row>
    <row r="10" ht="15.75" customHeight="1">
      <c r="A10" s="88" t="str">
        <f>Substitute(SUBSTITUTE(substitute(substitute(substitute(substitute(substitute(substitute(substitute(lower('source-downstream'!A10)," ","-"),"(",""),")",""),"&gt;",""),"&lt;",""),"---","-"),".","-"),"--","-"),"&amp;","-and-")</f>
        <v>blue-lyrebird</v>
      </c>
      <c r="B10" s="88" t="str">
        <f>Substitute(SUBSTITUTE(substitute(substitute(substitute(substitute(substitute(substitute(substitute(lower('source-downstream'!B10)," ","-"),"(",""),")",""),"&gt;",""),"&lt;",""),"---","-"),".","-"),"--","-"),"&amp;","-and-")</f>
        <v>golden-emu</v>
      </c>
      <c r="C10" s="70" t="str">
        <f>if('source-downstream'!C10="",'schema-frequency'!$B$11,vlookup('source-downstream'!C10,FREQUENCY_MAP, 3, FALSE))</f>
        <v>ad-hoc</v>
      </c>
      <c r="D10" s="89" t="str">
        <f>'source-downstream'!D10</f>
        <v>Provision of recycled construction materials 
 Receives final product from all three sites</v>
      </c>
      <c r="E10" s="65" t="str">
        <f>if('source-downstream'!E10="",'schema-geographic-dependency'!$B$5, vlookup('source-downstream'!E10,'schema-geographic-dependency'!A:B,2,FALSE))</f>
        <v>same-region</v>
      </c>
      <c r="F10" s="70" t="str">
        <f>if('source-downstream'!F10="",'schema-yn'!$A$5,vlookup('source-downstream'!F10,YN_MAP,3,FALSE))</f>
        <v>no</v>
      </c>
      <c r="G10" s="89" t="str">
        <f>'source-downstream'!G10</f>
        <v>Within the same region, the wider Melbourne metropolitan area</v>
      </c>
      <c r="H10" s="70" t="str">
        <f>'source-downstream'!H10</f>
        <v/>
      </c>
      <c r="I10" s="70" t="str">
        <f>if('source-downstream'!I10="",'schema-yn'!$A$5,vlookup('source-downstream'!I10,YN_MAP,3,FALSE))</f>
        <v>yes</v>
      </c>
      <c r="J10" s="89" t="str">
        <f>'source-downstream'!J10</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10" s="70" t="str">
        <f>if('source-downstream'!K10="",'data-cleansing-maps'!$L$10,vlookup('source-downstream'!K10,RESILIENCE_OPTION_MAP,3,FALSE))</f>
        <v>alternative-supplier</v>
      </c>
      <c r="L10" s="89" t="str">
        <f>'source-downstream'!L10</f>
        <v/>
      </c>
      <c r="M10" s="65" t="str">
        <f>if('source-downstream'!M10="",'schema-rv-services'!$B$26,vlookup(vlookup('source-downstream'!$M10,'analysis-rv-services'!$C:$E,3,FALSE),'schema-rv-services'!$A:$B,2, FALSE))</f>
        <v>recycled-material</v>
      </c>
      <c r="N10" s="70"/>
    </row>
    <row r="11" ht="15.75" customHeight="1">
      <c r="A11" s="88" t="str">
        <f>Substitute(SUBSTITUTE(substitute(substitute(substitute(substitute(substitute(substitute(substitute(lower('source-downstream'!A11)," ","-"),"(",""),")",""),"&gt;",""),"&lt;",""),"---","-"),".","-"),"--","-"),"&amp;","-and-")</f>
        <v>blue-lyrebird</v>
      </c>
      <c r="B11" s="88" t="str">
        <f>Substitute(SUBSTITUTE(substitute(substitute(substitute(substitute(substitute(substitute(substitute(lower('source-downstream'!B11)," ","-"),"(",""),")",""),"&gt;",""),"&lt;",""),"---","-"),".","-"),"--","-"),"&amp;","-and-")</f>
        <v>tiny-echidna</v>
      </c>
      <c r="C11" s="70" t="str">
        <f>if('source-downstream'!C11="",'schema-frequency'!$B$11,vlookup('source-downstream'!C11,FREQUENCY_MAP, 3, FALSE))</f>
        <v>ad-hoc</v>
      </c>
      <c r="D11" s="89" t="str">
        <f>'source-downstream'!D11</f>
        <v>Provision of recycled construction materials 
 Receives final product from all three sites</v>
      </c>
      <c r="E11" s="65" t="str">
        <f>if('source-downstream'!E11="",'schema-geographic-dependency'!$B$5, vlookup('source-downstream'!E11,'schema-geographic-dependency'!A:B,2,FALSE))</f>
        <v>same-region</v>
      </c>
      <c r="F11" s="70" t="str">
        <f>if('source-downstream'!F11="",'schema-yn'!$A$5,vlookup('source-downstream'!F11,YN_MAP,3,FALSE))</f>
        <v>no</v>
      </c>
      <c r="G11" s="89" t="str">
        <f>'source-downstream'!G11</f>
        <v>Within the same region, the wider Melbourne metropolitan area</v>
      </c>
      <c r="H11" s="70" t="str">
        <f>'source-downstream'!H11</f>
        <v/>
      </c>
      <c r="I11" s="70" t="str">
        <f>if('source-downstream'!I11="",'schema-yn'!$A$5,vlookup('source-downstream'!I11,YN_MAP,3,FALSE))</f>
        <v>yes</v>
      </c>
      <c r="J11" s="89" t="str">
        <f>'source-downstream'!J11</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11" s="70" t="str">
        <f>if('source-downstream'!K11="",'data-cleansing-maps'!$L$10,vlookup('source-downstream'!K11,RESILIENCE_OPTION_MAP,3,FALSE))</f>
        <v>alternative-supplier</v>
      </c>
      <c r="L11" s="89" t="str">
        <f>'source-downstream'!L11</f>
        <v/>
      </c>
      <c r="M11" s="65" t="str">
        <f>if('source-downstream'!M11="",'schema-rv-services'!$B$26,vlookup(vlookup('source-downstream'!$M11,'analysis-rv-services'!$C:$E,3,FALSE),'schema-rv-services'!$A:$B,2, FALSE))</f>
        <v>recycled-material</v>
      </c>
      <c r="N11" s="70"/>
    </row>
    <row r="12" ht="15.75" customHeight="1">
      <c r="A12" s="88" t="str">
        <f>Substitute(SUBSTITUTE(substitute(substitute(substitute(substitute(substitute(substitute(substitute(lower('source-downstream'!A12)," ","-"),"(",""),")",""),"&gt;",""),"&lt;",""),"---","-"),".","-"),"--","-"),"&amp;","-and-")</f>
        <v>clever-frilled-neck-lizard</v>
      </c>
      <c r="B12" s="88" t="str">
        <f>Substitute(SUBSTITUTE(substitute(substitute(substitute(substitute(substitute(substitute(substitute(lower('source-downstream'!B12)," ","-"),"(",""),")",""),"&gt;",""),"&lt;",""),"---","-"),".","-"),"--","-"),"&amp;","-and-")</f>
        <v>happy-blue-tongue-skink</v>
      </c>
      <c r="C12" s="70" t="str">
        <f>if('source-downstream'!C12="",'schema-frequency'!$B$11,vlookup('source-downstream'!C12,FREQUENCY_MAP, 3, FALSE))</f>
        <v>daily</v>
      </c>
      <c r="D12" s="89" t="str">
        <f>'source-downstream'!D12</f>
        <v>Potting mix and growing media</v>
      </c>
      <c r="E12" s="65" t="str">
        <f>if('source-downstream'!E12="",'schema-geographic-dependency'!$B$5, vlookup('source-downstream'!E12,'schema-geographic-dependency'!A:B,2,FALSE))</f>
        <v>statewide</v>
      </c>
      <c r="F12" s="70" t="str">
        <f>if('source-downstream'!F12="",'schema-yn'!$A$5,vlookup('source-downstream'!F12,YN_MAP,3,FALSE))</f>
        <v>no</v>
      </c>
      <c r="G12" s="89" t="str">
        <f>'source-downstream'!G12</f>
        <v>Clever Frilled Neck Lizard can provide alternative services within the state and outside of the state</v>
      </c>
      <c r="H12" s="70" t="str">
        <f>'source-downstream'!H12</f>
        <v>["clever-frilled-neck-lizard "]</v>
      </c>
      <c r="I12" s="70" t="str">
        <f>if('source-downstream'!I12="",'schema-yn'!$A$5,vlookup('source-downstream'!I12,YN_MAP,3,FALSE))</f>
        <v>partially</v>
      </c>
      <c r="J12" s="89" t="str">
        <f>'source-downstream'!J12</f>
        <v>The grower/nursery industry may be impacted if Clever Frilled Neck Lizard was unable to supply their growing media to meet their demand/production levels.</v>
      </c>
      <c r="K12" s="70" t="str">
        <f>if('source-downstream'!K12="",'data-cleansing-maps'!$L$10,vlookup('source-downstream'!K12,RESILIENCE_OPTION_MAP,3,FALSE))</f>
        <v>alternative-supplier</v>
      </c>
      <c r="L12" s="89" t="str">
        <f>'source-downstream'!L12</f>
        <v/>
      </c>
      <c r="M12" s="65" t="str">
        <f>if('source-downstream'!M12="",'schema-rv-services'!$B$26,vlookup(vlookup('source-downstream'!$M12,'analysis-rv-services'!$C:$E,3,FALSE),'schema-rv-services'!$A:$B,2, FALSE))</f>
        <v>recycled-material</v>
      </c>
      <c r="N12" s="70"/>
    </row>
    <row r="13" ht="15.75" customHeight="1">
      <c r="A13" s="88" t="str">
        <f>Substitute(SUBSTITUTE(substitute(substitute(substitute(substitute(substitute(substitute(substitute(lower('source-downstream'!A13)," ","-"),"(",""),")",""),"&gt;",""),"&lt;",""),"---","-"),".","-"),"--","-"),"&amp;","-and-")</f>
        <v>clever-frilled-neck-lizard</v>
      </c>
      <c r="B13" s="88" t="str">
        <f>Substitute(SUBSTITUTE(substitute(substitute(substitute(substitute(substitute(substitute(substitute(lower('source-downstream'!B13)," ","-"),"(",""),")",""),"&gt;",""),"&lt;",""),"---","-"),".","-"),"--","-"),"&amp;","-and-")</f>
        <v>sleepy-numbat</v>
      </c>
      <c r="C13" s="70" t="str">
        <f>if('source-downstream'!C13="",'schema-frequency'!$B$11,vlookup('source-downstream'!C13,FREQUENCY_MAP, 3, FALSE))</f>
        <v>daily</v>
      </c>
      <c r="D13" s="89" t="str">
        <f>'source-downstream'!D13</f>
        <v>Potting mix and growing media</v>
      </c>
      <c r="E13" s="65" t="str">
        <f>if('source-downstream'!E13="",'schema-geographic-dependency'!$B$5, vlookup('source-downstream'!E13,'schema-geographic-dependency'!A:B,2,FALSE))</f>
        <v>statewide</v>
      </c>
      <c r="F13" s="70" t="str">
        <f>if('source-downstream'!F13="",'schema-yn'!$A$5,vlookup('source-downstream'!F13,YN_MAP,3,FALSE))</f>
        <v>no</v>
      </c>
      <c r="G13" s="89" t="str">
        <f>'source-downstream'!G13</f>
        <v>Clever Frilled Neck Lizard can provide alternative services within the state and outside of the state</v>
      </c>
      <c r="H13" s="70" t="str">
        <f>'source-downstream'!H13</f>
        <v>["clever-frilled-neck-lizard "]</v>
      </c>
      <c r="I13" s="70" t="str">
        <f>if('source-downstream'!I13="",'schema-yn'!$A$5,vlookup('source-downstream'!I13,YN_MAP,3,FALSE))</f>
        <v>partially</v>
      </c>
      <c r="J13" s="89" t="str">
        <f>'source-downstream'!J13</f>
        <v>The grower/nursery industry may be impacted if Clever Frilled Neck Lizard was unable to supply their growing media to meet their demand/production levels.</v>
      </c>
      <c r="K13" s="70" t="str">
        <f>if('source-downstream'!K13="",'data-cleansing-maps'!$L$10,vlookup('source-downstream'!K13,RESILIENCE_OPTION_MAP,3,FALSE))</f>
        <v>alternative-supplier</v>
      </c>
      <c r="L13" s="89" t="str">
        <f>'source-downstream'!L13</f>
        <v/>
      </c>
      <c r="M13" s="65" t="str">
        <f>if('source-downstream'!M13="",'schema-rv-services'!$B$26,vlookup(vlookup('source-downstream'!$M13,'analysis-rv-services'!$C:$E,3,FALSE),'schema-rv-services'!$A:$B,2, FALSE))</f>
        <v>recycled-material</v>
      </c>
      <c r="N13" s="70"/>
    </row>
    <row r="14" ht="15.75" customHeight="1">
      <c r="A14" s="88" t="str">
        <f>Substitute(SUBSTITUTE(substitute(substitute(substitute(substitute(substitute(substitute(substitute(lower('source-downstream'!A14)," ","-"),"(",""),")",""),"&gt;",""),"&lt;",""),"---","-"),".","-"),"--","-"),"&amp;","-and-")</f>
        <v>clever-frilled-neck-lizard</v>
      </c>
      <c r="B14" s="88" t="str">
        <f>Substitute(SUBSTITUTE(substitute(substitute(substitute(substitute(substitute(substitute(substitute(lower('source-downstream'!B14)," ","-"),"(",""),")",""),"&gt;",""),"&lt;",""),"---","-"),".","-"),"--","-"),"&amp;","-and-")</f>
        <v>swift-fairy-penguin</v>
      </c>
      <c r="C14" s="70" t="str">
        <f>if('source-downstream'!C14="",'schema-frequency'!$B$11,vlookup('source-downstream'!C14,FREQUENCY_MAP, 3, FALSE))</f>
        <v>daily</v>
      </c>
      <c r="D14" s="89" t="str">
        <f>'source-downstream'!D14</f>
        <v>Potting mix and growing media</v>
      </c>
      <c r="E14" s="65" t="str">
        <f>if('source-downstream'!E14="",'schema-geographic-dependency'!$B$5, vlookup('source-downstream'!E14,'schema-geographic-dependency'!A:B,2,FALSE))</f>
        <v>statewide</v>
      </c>
      <c r="F14" s="70" t="str">
        <f>if('source-downstream'!F14="",'schema-yn'!$A$5,vlookup('source-downstream'!F14,YN_MAP,3,FALSE))</f>
        <v>no</v>
      </c>
      <c r="G14" s="89" t="str">
        <f>'source-downstream'!G14</f>
        <v>Clever Frilled Neck Lizard can provide alternative services within the state and outside of the state</v>
      </c>
      <c r="H14" s="70" t="str">
        <f>'source-downstream'!H14</f>
        <v>["clever-frilled-neck-lizard "]</v>
      </c>
      <c r="I14" s="70" t="str">
        <f>if('source-downstream'!I14="",'schema-yn'!$A$5,vlookup('source-downstream'!I14,YN_MAP,3,FALSE))</f>
        <v>partially</v>
      </c>
      <c r="J14" s="89" t="str">
        <f>'source-downstream'!J14</f>
        <v>The grower/nursery industry may be impacted if Clever Frilled Neck Lizard was unable to supply their growing media to meet their demand/production levels.</v>
      </c>
      <c r="K14" s="70" t="str">
        <f>if('source-downstream'!K14="",'data-cleansing-maps'!$L$10,vlookup('source-downstream'!K14,RESILIENCE_OPTION_MAP,3,FALSE))</f>
        <v>alternative-supplier</v>
      </c>
      <c r="L14" s="89" t="str">
        <f>'source-downstream'!L14</f>
        <v/>
      </c>
      <c r="M14" s="65" t="str">
        <f>if('source-downstream'!M14="",'schema-rv-services'!$B$26,vlookup(vlookup('source-downstream'!$M14,'analysis-rv-services'!$C:$E,3,FALSE),'schema-rv-services'!$A:$B,2, FALSE))</f>
        <v>recycled-material</v>
      </c>
      <c r="N14" s="70"/>
    </row>
    <row r="15" ht="15.75" customHeight="1">
      <c r="A15" s="88" t="str">
        <f>Substitute(SUBSTITUTE(substitute(substitute(substitute(substitute(substitute(substitute(substitute(lower('source-downstream'!A15)," ","-"),"(",""),")",""),"&gt;",""),"&lt;",""),"---","-"),".","-"),"--","-"),"&amp;","-and-")</f>
        <v>clever-frilled-neck-lizard</v>
      </c>
      <c r="B15" s="88" t="str">
        <f>Substitute(SUBSTITUTE(substitute(substitute(substitute(substitute(substitute(substitute(substitute(lower('source-downstream'!B15)," ","-"),"(",""),")",""),"&gt;",""),"&lt;",""),"---","-"),".","-"),"--","-"),"&amp;","-and-")</f>
        <v>tiny-bandicoot</v>
      </c>
      <c r="C15" s="70" t="str">
        <f>if('source-downstream'!C15="",'schema-frequency'!$B$11,vlookup('source-downstream'!C15,FREQUENCY_MAP, 3, FALSE))</f>
        <v>daily</v>
      </c>
      <c r="D15" s="89" t="str">
        <f>'source-downstream'!D15</f>
        <v>Potting mix and growing media</v>
      </c>
      <c r="E15" s="65" t="str">
        <f>if('source-downstream'!E15="",'schema-geographic-dependency'!$B$5, vlookup('source-downstream'!E15,'schema-geographic-dependency'!A:B,2,FALSE))</f>
        <v>statewide</v>
      </c>
      <c r="F15" s="70" t="str">
        <f>if('source-downstream'!F15="",'schema-yn'!$A$5,vlookup('source-downstream'!F15,YN_MAP,3,FALSE))</f>
        <v>no</v>
      </c>
      <c r="G15" s="89" t="str">
        <f>'source-downstream'!G15</f>
        <v>Clever Frilled Neck Lizard can provide alternative services within the state and outside of the state</v>
      </c>
      <c r="H15" s="70" t="str">
        <f>'source-downstream'!H15</f>
        <v>["clever-frilled-neck-lizard "]</v>
      </c>
      <c r="I15" s="70" t="str">
        <f>if('source-downstream'!I15="",'schema-yn'!$A$5,vlookup('source-downstream'!I15,YN_MAP,3,FALSE))</f>
        <v>partially</v>
      </c>
      <c r="J15" s="89" t="str">
        <f>'source-downstream'!J15</f>
        <v>The grower/nursery industry may be impacted if Clever Frilled Neck Lizard was unable to supply their growing media to meet their demand/production levels.</v>
      </c>
      <c r="K15" s="70" t="str">
        <f>if('source-downstream'!K15="",'data-cleansing-maps'!$L$10,vlookup('source-downstream'!K15,RESILIENCE_OPTION_MAP,3,FALSE))</f>
        <v>alternative-supplier</v>
      </c>
      <c r="L15" s="89" t="str">
        <f>'source-downstream'!L15</f>
        <v/>
      </c>
      <c r="M15" s="65" t="str">
        <f>if('source-downstream'!M15="",'schema-rv-services'!$B$26,vlookup(vlookup('source-downstream'!$M15,'analysis-rv-services'!$C:$E,3,FALSE),'schema-rv-services'!$A:$B,2, FALSE))</f>
        <v>recycled-material</v>
      </c>
      <c r="N15" s="70"/>
    </row>
    <row r="16" ht="15.75" customHeight="1">
      <c r="A16" s="88" t="str">
        <f>Substitute(SUBSTITUTE(substitute(substitute(substitute(substitute(substitute(substitute(substitute(lower('source-downstream'!A16)," ","-"),"(",""),")",""),"&gt;",""),"&lt;",""),"---","-"),".","-"),"--","-"),"&amp;","-and-")</f>
        <v>clever-frilled-neck-lizard</v>
      </c>
      <c r="B16" s="88" t="str">
        <f>Substitute(SUBSTITUTE(substitute(substitute(substitute(substitute(substitute(substitute(substitute(lower('source-downstream'!B16)," ","-"),"(",""),")",""),"&gt;",""),"&lt;",""),"---","-"),".","-"),"--","-"),"&amp;","-and-")</f>
        <v>lazy-wombat</v>
      </c>
      <c r="C16" s="70" t="str">
        <f>if('source-downstream'!C16="",'schema-frequency'!$B$11,vlookup('source-downstream'!C16,FREQUENCY_MAP, 3, FALSE))</f>
        <v>daily</v>
      </c>
      <c r="D16" s="89" t="str">
        <f>'source-downstream'!D16</f>
        <v>Potting mix and growing media</v>
      </c>
      <c r="E16" s="65" t="str">
        <f>if('source-downstream'!E16="",'schema-geographic-dependency'!$B$5, vlookup('source-downstream'!E16,'schema-geographic-dependency'!A:B,2,FALSE))</f>
        <v>statewide</v>
      </c>
      <c r="F16" s="70" t="str">
        <f>if('source-downstream'!F16="",'schema-yn'!$A$5,vlookup('source-downstream'!F16,YN_MAP,3,FALSE))</f>
        <v>no</v>
      </c>
      <c r="G16" s="89" t="str">
        <f>'source-downstream'!G16</f>
        <v>Clever Frilled Neck Lizard can provide alternative services within the state and outside of the state</v>
      </c>
      <c r="H16" s="70" t="str">
        <f>'source-downstream'!H16</f>
        <v>["clever-frilled-neck-lizard "]</v>
      </c>
      <c r="I16" s="70" t="str">
        <f>if('source-downstream'!I16="",'schema-yn'!$A$5,vlookup('source-downstream'!I16,YN_MAP,3,FALSE))</f>
        <v>partially</v>
      </c>
      <c r="J16" s="89" t="str">
        <f>'source-downstream'!J16</f>
        <v>The grower/nursery industry may be impacted if Clever Frilled Neck Lizard was unable to supply their growing media to meet their demand/production levels.</v>
      </c>
      <c r="K16" s="70" t="str">
        <f>if('source-downstream'!K16="",'data-cleansing-maps'!$L$10,vlookup('source-downstream'!K16,RESILIENCE_OPTION_MAP,3,FALSE))</f>
        <v>alternative-supplier</v>
      </c>
      <c r="L16" s="89" t="str">
        <f>'source-downstream'!L16</f>
        <v/>
      </c>
      <c r="M16" s="65" t="str">
        <f>if('source-downstream'!M16="",'schema-rv-services'!$B$26,vlookup(vlookup('source-downstream'!$M16,'analysis-rv-services'!$C:$E,3,FALSE),'schema-rv-services'!$A:$B,2, FALSE))</f>
        <v>recycled-material</v>
      </c>
      <c r="N16" s="70"/>
    </row>
    <row r="17" ht="15.75" customHeight="1">
      <c r="A17" s="88" t="str">
        <f>Substitute(SUBSTITUTE(substitute(substitute(substitute(substitute(substitute(substitute(substitute(lower('source-downstream'!A17)," ","-"),"(",""),")",""),"&gt;",""),"&lt;",""),"---","-"),".","-"),"--","-"),"&amp;","-and-")</f>
        <v>clever-frilled-neck-lizard</v>
      </c>
      <c r="B17" s="88" t="str">
        <f>Substitute(SUBSTITUTE(substitute(substitute(substitute(substitute(substitute(substitute(substitute(lower('source-downstream'!B17)," ","-"),"(",""),")",""),"&gt;",""),"&lt;",""),"---","-"),".","-"),"--","-"),"&amp;","-and-")</f>
        <v>fuzzy-koala</v>
      </c>
      <c r="C17" s="70" t="str">
        <f>if('source-downstream'!C17="",'schema-frequency'!$B$11,vlookup('source-downstream'!C17,FREQUENCY_MAP, 3, FALSE))</f>
        <v>daily</v>
      </c>
      <c r="D17" s="89" t="str">
        <f>'source-downstream'!D17</f>
        <v>Potting mix and growing media</v>
      </c>
      <c r="E17" s="65" t="str">
        <f>if('source-downstream'!E17="",'schema-geographic-dependency'!$B$5, vlookup('source-downstream'!E17,'schema-geographic-dependency'!A:B,2,FALSE))</f>
        <v>statewide</v>
      </c>
      <c r="F17" s="70" t="str">
        <f>if('source-downstream'!F17="",'schema-yn'!$A$5,vlookup('source-downstream'!F17,YN_MAP,3,FALSE))</f>
        <v>no</v>
      </c>
      <c r="G17" s="89" t="str">
        <f>'source-downstream'!G17</f>
        <v>Clever Frilled Neck Lizard can provide alternative services within the state and outside of the state</v>
      </c>
      <c r="H17" s="70" t="str">
        <f>'source-downstream'!H17</f>
        <v>["clever-frilled-neck-lizard "]</v>
      </c>
      <c r="I17" s="70" t="str">
        <f>if('source-downstream'!I17="",'schema-yn'!$A$5,vlookup('source-downstream'!I17,YN_MAP,3,FALSE))</f>
        <v>partially</v>
      </c>
      <c r="J17" s="89" t="str">
        <f>'source-downstream'!J17</f>
        <v>The grower/nursery industry may be impacted if Clever Frilled Neck Lizard was unable to supply their growing media to meet their demand/production levels.</v>
      </c>
      <c r="K17" s="70" t="str">
        <f>if('source-downstream'!K17="",'data-cleansing-maps'!$L$10,vlookup('source-downstream'!K17,RESILIENCE_OPTION_MAP,3,FALSE))</f>
        <v>alternative-supplier</v>
      </c>
      <c r="L17" s="89" t="str">
        <f>'source-downstream'!L17</f>
        <v/>
      </c>
      <c r="M17" s="65" t="str">
        <f>if('source-downstream'!M17="",'schema-rv-services'!$B$26,vlookup(vlookup('source-downstream'!$M17,'analysis-rv-services'!$C:$E,3,FALSE),'schema-rv-services'!$A:$B,2, FALSE))</f>
        <v>recycled-material</v>
      </c>
      <c r="N17" s="70"/>
    </row>
    <row r="18" ht="15.75" customHeight="1">
      <c r="A18" s="88" t="str">
        <f>Substitute(SUBSTITUTE(substitute(substitute(substitute(substitute(substitute(substitute(substitute(lower('source-downstream'!A18)," ","-"),"(",""),")",""),"&gt;",""),"&lt;",""),"---","-"),".","-"),"--","-"),"&amp;","-and-")</f>
        <v>clever-frilled-neck-lizard</v>
      </c>
      <c r="B18" s="88" t="str">
        <f>Substitute(SUBSTITUTE(substitute(substitute(substitute(substitute(substitute(substitute(substitute(lower('source-downstream'!B18)," ","-"),"(",""),")",""),"&gt;",""),"&lt;",""),"---","-"),".","-"),"--","-"),"&amp;","-and-")</f>
        <v>sleepy-thorny-devil</v>
      </c>
      <c r="C18" s="70" t="str">
        <f>if('source-downstream'!C18="",'schema-frequency'!$B$11,vlookup('source-downstream'!C18,FREQUENCY_MAP, 3, FALSE))</f>
        <v>daily</v>
      </c>
      <c r="D18" s="89" t="str">
        <f>'source-downstream'!D18</f>
        <v>Potting mix and growing media</v>
      </c>
      <c r="E18" s="65" t="str">
        <f>if('source-downstream'!E18="",'schema-geographic-dependency'!$B$5, vlookup('source-downstream'!E18,'schema-geographic-dependency'!A:B,2,FALSE))</f>
        <v>statewide</v>
      </c>
      <c r="F18" s="70" t="str">
        <f>if('source-downstream'!F18="",'schema-yn'!$A$5,vlookup('source-downstream'!F18,YN_MAP,3,FALSE))</f>
        <v>no</v>
      </c>
      <c r="G18" s="89" t="str">
        <f>'source-downstream'!G18</f>
        <v>Clever Frilled Neck Lizard can provide alternative services within the state and outside of the state</v>
      </c>
      <c r="H18" s="70" t="str">
        <f>'source-downstream'!H18</f>
        <v>["clever-frilled-neck-lizard "]</v>
      </c>
      <c r="I18" s="70" t="str">
        <f>if('source-downstream'!I18="",'schema-yn'!$A$5,vlookup('source-downstream'!I18,YN_MAP,3,FALSE))</f>
        <v>partially</v>
      </c>
      <c r="J18" s="89" t="str">
        <f>'source-downstream'!J18</f>
        <v>The grower/nursery industry may be impacted if Clever Frilled Neck Lizard was unable to supply their growing media to meet their demand/production levels.</v>
      </c>
      <c r="K18" s="70" t="str">
        <f>if('source-downstream'!K18="",'data-cleansing-maps'!$L$10,vlookup('source-downstream'!K18,RESILIENCE_OPTION_MAP,3,FALSE))</f>
        <v>alternative-supplier</v>
      </c>
      <c r="L18" s="89" t="str">
        <f>'source-downstream'!L18</f>
        <v/>
      </c>
      <c r="M18" s="65" t="str">
        <f>if('source-downstream'!M18="",'schema-rv-services'!$B$26,vlookup(vlookup('source-downstream'!$M18,'analysis-rv-services'!$C:$E,3,FALSE),'schema-rv-services'!$A:$B,2, FALSE))</f>
        <v>recycled-material</v>
      </c>
      <c r="N18" s="70"/>
    </row>
    <row r="19" ht="15.75" customHeight="1">
      <c r="A19" s="88" t="str">
        <f>Substitute(SUBSTITUTE(substitute(substitute(substitute(substitute(substitute(substitute(substitute(lower('source-downstream'!A19)," ","-"),"(",""),")",""),"&gt;",""),"&lt;",""),"---","-"),".","-"),"--","-"),"&amp;","-and-")</f>
        <v>clever-frilled-neck-lizard</v>
      </c>
      <c r="B19" s="88" t="str">
        <f>Substitute(SUBSTITUTE(substitute(substitute(substitute(substitute(substitute(substitute(substitute(lower('source-downstream'!B19)," ","-"),"(",""),")",""),"&gt;",""),"&lt;",""),"---","-"),".","-"),"--","-"),"&amp;","-and-")</f>
        <v>giant-quokka</v>
      </c>
      <c r="C19" s="70" t="str">
        <f>if('source-downstream'!C19="",'schema-frequency'!$B$11,vlookup('source-downstream'!C19,FREQUENCY_MAP, 3, FALSE))</f>
        <v>daily</v>
      </c>
      <c r="D19" s="89" t="str">
        <f>'source-downstream'!D19</f>
        <v>Potting mix and growing media</v>
      </c>
      <c r="E19" s="65" t="str">
        <f>if('source-downstream'!E19="",'schema-geographic-dependency'!$B$5, vlookup('source-downstream'!E19,'schema-geographic-dependency'!A:B,2,FALSE))</f>
        <v>statewide</v>
      </c>
      <c r="F19" s="70" t="str">
        <f>if('source-downstream'!F19="",'schema-yn'!$A$5,vlookup('source-downstream'!F19,YN_MAP,3,FALSE))</f>
        <v>no</v>
      </c>
      <c r="G19" s="89" t="str">
        <f>'source-downstream'!G19</f>
        <v>Clever Frilled Neck Lizard can provide alternative services within the state and outside of the state</v>
      </c>
      <c r="H19" s="70" t="str">
        <f>'source-downstream'!H19</f>
        <v>["clever-frilled-neck-lizard "]</v>
      </c>
      <c r="I19" s="70" t="str">
        <f>if('source-downstream'!I19="",'schema-yn'!$A$5,vlookup('source-downstream'!I19,YN_MAP,3,FALSE))</f>
        <v>partially</v>
      </c>
      <c r="J19" s="89" t="str">
        <f>'source-downstream'!J19</f>
        <v>The grower/nursery industry may be impacted if Clever Frilled Neck Lizard was unable to supply their growing media to meet their demand/production levels.</v>
      </c>
      <c r="K19" s="70" t="str">
        <f>if('source-downstream'!K19="",'data-cleansing-maps'!$L$10,vlookup('source-downstream'!K19,RESILIENCE_OPTION_MAP,3,FALSE))</f>
        <v>alternative-supplier</v>
      </c>
      <c r="L19" s="89" t="str">
        <f>'source-downstream'!L19</f>
        <v/>
      </c>
      <c r="M19" s="65" t="str">
        <f>if('source-downstream'!M19="",'schema-rv-services'!$B$26,vlookup(vlookup('source-downstream'!$M19,'analysis-rv-services'!$C:$E,3,FALSE),'schema-rv-services'!$A:$B,2, FALSE))</f>
        <v>recycled-material</v>
      </c>
      <c r="N19" s="70"/>
    </row>
    <row r="20" ht="15.75" customHeight="1">
      <c r="A20" s="88" t="str">
        <f>Substitute(SUBSTITUTE(substitute(substitute(substitute(substitute(substitute(substitute(substitute(lower('source-downstream'!A20)," ","-"),"(",""),")",""),"&gt;",""),"&lt;",""),"---","-"),".","-"),"--","-"),"&amp;","-and-")</f>
        <v>clever-frilled-neck-lizard</v>
      </c>
      <c r="B20" s="88" t="str">
        <f>Substitute(SUBSTITUTE(substitute(substitute(substitute(substitute(substitute(substitute(substitute(lower('source-downstream'!B20)," ","-"),"(",""),")",""),"&gt;",""),"&lt;",""),"---","-"),".","-"),"--","-"),"&amp;","-and-")</f>
        <v>sleepy-koala</v>
      </c>
      <c r="C20" s="70" t="str">
        <f>if('source-downstream'!C20="",'schema-frequency'!$B$11,vlookup('source-downstream'!C20,FREQUENCY_MAP, 3, FALSE))</f>
        <v>daily</v>
      </c>
      <c r="D20" s="89" t="str">
        <f>'source-downstream'!D20</f>
        <v>Potting mix and growing media</v>
      </c>
      <c r="E20" s="65" t="str">
        <f>if('source-downstream'!E20="",'schema-geographic-dependency'!$B$5, vlookup('source-downstream'!E20,'schema-geographic-dependency'!A:B,2,FALSE))</f>
        <v>statewide</v>
      </c>
      <c r="F20" s="70" t="str">
        <f>if('source-downstream'!F20="",'schema-yn'!$A$5,vlookup('source-downstream'!F20,YN_MAP,3,FALSE))</f>
        <v>no</v>
      </c>
      <c r="G20" s="89" t="str">
        <f>'source-downstream'!G20</f>
        <v>Clever Frilled Neck Lizard can provide alternative services within the state and outside of the state</v>
      </c>
      <c r="H20" s="70" t="str">
        <f>'source-downstream'!H20</f>
        <v>["clever-frilled-neck-lizard "]</v>
      </c>
      <c r="I20" s="70" t="str">
        <f>if('source-downstream'!I20="",'schema-yn'!$A$5,vlookup('source-downstream'!I20,YN_MAP,3,FALSE))</f>
        <v>partially</v>
      </c>
      <c r="J20" s="89" t="str">
        <f>'source-downstream'!J20</f>
        <v>The grower/nursery industry may be impacted if Clever Frilled Neck Lizard was unable to supply their growing media to meet their demand/production levels.</v>
      </c>
      <c r="K20" s="70" t="str">
        <f>if('source-downstream'!K20="",'data-cleansing-maps'!$L$10,vlookup('source-downstream'!K20,RESILIENCE_OPTION_MAP,3,FALSE))</f>
        <v>alternative-supplier</v>
      </c>
      <c r="L20" s="89" t="str">
        <f>'source-downstream'!L20</f>
        <v/>
      </c>
      <c r="M20" s="65" t="str">
        <f>if('source-downstream'!M20="",'schema-rv-services'!$B$26,vlookup(vlookup('source-downstream'!$M20,'analysis-rv-services'!$C:$E,3,FALSE),'schema-rv-services'!$A:$B,2, FALSE))</f>
        <v>recycled-material</v>
      </c>
      <c r="N20" s="70"/>
    </row>
    <row r="21" ht="15.75" customHeight="1">
      <c r="A21" s="88" t="str">
        <f>Substitute(SUBSTITUTE(substitute(substitute(substitute(substitute(substitute(substitute(substitute(lower('source-downstream'!A21)," ","-"),"(",""),")",""),"&gt;",""),"&lt;",""),"---","-"),".","-"),"--","-"),"&amp;","-and-")</f>
        <v>clever-frilled-neck-lizard</v>
      </c>
      <c r="B21" s="88" t="str">
        <f>Substitute(SUBSTITUTE(substitute(substitute(substitute(substitute(substitute(substitute(substitute(lower('source-downstream'!B21)," ","-"),"(",""),")",""),"&gt;",""),"&lt;",""),"---","-"),".","-"),"--","-"),"&amp;","-and-")</f>
        <v>golden-bush-stone-curlew</v>
      </c>
      <c r="C21" s="70" t="str">
        <f>if('source-downstream'!C21="",'schema-frequency'!$B$11,vlookup('source-downstream'!C21,FREQUENCY_MAP, 3, FALSE))</f>
        <v>daily</v>
      </c>
      <c r="D21" s="89" t="str">
        <f>'source-downstream'!D21</f>
        <v>Potting mix and growing media</v>
      </c>
      <c r="E21" s="65" t="str">
        <f>if('source-downstream'!E21="",'schema-geographic-dependency'!$B$5, vlookup('source-downstream'!E21,'schema-geographic-dependency'!A:B,2,FALSE))</f>
        <v>statewide</v>
      </c>
      <c r="F21" s="70" t="str">
        <f>if('source-downstream'!F21="",'schema-yn'!$A$5,vlookup('source-downstream'!F21,YN_MAP,3,FALSE))</f>
        <v>no</v>
      </c>
      <c r="G21" s="89" t="str">
        <f>'source-downstream'!G21</f>
        <v>Clever Frilled Neck Lizard can provide alternative services within the state and outside of the state</v>
      </c>
      <c r="H21" s="70" t="str">
        <f>'source-downstream'!H21</f>
        <v>["clever-frilled-neck-lizard "]</v>
      </c>
      <c r="I21" s="70" t="str">
        <f>if('source-downstream'!I21="",'schema-yn'!$A$5,vlookup('source-downstream'!I21,YN_MAP,3,FALSE))</f>
        <v>partially</v>
      </c>
      <c r="J21" s="89" t="str">
        <f>'source-downstream'!J21</f>
        <v>The grower/nursery industry may be impacted if Clever Frilled Neck Lizard was unable to supply their growing media to meet their demand/production levels.</v>
      </c>
      <c r="K21" s="70" t="str">
        <f>if('source-downstream'!K21="",'data-cleansing-maps'!$L$10,vlookup('source-downstream'!K21,RESILIENCE_OPTION_MAP,3,FALSE))</f>
        <v>alternative-supplier</v>
      </c>
      <c r="L21" s="89" t="str">
        <f>'source-downstream'!L21</f>
        <v/>
      </c>
      <c r="M21" s="65" t="str">
        <f>if('source-downstream'!M21="",'schema-rv-services'!$B$26,vlookup(vlookup('source-downstream'!$M21,'analysis-rv-services'!$C:$E,3,FALSE),'schema-rv-services'!$A:$B,2, FALSE))</f>
        <v>recycled-material</v>
      </c>
      <c r="N21" s="70"/>
    </row>
    <row r="22" ht="15.75" customHeight="1">
      <c r="A22" s="88" t="str">
        <f>Substitute(SUBSTITUTE(substitute(substitute(substitute(substitute(substitute(substitute(substitute(lower('source-downstream'!A22)," ","-"),"(",""),")",""),"&gt;",""),"&lt;",""),"---","-"),".","-"),"--","-"),"&amp;","-and-")</f>
        <v>fuzzy-perentie</v>
      </c>
      <c r="B22" s="88" t="str">
        <f>Substitute(SUBSTITUTE(substitute(substitute(substitute(substitute(substitute(substitute(substitute(lower('source-downstream'!B22)," ","-"),"(",""),")",""),"&gt;",""),"&lt;",""),"---","-"),".","-"),"--","-"),"&amp;","-and-")</f>
        <v>lazy-cockatoo</v>
      </c>
      <c r="C22" s="70" t="str">
        <f>if('source-downstream'!C22="",'schema-frequency'!$B$11,vlookup('source-downstream'!C22,FREQUENCY_MAP, 3, FALSE))</f>
        <v>daily</v>
      </c>
      <c r="D22" s="89" t="str">
        <f>'source-downstream'!D22</f>
        <v>Transport of waste and recycled goods</v>
      </c>
      <c r="E22" s="65" t="str">
        <f>if('source-downstream'!E22="",'schema-geographic-dependency'!$B$5, vlookup('source-downstream'!E22,'schema-geographic-dependency'!A:B,2,FALSE))</f>
        <v>not-provided</v>
      </c>
      <c r="F22" s="70" t="str">
        <f>if('source-downstream'!F22="",'schema-yn'!$A$5,vlookup('source-downstream'!F22,YN_MAP,3,FALSE))</f>
        <v>not-provided</v>
      </c>
      <c r="G22" s="89" t="str">
        <f>'source-downstream'!G22</f>
        <v>Not provided</v>
      </c>
      <c r="H22" s="70" t="str">
        <f>'source-downstream'!H22</f>
        <v/>
      </c>
      <c r="I22" s="70" t="str">
        <f>if('source-downstream'!I22="",'schema-yn'!$A$5,vlookup('source-downstream'!I22,YN_MAP,3,FALSE))</f>
        <v>not-provided</v>
      </c>
      <c r="J22" s="89" t="str">
        <f>'source-downstream'!J22</f>
        <v>Not provided</v>
      </c>
      <c r="K22" s="70" t="str">
        <f>if('source-downstream'!K22="",'data-cleansing-maps'!$L$10,vlookup('source-downstream'!K22,RESILIENCE_OPTION_MAP,3,FALSE))</f>
        <v>not-provided</v>
      </c>
      <c r="L22" s="89" t="str">
        <f>'source-downstream'!L22</f>
        <v/>
      </c>
      <c r="M22" s="65" t="str">
        <f>if('source-downstream'!M22="",'schema-rv-services'!$B$26,vlookup(vlookup('source-downstream'!$M22,'analysis-rv-services'!$C:$E,3,FALSE),'schema-rv-services'!$A:$B,2, FALSE))</f>
        <v>transport</v>
      </c>
      <c r="N22" s="70"/>
    </row>
    <row r="23" ht="15.75" customHeight="1">
      <c r="A23" s="88" t="str">
        <f>Substitute(SUBSTITUTE(substitute(substitute(substitute(substitute(substitute(substitute(substitute(lower('source-downstream'!A23)," ","-"),"(",""),")",""),"&gt;",""),"&lt;",""),"---","-"),".","-"),"--","-"),"&amp;","-and-")</f>
        <v>fuzzy-perentie</v>
      </c>
      <c r="B23" s="88" t="str">
        <f>Substitute(SUBSTITUTE(substitute(substitute(substitute(substitute(substitute(substitute(substitute(lower('source-downstream'!B23)," ","-"),"(",""),")",""),"&gt;",""),"&lt;",""),"---","-"),".","-"),"--","-"),"&amp;","-and-")</f>
        <v>happy-platypus</v>
      </c>
      <c r="C23" s="70" t="str">
        <f>if('source-downstream'!C23="",'schema-frequency'!$B$11,vlookup('source-downstream'!C23,FREQUENCY_MAP, 3, FALSE))</f>
        <v>daily</v>
      </c>
      <c r="D23" s="89" t="str">
        <f>'source-downstream'!D23</f>
        <v>Transport of waste and recycled goods</v>
      </c>
      <c r="E23" s="65" t="str">
        <f>if('source-downstream'!E23="",'schema-geographic-dependency'!$B$5, vlookup('source-downstream'!E23,'schema-geographic-dependency'!A:B,2,FALSE))</f>
        <v>not-provided</v>
      </c>
      <c r="F23" s="70" t="str">
        <f>if('source-downstream'!F23="",'schema-yn'!$A$5,vlookup('source-downstream'!F23,YN_MAP,3,FALSE))</f>
        <v>not-provided</v>
      </c>
      <c r="G23" s="89" t="str">
        <f>'source-downstream'!G23</f>
        <v>Not provided</v>
      </c>
      <c r="H23" s="70" t="str">
        <f>'source-downstream'!H23</f>
        <v/>
      </c>
      <c r="I23" s="70" t="str">
        <f>if('source-downstream'!I23="",'schema-yn'!$A$5,vlookup('source-downstream'!I23,YN_MAP,3,FALSE))</f>
        <v>not-provided</v>
      </c>
      <c r="J23" s="89" t="str">
        <f>'source-downstream'!J23</f>
        <v>Not provided</v>
      </c>
      <c r="K23" s="70" t="str">
        <f>if('source-downstream'!K23="",'data-cleansing-maps'!$L$10,vlookup('source-downstream'!K23,RESILIENCE_OPTION_MAP,3,FALSE))</f>
        <v>not-provided</v>
      </c>
      <c r="L23" s="89" t="str">
        <f>'source-downstream'!L23</f>
        <v/>
      </c>
      <c r="M23" s="65" t="str">
        <f>if('source-downstream'!M23="",'schema-rv-services'!$B$26,vlookup(vlookup('source-downstream'!$M23,'analysis-rv-services'!$C:$E,3,FALSE),'schema-rv-services'!$A:$B,2, FALSE))</f>
        <v>transport</v>
      </c>
      <c r="N23" s="70"/>
    </row>
    <row r="24" ht="15.75" customHeight="1">
      <c r="A24" s="88" t="str">
        <f>Substitute(SUBSTITUTE(substitute(substitute(substitute(substitute(substitute(substitute(substitute(lower('source-downstream'!A24)," ","-"),"(",""),")",""),"&gt;",""),"&lt;",""),"---","-"),".","-"),"--","-"),"&amp;","-and-")</f>
        <v>fuzzy-perentie</v>
      </c>
      <c r="B24" s="88" t="str">
        <f>Substitute(SUBSTITUTE(substitute(substitute(substitute(substitute(substitute(substitute(substitute(lower('source-downstream'!B24)," ","-"),"(",""),")",""),"&gt;",""),"&lt;",""),"---","-"),".","-"),"--","-"),"&amp;","-and-")</f>
        <v>blue-bush-stone-curlew</v>
      </c>
      <c r="C24" s="70" t="str">
        <f>if('source-downstream'!C24="",'schema-frequency'!$B$11,vlookup('source-downstream'!C24,FREQUENCY_MAP, 3, FALSE))</f>
        <v>daily</v>
      </c>
      <c r="D24" s="89" t="str">
        <f>'source-downstream'!D24</f>
        <v>Transport of waste and recycled goods</v>
      </c>
      <c r="E24" s="65" t="str">
        <f>if('source-downstream'!E24="",'schema-geographic-dependency'!$B$5, vlookup('source-downstream'!E24,'schema-geographic-dependency'!A:B,2,FALSE))</f>
        <v>not-provided</v>
      </c>
      <c r="F24" s="70" t="str">
        <f>if('source-downstream'!F24="",'schema-yn'!$A$5,vlookup('source-downstream'!F24,YN_MAP,3,FALSE))</f>
        <v>not-provided</v>
      </c>
      <c r="G24" s="89" t="str">
        <f>'source-downstream'!G24</f>
        <v>Not provided</v>
      </c>
      <c r="H24" s="70" t="str">
        <f>'source-downstream'!H24</f>
        <v/>
      </c>
      <c r="I24" s="70" t="str">
        <f>if('source-downstream'!I24="",'schema-yn'!$A$5,vlookup('source-downstream'!I24,YN_MAP,3,FALSE))</f>
        <v>not-provided</v>
      </c>
      <c r="J24" s="89" t="str">
        <f>'source-downstream'!J24</f>
        <v>Not provided</v>
      </c>
      <c r="K24" s="70" t="str">
        <f>if('source-downstream'!K24="",'data-cleansing-maps'!$L$10,vlookup('source-downstream'!K24,RESILIENCE_OPTION_MAP,3,FALSE))</f>
        <v>not-provided</v>
      </c>
      <c r="L24" s="89" t="str">
        <f>'source-downstream'!L24</f>
        <v/>
      </c>
      <c r="M24" s="65" t="str">
        <f>if('source-downstream'!M24="",'schema-rv-services'!$B$26,vlookup(vlookup('source-downstream'!$M24,'analysis-rv-services'!$C:$E,3,FALSE),'schema-rv-services'!$A:$B,2, FALSE))</f>
        <v>transport</v>
      </c>
      <c r="N24" s="70"/>
    </row>
    <row r="25" ht="15.75" customHeight="1">
      <c r="A25" s="88" t="str">
        <f>Substitute(SUBSTITUTE(substitute(substitute(substitute(substitute(substitute(substitute(substitute(lower('source-downstream'!A25)," ","-"),"(",""),")",""),"&gt;",""),"&lt;",""),"---","-"),".","-"),"--","-"),"&amp;","-and-")</f>
        <v>fuzzy-perentie</v>
      </c>
      <c r="B25" s="88" t="str">
        <f>Substitute(SUBSTITUTE(substitute(substitute(substitute(substitute(substitute(substitute(substitute(lower('source-downstream'!B25)," ","-"),"(",""),")",""),"&gt;",""),"&lt;",""),"---","-"),".","-"),"--","-"),"&amp;","-and-")</f>
        <v>green-kangaroo</v>
      </c>
      <c r="C25" s="70" t="str">
        <f>if('source-downstream'!C25="",'schema-frequency'!$B$11,vlookup('source-downstream'!C25,FREQUENCY_MAP, 3, FALSE))</f>
        <v>daily</v>
      </c>
      <c r="D25" s="89" t="str">
        <f>'source-downstream'!D25</f>
        <v>Transport of waste and recycled goods</v>
      </c>
      <c r="E25" s="65" t="str">
        <f>if('source-downstream'!E25="",'schema-geographic-dependency'!$B$5, vlookup('source-downstream'!E25,'schema-geographic-dependency'!A:B,2,FALSE))</f>
        <v>not-provided</v>
      </c>
      <c r="F25" s="70" t="str">
        <f>if('source-downstream'!F25="",'schema-yn'!$A$5,vlookup('source-downstream'!F25,YN_MAP,3,FALSE))</f>
        <v>not-provided</v>
      </c>
      <c r="G25" s="89" t="str">
        <f>'source-downstream'!G25</f>
        <v>Not provided</v>
      </c>
      <c r="H25" s="70" t="str">
        <f>'source-downstream'!H25</f>
        <v/>
      </c>
      <c r="I25" s="70" t="str">
        <f>if('source-downstream'!I25="",'schema-yn'!$A$5,vlookup('source-downstream'!I25,YN_MAP,3,FALSE))</f>
        <v>not-provided</v>
      </c>
      <c r="J25" s="89" t="str">
        <f>'source-downstream'!J25</f>
        <v>Not provided</v>
      </c>
      <c r="K25" s="70" t="str">
        <f>if('source-downstream'!K25="",'data-cleansing-maps'!$L$10,vlookup('source-downstream'!K25,RESILIENCE_OPTION_MAP,3,FALSE))</f>
        <v>not-provided</v>
      </c>
      <c r="L25" s="89" t="str">
        <f>'source-downstream'!L25</f>
        <v/>
      </c>
      <c r="M25" s="65" t="str">
        <f>if('source-downstream'!M25="",'schema-rv-services'!$B$26,vlookup(vlookup('source-downstream'!$M25,'analysis-rv-services'!$C:$E,3,FALSE),'schema-rv-services'!$A:$B,2, FALSE))</f>
        <v>transport</v>
      </c>
      <c r="N25" s="70"/>
    </row>
    <row r="26" ht="15.75" customHeight="1">
      <c r="A26" s="88" t="str">
        <f>Substitute(SUBSTITUTE(substitute(substitute(substitute(substitute(substitute(substitute(substitute(lower('source-downstream'!A26)," ","-"),"(",""),")",""),"&gt;",""),"&lt;",""),"---","-"),".","-"),"--","-"),"&amp;","-and-")</f>
        <v>fuzzy-perentie</v>
      </c>
      <c r="B26" s="88" t="str">
        <f>Substitute(SUBSTITUTE(substitute(substitute(substitute(substitute(substitute(substitute(substitute(lower('source-downstream'!B26)," ","-"),"(",""),")",""),"&gt;",""),"&lt;",""),"---","-"),".","-"),"--","-"),"&amp;","-and-")</f>
        <v>silent-wallaby</v>
      </c>
      <c r="C26" s="70" t="str">
        <f>if('source-downstream'!C26="",'schema-frequency'!$B$11,vlookup('source-downstream'!C26,FREQUENCY_MAP, 3, FALSE))</f>
        <v>daily</v>
      </c>
      <c r="D26" s="89" t="str">
        <f>'source-downstream'!D26</f>
        <v>Transport of waste and recycled goods</v>
      </c>
      <c r="E26" s="65" t="str">
        <f>if('source-downstream'!E26="",'schema-geographic-dependency'!$B$5, vlookup('source-downstream'!E26,'schema-geographic-dependency'!A:B,2,FALSE))</f>
        <v>not-provided</v>
      </c>
      <c r="F26" s="70" t="str">
        <f>if('source-downstream'!F26="",'schema-yn'!$A$5,vlookup('source-downstream'!F26,YN_MAP,3,FALSE))</f>
        <v>not-provided</v>
      </c>
      <c r="G26" s="89" t="str">
        <f>'source-downstream'!G26</f>
        <v>Not provided</v>
      </c>
      <c r="H26" s="70" t="str">
        <f>'source-downstream'!H26</f>
        <v/>
      </c>
      <c r="I26" s="70" t="str">
        <f>if('source-downstream'!I26="",'schema-yn'!$A$5,vlookup('source-downstream'!I26,YN_MAP,3,FALSE))</f>
        <v>not-provided</v>
      </c>
      <c r="J26" s="89" t="str">
        <f>'source-downstream'!J26</f>
        <v>Not provided</v>
      </c>
      <c r="K26" s="70" t="str">
        <f>if('source-downstream'!K26="",'data-cleansing-maps'!$L$10,vlookup('source-downstream'!K26,RESILIENCE_OPTION_MAP,3,FALSE))</f>
        <v>not-provided</v>
      </c>
      <c r="L26" s="89" t="str">
        <f>'source-downstream'!L26</f>
        <v/>
      </c>
      <c r="M26" s="65" t="str">
        <f>if('source-downstream'!M26="",'schema-rv-services'!$B$26,vlookup(vlookup('source-downstream'!$M26,'analysis-rv-services'!$C:$E,3,FALSE),'schema-rv-services'!$A:$B,2, FALSE))</f>
        <v>transport</v>
      </c>
      <c r="N26" s="70"/>
    </row>
    <row r="27" ht="15.75" customHeight="1">
      <c r="A27" s="88" t="str">
        <f>Substitute(SUBSTITUTE(substitute(substitute(substitute(substitute(substitute(substitute(substitute(lower('source-downstream'!A27)," ","-"),"(",""),")",""),"&gt;",""),"&lt;",""),"---","-"),".","-"),"--","-"),"&amp;","-and-")</f>
        <v>fuzzy-perentie</v>
      </c>
      <c r="B27" s="88" t="str">
        <f>Substitute(SUBSTITUTE(substitute(substitute(substitute(substitute(substitute(substitute(substitute(lower('source-downstream'!B27)," ","-"),"(",""),")",""),"&gt;",""),"&lt;",""),"---","-"),".","-"),"--","-"),"&amp;","-and-")</f>
        <v>fuzzy-cassowary</v>
      </c>
      <c r="C27" s="70" t="str">
        <f>if('source-downstream'!C27="",'schema-frequency'!$B$11,vlookup('source-downstream'!C27,FREQUENCY_MAP, 3, FALSE))</f>
        <v>weekly</v>
      </c>
      <c r="D27" s="89" t="str">
        <f>'source-downstream'!D27</f>
        <v>Up to two skip bins per week total</v>
      </c>
      <c r="E27" s="65" t="str">
        <f>if('source-downstream'!E27="",'schema-geographic-dependency'!$B$5, vlookup('source-downstream'!E27,'schema-geographic-dependency'!A:B,2,FALSE))</f>
        <v>not-provided</v>
      </c>
      <c r="F27" s="70" t="str">
        <f>if('source-downstream'!F27="",'schema-yn'!$A$5,vlookup('source-downstream'!F27,YN_MAP,3,FALSE))</f>
        <v>not-provided</v>
      </c>
      <c r="G27" s="89" t="str">
        <f>'source-downstream'!G27</f>
        <v>Not provided</v>
      </c>
      <c r="H27" s="70" t="str">
        <f>'source-downstream'!H27</f>
        <v/>
      </c>
      <c r="I27" s="70" t="str">
        <f>if('source-downstream'!I27="",'schema-yn'!$A$5,vlookup('source-downstream'!I27,YN_MAP,3,FALSE))</f>
        <v>not-provided</v>
      </c>
      <c r="J27" s="89" t="str">
        <f>'source-downstream'!J27</f>
        <v>Not provided</v>
      </c>
      <c r="K27" s="70" t="str">
        <f>if('source-downstream'!K27="",'data-cleansing-maps'!$L$10,vlookup('source-downstream'!K27,RESILIENCE_OPTION_MAP,3,FALSE))</f>
        <v>not-provided</v>
      </c>
      <c r="L27" s="89" t="str">
        <f>'source-downstream'!L27</f>
        <v/>
      </c>
      <c r="M27" s="65" t="str">
        <f>if('source-downstream'!M27="",'schema-rv-services'!$B$26,vlookup(vlookup('source-downstream'!$M27,'analysis-rv-services'!$C:$E,3,FALSE),'schema-rv-services'!$A:$B,2, FALSE))</f>
        <v>transport</v>
      </c>
      <c r="N27" s="70"/>
    </row>
    <row r="28" ht="15.75" customHeight="1">
      <c r="A28" s="88" t="str">
        <f>Substitute(SUBSTITUTE(substitute(substitute(substitute(substitute(substitute(substitute(substitute(lower('source-downstream'!A28)," ","-"),"(",""),")",""),"&gt;",""),"&lt;",""),"---","-"),".","-"),"--","-"),"&amp;","-and-")</f>
        <v>fuzzy-perentie</v>
      </c>
      <c r="B28" s="88" t="str">
        <f>Substitute(SUBSTITUTE(substitute(substitute(substitute(substitute(substitute(substitute(substitute(lower('source-downstream'!B28)," ","-"),"(",""),")",""),"&gt;",""),"&lt;",""),"---","-"),".","-"),"--","-"),"&amp;","-and-")</f>
        <v>clever-emu</v>
      </c>
      <c r="C28" s="70" t="str">
        <f>if('source-downstream'!C28="",'schema-frequency'!$B$11,vlookup('source-downstream'!C28,FREQUENCY_MAP, 3, FALSE))</f>
        <v>weekly</v>
      </c>
      <c r="D28" s="89" t="str">
        <f>'source-downstream'!D28</f>
        <v>Up to two skip bins per week total</v>
      </c>
      <c r="E28" s="65" t="str">
        <f>if('source-downstream'!E28="",'schema-geographic-dependency'!$B$5, vlookup('source-downstream'!E28,'schema-geographic-dependency'!A:B,2,FALSE))</f>
        <v>not-provided</v>
      </c>
      <c r="F28" s="70" t="str">
        <f>if('source-downstream'!F28="",'schema-yn'!$A$5,vlookup('source-downstream'!F28,YN_MAP,3,FALSE))</f>
        <v>not-provided</v>
      </c>
      <c r="G28" s="89" t="str">
        <f>'source-downstream'!G28</f>
        <v>Not provided</v>
      </c>
      <c r="H28" s="70" t="str">
        <f>'source-downstream'!H28</f>
        <v/>
      </c>
      <c r="I28" s="70" t="str">
        <f>if('source-downstream'!I28="",'schema-yn'!$A$5,vlookup('source-downstream'!I28,YN_MAP,3,FALSE))</f>
        <v>not-provided</v>
      </c>
      <c r="J28" s="89" t="str">
        <f>'source-downstream'!J28</f>
        <v>Not provided</v>
      </c>
      <c r="K28" s="70" t="str">
        <f>if('source-downstream'!K28="",'data-cleansing-maps'!$L$10,vlookup('source-downstream'!K28,RESILIENCE_OPTION_MAP,3,FALSE))</f>
        <v>not-provided</v>
      </c>
      <c r="L28" s="89" t="str">
        <f>'source-downstream'!L28</f>
        <v/>
      </c>
      <c r="M28" s="65" t="str">
        <f>if('source-downstream'!M28="",'schema-rv-services'!$B$26,vlookup(vlookup('source-downstream'!$M28,'analysis-rv-services'!$C:$E,3,FALSE),'schema-rv-services'!$A:$B,2, FALSE))</f>
        <v>transport</v>
      </c>
      <c r="N28" s="70"/>
    </row>
    <row r="29" ht="15.75" customHeight="1">
      <c r="A29" s="88" t="str">
        <f>Substitute(SUBSTITUTE(substitute(substitute(substitute(substitute(substitute(substitute(substitute(lower('source-downstream'!A29)," ","-"),"(",""),")",""),"&gt;",""),"&lt;",""),"---","-"),".","-"),"--","-"),"&amp;","-and-")</f>
        <v>fuzzy-sugar-glider</v>
      </c>
      <c r="B29" s="88" t="str">
        <f>Substitute(SUBSTITUTE(substitute(substitute(substitute(substitute(substitute(substitute(substitute(lower('source-downstream'!B29)," ","-"),"(",""),")",""),"&gt;",""),"&lt;",""),"---","-"),".","-"),"--","-"),"&amp;","-and-")</f>
        <v>shy-tasmanian-devil</v>
      </c>
      <c r="C29" s="70" t="str">
        <f>if('source-downstream'!C29="",'schema-frequency'!$B$11,vlookup('source-downstream'!C29,FREQUENCY_MAP, 3, FALSE))</f>
        <v>unknown</v>
      </c>
      <c r="D29" s="89" t="str">
        <f>'source-downstream'!D29</f>
        <v>Not provided</v>
      </c>
      <c r="E29" s="65" t="str">
        <f>if('source-downstream'!E29="",'schema-geographic-dependency'!$B$5, vlookup('source-downstream'!E29,'schema-geographic-dependency'!A:B,2,FALSE))</f>
        <v>not-provided</v>
      </c>
      <c r="F29" s="70" t="str">
        <f>if('source-downstream'!F29="",'schema-yn'!$A$5,vlookup('source-downstream'!F29,YN_MAP,3,FALSE))</f>
        <v>not-provided</v>
      </c>
      <c r="G29" s="89" t="str">
        <f>'source-downstream'!G29</f>
        <v>Not provided</v>
      </c>
      <c r="H29" s="70" t="str">
        <f>'source-downstream'!H29</f>
        <v/>
      </c>
      <c r="I29" s="70" t="str">
        <f>if('source-downstream'!I29="",'schema-yn'!$A$5,vlookup('source-downstream'!I29,YN_MAP,3,FALSE))</f>
        <v>not-provided</v>
      </c>
      <c r="J29" s="89" t="str">
        <f>'source-downstream'!J29</f>
        <v>Not provided</v>
      </c>
      <c r="K29" s="70" t="str">
        <f>if('source-downstream'!K29="",'data-cleansing-maps'!$L$10,vlookup('source-downstream'!K29,RESILIENCE_OPTION_MAP,3,FALSE))</f>
        <v>not-provided</v>
      </c>
      <c r="L29" s="89" t="str">
        <f>'source-downstream'!L29</f>
        <v/>
      </c>
      <c r="M29" s="65" t="str">
        <f>if('source-downstream'!M29="",'schema-rv-services'!$B$26,vlookup(vlookup('source-downstream'!$M29,'analysis-rv-services'!$C:$E,3,FALSE),'schema-rv-services'!$A:$B,2, FALSE))</f>
        <v>not-provided</v>
      </c>
      <c r="N29" s="70"/>
    </row>
    <row r="30" ht="15.75" customHeight="1">
      <c r="A30" s="88" t="str">
        <f>Substitute(SUBSTITUTE(substitute(substitute(substitute(substitute(substitute(substitute(substitute(lower('source-downstream'!A30)," ","-"),"(",""),")",""),"&gt;",""),"&lt;",""),"---","-"),".","-"),"--","-"),"&amp;","-and-")</f>
        <v>golden-possum</v>
      </c>
      <c r="B30" s="88" t="str">
        <f>Substitute(SUBSTITUTE(substitute(substitute(substitute(substitute(substitute(substitute(substitute(lower('source-downstream'!B30)," ","-"),"(",""),")",""),"&gt;",""),"&lt;",""),"---","-"),".","-"),"--","-"),"&amp;","-and-")</f>
        <v>noisy-quokka</v>
      </c>
      <c r="C30" s="70" t="str">
        <f>if('source-downstream'!C30="",'schema-frequency'!$B$11,vlookup('source-downstream'!C30,FREQUENCY_MAP, 3, FALSE))</f>
        <v>not-provided</v>
      </c>
      <c r="D30" s="89" t="str">
        <f>'source-downstream'!D30</f>
        <v>General waste</v>
      </c>
      <c r="E30" s="65" t="str">
        <f>if('source-downstream'!E30="",'schema-geographic-dependency'!$B$5, vlookup('source-downstream'!E30,'schema-geographic-dependency'!A:B,2,FALSE))</f>
        <v>same-region</v>
      </c>
      <c r="F30" s="70" t="str">
        <f>if('source-downstream'!F30="",'schema-yn'!$A$5,vlookup('source-downstream'!F30,YN_MAP,3,FALSE))</f>
        <v>no</v>
      </c>
      <c r="G30" s="89" t="str">
        <f>'source-downstream'!G30</f>
        <v>Alternative service</v>
      </c>
      <c r="H30" s="70" t="str">
        <f>'source-downstream'!H30</f>
        <v/>
      </c>
      <c r="I30" s="70" t="str">
        <f>if('source-downstream'!I30="",'schema-yn'!$A$5,vlookup('source-downstream'!I30,YN_MAP,3,FALSE))</f>
        <v>yes</v>
      </c>
      <c r="J30" s="89" t="str">
        <f>'source-downstream'!J30</f>
        <v>Not provided</v>
      </c>
      <c r="K30" s="70" t="str">
        <f>if('source-downstream'!K30="",'data-cleansing-maps'!$L$10,vlookup('source-downstream'!K30,RESILIENCE_OPTION_MAP,3,FALSE))</f>
        <v>not-provided</v>
      </c>
      <c r="L30" s="89" t="str">
        <f>'source-downstream'!L30</f>
        <v/>
      </c>
      <c r="M30" s="65" t="str">
        <f>if('source-downstream'!M30="",'schema-rv-services'!$B$26,vlookup(vlookup('source-downstream'!$M30,'analysis-rv-services'!$C:$E,3,FALSE),'schema-rv-services'!$A:$B,2, FALSE))</f>
        <v>waste-disposal</v>
      </c>
      <c r="N30" s="70"/>
    </row>
    <row r="31" ht="15.75" customHeight="1">
      <c r="A31" s="88" t="str">
        <f>Substitute(SUBSTITUTE(substitute(substitute(substitute(substitute(substitute(substitute(substitute(lower('source-downstream'!A31)," ","-"),"(",""),")",""),"&gt;",""),"&lt;",""),"---","-"),".","-"),"--","-"),"&amp;","-and-")</f>
        <v>golden-possum</v>
      </c>
      <c r="B31" s="88" t="str">
        <f>Substitute(SUBSTITUTE(substitute(substitute(substitute(substitute(substitute(substitute(substitute(lower('source-downstream'!B31)," ","-"),"(",""),")",""),"&gt;",""),"&lt;",""),"---","-"),".","-"),"--","-"),"&amp;","-and-")</f>
        <v>spotted-echidna</v>
      </c>
      <c r="C31" s="70" t="str">
        <f>if('source-downstream'!C31="",'schema-frequency'!$B$11,vlookup('source-downstream'!C31,FREQUENCY_MAP, 3, FALSE))</f>
        <v>not-provided</v>
      </c>
      <c r="D31" s="89" t="str">
        <f>'source-downstream'!D31</f>
        <v>Ewaste</v>
      </c>
      <c r="E31" s="65" t="str">
        <f>if('source-downstream'!E31="",'schema-geographic-dependency'!$B$5, vlookup('source-downstream'!E31,'schema-geographic-dependency'!A:B,2,FALSE))</f>
        <v>same-region</v>
      </c>
      <c r="F31" s="70" t="str">
        <f>if('source-downstream'!F31="",'schema-yn'!$A$5,vlookup('source-downstream'!F31,YN_MAP,3,FALSE))</f>
        <v>no</v>
      </c>
      <c r="G31" s="89" t="str">
        <f>'source-downstream'!G31</f>
        <v>Alternative service</v>
      </c>
      <c r="H31" s="70" t="str">
        <f>'source-downstream'!H31</f>
        <v/>
      </c>
      <c r="I31" s="70" t="str">
        <f>if('source-downstream'!I31="",'schema-yn'!$A$5,vlookup('source-downstream'!I31,YN_MAP,3,FALSE))</f>
        <v>yes</v>
      </c>
      <c r="J31" s="89" t="str">
        <f>'source-downstream'!J31</f>
        <v>Not provided</v>
      </c>
      <c r="K31" s="70" t="str">
        <f>if('source-downstream'!K31="",'data-cleansing-maps'!$L$10,vlookup('source-downstream'!K31,RESILIENCE_OPTION_MAP,3,FALSE))</f>
        <v>not-provided</v>
      </c>
      <c r="L31" s="89" t="str">
        <f>'source-downstream'!L31</f>
        <v/>
      </c>
      <c r="M31" s="65" t="str">
        <f>if('source-downstream'!M31="",'schema-rv-services'!$B$26,vlookup(vlookup('source-downstream'!$M31,'analysis-rv-services'!$C:$E,3,FALSE),'schema-rv-services'!$A:$B,2, FALSE))</f>
        <v>feedstock</v>
      </c>
      <c r="N31" s="70"/>
    </row>
    <row r="32" ht="15.75" customHeight="1">
      <c r="A32" s="88" t="str">
        <f>Substitute(SUBSTITUTE(substitute(substitute(substitute(substitute(substitute(substitute(substitute(lower('source-downstream'!A32)," ","-"),"(",""),")",""),"&gt;",""),"&lt;",""),"---","-"),".","-"),"--","-"),"&amp;","-and-")</f>
        <v>lazy-sugar-glider</v>
      </c>
      <c r="B32" s="88" t="str">
        <f>Substitute(SUBSTITUTE(substitute(substitute(substitute(substitute(substitute(substitute(substitute(lower('source-downstream'!B32)," ","-"),"(",""),")",""),"&gt;",""),"&lt;",""),"---","-"),".","-"),"--","-"),"&amp;","-and-")</f>
        <v>shy-wallaby</v>
      </c>
      <c r="C32" s="70" t="str">
        <f>if('source-downstream'!C32="",'schema-frequency'!$B$11,vlookup('source-downstream'!C32,FREQUENCY_MAP, 3, FALSE))</f>
        <v>unknown</v>
      </c>
      <c r="D32" s="89" t="str">
        <f>'source-downstream'!D32</f>
        <v>Not provided</v>
      </c>
      <c r="E32" s="65" t="str">
        <f>if('source-downstream'!E32="",'schema-geographic-dependency'!$B$5, vlookup('source-downstream'!E32,'schema-geographic-dependency'!A:B,2,FALSE))</f>
        <v>not-provided</v>
      </c>
      <c r="F32" s="70" t="str">
        <f>if('source-downstream'!F32="",'schema-yn'!$A$5,vlookup('source-downstream'!F32,YN_MAP,3,FALSE))</f>
        <v>not-provided</v>
      </c>
      <c r="G32" s="89" t="str">
        <f>'source-downstream'!G32</f>
        <v>Not provided</v>
      </c>
      <c r="H32" s="70" t="str">
        <f>'source-downstream'!H32</f>
        <v/>
      </c>
      <c r="I32" s="70" t="str">
        <f>if('source-downstream'!I32="",'schema-yn'!$A$5,vlookup('source-downstream'!I32,YN_MAP,3,FALSE))</f>
        <v>not-provided</v>
      </c>
      <c r="J32" s="89" t="str">
        <f>'source-downstream'!J32</f>
        <v>Not provided</v>
      </c>
      <c r="K32" s="70" t="str">
        <f>if('source-downstream'!K32="",'data-cleansing-maps'!$L$10,vlookup('source-downstream'!K32,RESILIENCE_OPTION_MAP,3,FALSE))</f>
        <v>not-provided</v>
      </c>
      <c r="L32" s="89" t="str">
        <f>'source-downstream'!L32</f>
        <v>Not provided</v>
      </c>
      <c r="M32" s="65" t="str">
        <f>if('source-downstream'!M32="",'schema-rv-services'!$B$26,vlookup(vlookup('source-downstream'!$M32,'analysis-rv-services'!$C:$E,3,FALSE),'schema-rv-services'!$A:$B,2, FALSE))</f>
        <v>not-provided</v>
      </c>
      <c r="N32" s="70"/>
    </row>
    <row r="33" ht="15.75" customHeight="1">
      <c r="A33" s="88" t="str">
        <f>Substitute(SUBSTITUTE(substitute(substitute(substitute(substitute(substitute(substitute(substitute(lower('source-downstream'!A33)," ","-"),"(",""),")",""),"&gt;",""),"&lt;",""),"---","-"),".","-"),"--","-"),"&amp;","-and-")</f>
        <v>lazy-lyrebird</v>
      </c>
      <c r="B33" s="88" t="str">
        <f>Substitute(SUBSTITUTE(substitute(substitute(substitute(substitute(substitute(substitute(substitute(lower('source-downstream'!B33)," ","-"),"(",""),")",""),"&gt;",""),"&lt;",""),"---","-"),".","-"),"--","-"),"&amp;","-and-")</f>
        <v>silent-bandicoot</v>
      </c>
      <c r="C33" s="70" t="str">
        <f>if('source-downstream'!C33="",'schema-frequency'!$B$11,vlookup('source-downstream'!C33,FREQUENCY_MAP, 3, FALSE))</f>
        <v>unknown</v>
      </c>
      <c r="D33" s="89" t="str">
        <f>'source-downstream'!D33</f>
        <v>Not provided</v>
      </c>
      <c r="E33" s="65" t="str">
        <f>if('source-downstream'!E33="",'schema-geographic-dependency'!$B$5, vlookup('source-downstream'!E33,'schema-geographic-dependency'!A:B,2,FALSE))</f>
        <v>not-provided</v>
      </c>
      <c r="F33" s="70" t="str">
        <f>if('source-downstream'!F33="",'schema-yn'!$A$5,vlookup('source-downstream'!F33,YN_MAP,3,FALSE))</f>
        <v>not-provided</v>
      </c>
      <c r="G33" s="89" t="str">
        <f>'source-downstream'!G33</f>
        <v>Not provided</v>
      </c>
      <c r="H33" s="70" t="str">
        <f>'source-downstream'!H33</f>
        <v/>
      </c>
      <c r="I33" s="70" t="str">
        <f>if('source-downstream'!I33="",'schema-yn'!$A$5,vlookup('source-downstream'!I33,YN_MAP,3,FALSE))</f>
        <v>not-provided</v>
      </c>
      <c r="J33" s="89" t="str">
        <f>'source-downstream'!J33</f>
        <v>Not provided</v>
      </c>
      <c r="K33" s="70" t="str">
        <f>if('source-downstream'!K33="",'data-cleansing-maps'!$L$10,vlookup('source-downstream'!K33,RESILIENCE_OPTION_MAP,3,FALSE))</f>
        <v>not-provided</v>
      </c>
      <c r="L33" s="89" t="str">
        <f>'source-downstream'!L33</f>
        <v>Not provided</v>
      </c>
      <c r="M33" s="65" t="str">
        <f>if('source-downstream'!M33="",'schema-rv-services'!$B$26,vlookup(vlookup('source-downstream'!$M33,'analysis-rv-services'!$C:$E,3,FALSE),'schema-rv-services'!$A:$B,2, FALSE))</f>
        <v>not-provided</v>
      </c>
      <c r="N33" s="70"/>
    </row>
    <row r="34" ht="15.75" customHeight="1">
      <c r="A34" s="88" t="str">
        <f>Substitute(SUBSTITUTE(substitute(substitute(substitute(substitute(substitute(substitute(substitute(lower('source-downstream'!A34)," ","-"),"(",""),")",""),"&gt;",""),"&lt;",""),"---","-"),".","-"),"--","-"),"&amp;","-and-")</f>
        <v>noisy-dingo</v>
      </c>
      <c r="B34" s="88" t="str">
        <f>Substitute(SUBSTITUTE(substitute(substitute(substitute(substitute(substitute(substitute(substitute(lower('source-downstream'!B34)," ","-"),"(",""),")",""),"&gt;",""),"&lt;",""),"---","-"),".","-"),"--","-"),"&amp;","-and-")</f>
        <v>noisy-dingo</v>
      </c>
      <c r="C34" s="70" t="str">
        <f>if('source-downstream'!C34="",'schema-frequency'!$B$11,vlookup('source-downstream'!C34,FREQUENCY_MAP, 3, FALSE))</f>
        <v>not-provided</v>
      </c>
      <c r="D34" s="89" t="str">
        <f>'source-downstream'!D34</f>
        <v>Sourcing and supply of ferrous scrap feed to be stockpiled under the Meltshop gantry crane to feed the EAF at the Noisy Dingo Steel Mill</v>
      </c>
      <c r="E34" s="65" t="str">
        <f>if('source-downstream'!E34="",'schema-geographic-dependency'!$B$5, vlookup('source-downstream'!E34,'schema-geographic-dependency'!A:B,2,FALSE))</f>
        <v>same-region</v>
      </c>
      <c r="F34" s="70" t="str">
        <f>if('source-downstream'!F34="",'schema-yn'!$A$5,vlookup('source-downstream'!F34,YN_MAP,3,FALSE))</f>
        <v>no</v>
      </c>
      <c r="G34" s="89" t="str">
        <f>'source-downstream'!G34</f>
        <v>Not provided</v>
      </c>
      <c r="H34" s="70" t="str">
        <f>'source-downstream'!H34</f>
        <v/>
      </c>
      <c r="I34" s="70" t="str">
        <f>if('source-downstream'!I34="",'schema-yn'!$A$5,vlookup('source-downstream'!I34,YN_MAP,3,FALSE))</f>
        <v>yes</v>
      </c>
      <c r="J34" s="89" t="str">
        <f>'source-downstream'!J34</f>
        <v>YES but with significant difficulty that is likely to impact the ongoing viability of the Noisy Dingo Laverton steel mill As noted in Section 2.21, if local shred supply ceased (e.g. due to sharp increase in floc disposal cost) the Laverton steel mill (single downstream service in Victoria) could continue in the short term (&lt;6 months) but withsignificant operational and commercial difficulty. If local supply ceased long term or permanently – the commercial and operational difficulties would appear to be unsustainable for downstream users.</v>
      </c>
      <c r="K34" s="70" t="str">
        <f>if('source-downstream'!K34="",'data-cleansing-maps'!$L$10,vlookup('source-downstream'!K34,RESILIENCE_OPTION_MAP,3,FALSE))</f>
        <v>not-provided</v>
      </c>
      <c r="L34" s="89" t="str">
        <f>'source-downstream'!L34</f>
        <v/>
      </c>
      <c r="M34" s="65" t="str">
        <f>if('source-downstream'!M34="",'schema-rv-services'!$B$26,vlookup(vlookup('source-downstream'!$M34,'analysis-rv-services'!$C:$E,3,FALSE),'schema-rv-services'!$A:$B,2, FALSE))</f>
        <v>feedstock</v>
      </c>
      <c r="N34" s="70"/>
    </row>
    <row r="35" ht="15.75" customHeight="1">
      <c r="A35" s="88" t="str">
        <f>Substitute(SUBSTITUTE(substitute(substitute(substitute(substitute(substitute(substitute(substitute(lower('source-downstream'!A35)," ","-"),"(",""),")",""),"&gt;",""),"&lt;",""),"---","-"),".","-"),"--","-"),"&amp;","-and-")</f>
        <v>noisy-quokka</v>
      </c>
      <c r="B35" s="88" t="str">
        <f>Substitute(SUBSTITUTE(substitute(substitute(substitute(substitute(substitute(substitute(substitute(lower('source-downstream'!B35)," ","-"),"(",""),")",""),"&gt;",""),"&lt;",""),"---","-"),".","-"),"--","-"),"&amp;","-and-")</f>
        <v>green-redback-spider</v>
      </c>
      <c r="C35" s="70" t="str">
        <f>if('source-downstream'!C35="",'schema-frequency'!$B$11,vlookup('source-downstream'!C35,FREQUENCY_MAP, 3, FALSE))</f>
        <v>not-provided</v>
      </c>
      <c r="D35" s="89" t="str">
        <f>'source-downstream'!D35</f>
        <v>General waste collection
 Recyclable waste collection
 Greenwaste collection
 Bulk waste collection</v>
      </c>
      <c r="E35" s="65" t="str">
        <f>if('source-downstream'!E35="",'schema-geographic-dependency'!$B$5, vlookup('source-downstream'!E35,'schema-geographic-dependency'!A:B,2,FALSE))</f>
        <v>spread-across-multiple-regions</v>
      </c>
      <c r="F35" s="70" t="str">
        <f>if('source-downstream'!F35="",'schema-yn'!$A$5,vlookup('source-downstream'!F35,YN_MAP,3,FALSE))</f>
        <v>no</v>
      </c>
      <c r="G35" s="89" t="str">
        <f>'source-downstream'!G35</f>
        <v>Other waste management companies available to supply the scale of service if required</v>
      </c>
      <c r="H35" s="70" t="str">
        <f>'source-downstream'!H35</f>
        <v/>
      </c>
      <c r="I35" s="70" t="str">
        <f>if('source-downstream'!I35="",'schema-yn'!$A$5,vlookup('source-downstream'!I35,YN_MAP,3,FALSE))</f>
        <v>yes</v>
      </c>
      <c r="J35" s="89" t="str">
        <f>'source-downstream'!J35</f>
        <v>Priority given to general waste collections however a large waste management company could assist and provide the services</v>
      </c>
      <c r="K35" s="70" t="str">
        <f>if('source-downstream'!K35="",'data-cleansing-maps'!$L$10,vlookup('source-downstream'!K35,RESILIENCE_OPTION_MAP,3,FALSE))</f>
        <v>not-provided</v>
      </c>
      <c r="L35" s="89" t="str">
        <f>'source-downstream'!L35</f>
        <v/>
      </c>
      <c r="M35" s="65" t="str">
        <f>if('source-downstream'!M35="",'schema-rv-services'!$B$26,vlookup(vlookup('source-downstream'!$M35,'analysis-rv-services'!$C:$E,3,FALSE),'schema-rv-services'!$A:$B,2, FALSE))</f>
        <v>waste-collection</v>
      </c>
      <c r="N35" s="70"/>
    </row>
    <row r="36" ht="15.75" customHeight="1">
      <c r="A36" s="88" t="str">
        <f>Substitute(SUBSTITUTE(substitute(substitute(substitute(substitute(substitute(substitute(substitute(lower('source-downstream'!A36)," ","-"),"(",""),")",""),"&gt;",""),"&lt;",""),"---","-"),".","-"),"--","-"),"&amp;","-and-")</f>
        <v>red-lyrebird</v>
      </c>
      <c r="B36" s="88" t="str">
        <f>Substitute(SUBSTITUTE(substitute(substitute(substitute(substitute(substitute(substitute(substitute(lower('source-downstream'!B36)," ","-"),"(",""),")",""),"&gt;",""),"&lt;",""),"---","-"),".","-"),"--","-"),"&amp;","-and-")</f>
        <v>sleepy-platypus</v>
      </c>
      <c r="C36" s="70" t="str">
        <f>if('source-downstream'!C36="",'schema-frequency'!$B$11,vlookup('source-downstream'!C36,FREQUENCY_MAP, 3, FALSE))</f>
        <v>not-provided</v>
      </c>
      <c r="D36" s="89" t="str">
        <f>'source-downstream'!D36</f>
        <v>Local network service provider</v>
      </c>
      <c r="E36" s="65" t="str">
        <f>if('source-downstream'!E36="",'schema-geographic-dependency'!$B$5, vlookup('source-downstream'!E36,'schema-geographic-dependency'!A:B,2,FALSE))</f>
        <v>not-provided</v>
      </c>
      <c r="F36" s="70" t="str">
        <f>if('source-downstream'!F36="",'schema-yn'!$A$5,vlookup('source-downstream'!F36,YN_MAP,3,FALSE))</f>
        <v>no</v>
      </c>
      <c r="G36" s="89" t="str">
        <f>'source-downstream'!G36</f>
        <v>Not provided</v>
      </c>
      <c r="H36" s="70" t="str">
        <f>'source-downstream'!H36</f>
        <v/>
      </c>
      <c r="I36" s="70" t="str">
        <f>if('source-downstream'!I36="",'schema-yn'!$A$5,vlookup('source-downstream'!I36,YN_MAP,3,FALSE))</f>
        <v>not-provided</v>
      </c>
      <c r="J36" s="89" t="str">
        <f>'source-downstream'!J36</f>
        <v>If a LNSP or MDP closed, Red Lyrebird would still be able to operate and provide our services to our customers. Note Red Lyrebird has the capacity to flare LFG without the generation of electricity.
 The generation of electricity at a landfill is complimentary to the waste management sector and provides secondary benefits to the circular economy. The generation of electricity only becomes economically viable if a landfill is large enough to accept enough waste (generating LFG) to maintain an engine/generator, and the cost of grid connection is justified.</v>
      </c>
      <c r="K36" s="70" t="str">
        <f>if('source-downstream'!K36="",'data-cleansing-maps'!$L$10,vlookup('source-downstream'!K36,RESILIENCE_OPTION_MAP,3,FALSE))</f>
        <v>not-provided</v>
      </c>
      <c r="L36" s="89" t="str">
        <f>'source-downstream'!L36</f>
        <v>Not provided</v>
      </c>
      <c r="M36" s="65" t="str">
        <f>if('source-downstream'!M36="",'schema-rv-services'!$B$26,vlookup(vlookup('source-downstream'!$M36,'analysis-rv-services'!$C:$E,3,FALSE),'schema-rv-services'!$A:$B,2, FALSE))</f>
        <v>power</v>
      </c>
      <c r="N36" s="70"/>
    </row>
    <row r="37" ht="15.75" customHeight="1">
      <c r="A37" s="88" t="str">
        <f>Substitute(SUBSTITUTE(substitute(substitute(substitute(substitute(substitute(substitute(substitute(lower('source-downstream'!A37)," ","-"),"(",""),")",""),"&gt;",""),"&lt;",""),"---","-"),".","-"),"--","-"),"&amp;","-and-")</f>
        <v>red-lyrebird</v>
      </c>
      <c r="B37" s="88" t="str">
        <f>Substitute(SUBSTITUTE(substitute(substitute(substitute(substitute(substitute(substitute(substitute(lower('source-downstream'!B37)," ","-"),"(",""),")",""),"&gt;",""),"&lt;",""),"---","-"),".","-"),"--","-"),"&amp;","-and-")</f>
        <v>shy-frilled-neck-lizard</v>
      </c>
      <c r="C37" s="70" t="str">
        <f>if('source-downstream'!C37="",'schema-frequency'!$B$11,vlookup('source-downstream'!C37,FREQUENCY_MAP, 3, FALSE))</f>
        <v>not-provided</v>
      </c>
      <c r="D37" s="89" t="str">
        <f>'source-downstream'!D37</f>
        <v>Meter data Provider</v>
      </c>
      <c r="E37" s="65" t="str">
        <f>if('source-downstream'!E37="",'schema-geographic-dependency'!$B$5, vlookup('source-downstream'!E37,'schema-geographic-dependency'!A:B,2,FALSE))</f>
        <v>not-provided</v>
      </c>
      <c r="F37" s="70" t="str">
        <f>if('source-downstream'!F37="",'schema-yn'!$A$5,vlookup('source-downstream'!F37,YN_MAP,3,FALSE))</f>
        <v>no</v>
      </c>
      <c r="G37" s="89" t="str">
        <f>'source-downstream'!G37</f>
        <v>Not provided</v>
      </c>
      <c r="H37" s="70" t="str">
        <f>'source-downstream'!H37</f>
        <v/>
      </c>
      <c r="I37" s="70" t="str">
        <f>if('source-downstream'!I37="",'schema-yn'!$A$5,vlookup('source-downstream'!I37,YN_MAP,3,FALSE))</f>
        <v>not-provided</v>
      </c>
      <c r="J37" s="89" t="str">
        <f>'source-downstream'!J37</f>
        <v>If a LNSP or MDP closed, Red Lyrebird would still be able to operate and provide our services to our customers. Note Red Lyrebird has the capacity to flare LFG without the generation of electricity.
 The generation of electricity at a landfill is complimentary to the waste management sector and provides secondary benefits to the circular economy. The generation of electricity only becomes economically viable if a landfill is large enough to accept enough waste (generating LFG) to maintain an engine/generator, and the cost of grid connection is justified.</v>
      </c>
      <c r="K37" s="70" t="str">
        <f>if('source-downstream'!K37="",'data-cleansing-maps'!$L$10,vlookup('source-downstream'!K37,RESILIENCE_OPTION_MAP,3,FALSE))</f>
        <v>not-provided</v>
      </c>
      <c r="L37" s="89" t="str">
        <f>'source-downstream'!L37</f>
        <v>Not provided</v>
      </c>
      <c r="M37" s="65" t="str">
        <f>if('source-downstream'!M37="",'schema-rv-services'!$B$26,vlookup(vlookup('source-downstream'!$M37,'analysis-rv-services'!$C:$E,3,FALSE),'schema-rv-services'!$A:$B,2, FALSE))</f>
        <v>partners</v>
      </c>
      <c r="N37" s="70"/>
    </row>
    <row r="38" ht="15.75" customHeight="1">
      <c r="A38" s="88" t="str">
        <f>Substitute(SUBSTITUTE(substitute(substitute(substitute(substitute(substitute(substitute(substitute(lower('source-downstream'!A38)," ","-"),"(",""),")",""),"&gt;",""),"&lt;",""),"---","-"),".","-"),"--","-"),"&amp;","-and-")</f>
        <v>red-lyrebird</v>
      </c>
      <c r="B38" s="88" t="str">
        <f>Substitute(SUBSTITUTE(substitute(substitute(substitute(substitute(substitute(substitute(substitute(lower('source-downstream'!B38)," ","-"),"(",""),")",""),"&gt;",""),"&lt;",""),"---","-"),".","-"),"--","-"),"&amp;","-and-")</f>
        <v>sleepy-perentie</v>
      </c>
      <c r="C38" s="70" t="str">
        <f>if('source-downstream'!C38="",'schema-frequency'!$B$11,vlookup('source-downstream'!C38,FREQUENCY_MAP, 3, FALSE))</f>
        <v>not-provided</v>
      </c>
      <c r="D38" s="89" t="str">
        <f>'source-downstream'!D38</f>
        <v>Meter data Provider</v>
      </c>
      <c r="E38" s="65" t="str">
        <f>if('source-downstream'!E38="",'schema-geographic-dependency'!$B$5, vlookup('source-downstream'!E38,'schema-geographic-dependency'!A:B,2,FALSE))</f>
        <v>not-provided</v>
      </c>
      <c r="F38" s="70" t="str">
        <f>if('source-downstream'!F38="",'schema-yn'!$A$5,vlookup('source-downstream'!F38,YN_MAP,3,FALSE))</f>
        <v>no</v>
      </c>
      <c r="G38" s="89" t="str">
        <f>'source-downstream'!G38</f>
        <v>Not provided</v>
      </c>
      <c r="H38" s="70" t="str">
        <f>'source-downstream'!H38</f>
        <v/>
      </c>
      <c r="I38" s="70" t="str">
        <f>if('source-downstream'!I38="",'schema-yn'!$A$5,vlookup('source-downstream'!I38,YN_MAP,3,FALSE))</f>
        <v>not-provided</v>
      </c>
      <c r="J38" s="89" t="str">
        <f>'source-downstream'!J38</f>
        <v>If a LNSP or MDP closed, Red Lyrebird would still be able to operate and provide our services to our customers. Note Red Lyrebird has the capacity to flare LFG without the generation of electricity.
 The generation of electricity at a landfill is complimentary to the waste management sector and provides secondary benefits to the circular economy. The generation of electricity only becomes economically viable if a landfill is large enough to accept enough waste (generating LFG) to maintain an engine/generator, and the cost of grid connection is justified.</v>
      </c>
      <c r="K38" s="70" t="str">
        <f>if('source-downstream'!K38="",'data-cleansing-maps'!$L$10,vlookup('source-downstream'!K38,RESILIENCE_OPTION_MAP,3,FALSE))</f>
        <v>not-provided</v>
      </c>
      <c r="L38" s="89" t="str">
        <f>'source-downstream'!L38</f>
        <v>Not provided</v>
      </c>
      <c r="M38" s="65" t="str">
        <f>if('source-downstream'!M38="",'schema-rv-services'!$B$26,vlookup(vlookup('source-downstream'!$M38,'analysis-rv-services'!$C:$E,3,FALSE),'schema-rv-services'!$A:$B,2, FALSE))</f>
        <v>techonology</v>
      </c>
      <c r="N38" s="70"/>
    </row>
    <row r="39" ht="15.75" customHeight="1">
      <c r="A39" s="88" t="str">
        <f>Substitute(SUBSTITUTE(substitute(substitute(substitute(substitute(substitute(substitute(substitute(lower('source-downstream'!A39)," ","-"),"(",""),")",""),"&gt;",""),"&lt;",""),"---","-"),".","-"),"--","-"),"&amp;","-and-")</f>
        <v>red-lyrebird</v>
      </c>
      <c r="B39" s="88" t="str">
        <f>Substitute(SUBSTITUTE(substitute(substitute(substitute(substitute(substitute(substitute(substitute(lower('source-downstream'!B39)," ","-"),"(",""),")",""),"&gt;",""),"&lt;",""),"---","-"),".","-"),"--","-"),"&amp;","-and-")</f>
        <v>brave-bandicoot</v>
      </c>
      <c r="C39" s="70" t="str">
        <f>if('source-downstream'!C39="",'schema-frequency'!$B$11,vlookup('source-downstream'!C39,FREQUENCY_MAP, 3, FALSE))</f>
        <v>not-provided</v>
      </c>
      <c r="D39" s="89" t="str">
        <f>'source-downstream'!D39</f>
        <v>Local network service provider</v>
      </c>
      <c r="E39" s="65" t="str">
        <f>if('source-downstream'!E39="",'schema-geographic-dependency'!$B$5, vlookup('source-downstream'!E39,'schema-geographic-dependency'!A:B,2,FALSE))</f>
        <v>not-provided</v>
      </c>
      <c r="F39" s="70" t="str">
        <f>if('source-downstream'!F39="",'schema-yn'!$A$5,vlookup('source-downstream'!F39,YN_MAP,3,FALSE))</f>
        <v>no</v>
      </c>
      <c r="G39" s="89" t="str">
        <f>'source-downstream'!G39</f>
        <v>Not provided</v>
      </c>
      <c r="H39" s="70" t="str">
        <f>'source-downstream'!H39</f>
        <v/>
      </c>
      <c r="I39" s="70" t="str">
        <f>if('source-downstream'!I39="",'schema-yn'!$A$5,vlookup('source-downstream'!I39,YN_MAP,3,FALSE))</f>
        <v>not-provided</v>
      </c>
      <c r="J39" s="89" t="str">
        <f>'source-downstream'!J39</f>
        <v>If a LNSP or MDP closed, Red Lyrebird would still be able to operate and provide our services to our customers. Note Red Lyrebird has the capacity to flare LFG without the generation of electricity.
 The generation of electricity at a landfill is complimentary to the waste management sector and provides secondary benefits to the circular economy. The generation of electricity only becomes economically viable if a landfill is large enough to accept enough waste (generating LFG) to maintain an engine/generator, and the cost of grid connection is justified.</v>
      </c>
      <c r="K39" s="70" t="str">
        <f>if('source-downstream'!K39="",'data-cleansing-maps'!$L$10,vlookup('source-downstream'!K39,RESILIENCE_OPTION_MAP,3,FALSE))</f>
        <v>not-provided</v>
      </c>
      <c r="L39" s="89" t="str">
        <f>'source-downstream'!L39</f>
        <v>Not provided</v>
      </c>
      <c r="M39" s="65" t="str">
        <f>if('source-downstream'!M39="",'schema-rv-services'!$B$26,vlookup(vlookup('source-downstream'!$M39,'analysis-rv-services'!$C:$E,3,FALSE),'schema-rv-services'!$A:$B,2, FALSE))</f>
        <v>power</v>
      </c>
      <c r="N39" s="70"/>
    </row>
    <row r="40" ht="15.75" customHeight="1">
      <c r="A40" s="88" t="str">
        <f>Substitute(SUBSTITUTE(substitute(substitute(substitute(substitute(substitute(substitute(substitute(lower('source-downstream'!A40)," ","-"),"(",""),")",""),"&gt;",""),"&lt;",""),"---","-"),".","-"),"--","-"),"&amp;","-and-")</f>
        <v>red-lyrebird</v>
      </c>
      <c r="B40" s="88" t="str">
        <f>Substitute(SUBSTITUTE(substitute(substitute(substitute(substitute(substitute(substitute(substitute(lower('source-downstream'!B40)," ","-"),"(",""),")",""),"&gt;",""),"&lt;",""),"---","-"),".","-"),"--","-"),"&amp;","-and-")</f>
        <v>wild-dingo</v>
      </c>
      <c r="C40" s="70" t="str">
        <f>if('source-downstream'!C40="",'schema-frequency'!$B$11,vlookup('source-downstream'!C40,FREQUENCY_MAP, 3, FALSE))</f>
        <v>not-provided</v>
      </c>
      <c r="D40" s="89" t="str">
        <f>'source-downstream'!D40</f>
        <v>Local network service provider</v>
      </c>
      <c r="E40" s="65" t="str">
        <f>if('source-downstream'!E40="",'schema-geographic-dependency'!$B$5, vlookup('source-downstream'!E40,'schema-geographic-dependency'!A:B,2,FALSE))</f>
        <v>not-provided</v>
      </c>
      <c r="F40" s="70" t="str">
        <f>if('source-downstream'!F40="",'schema-yn'!$A$5,vlookup('source-downstream'!F40,YN_MAP,3,FALSE))</f>
        <v>no</v>
      </c>
      <c r="G40" s="89" t="str">
        <f>'source-downstream'!G40</f>
        <v>Not provided</v>
      </c>
      <c r="H40" s="70" t="str">
        <f>'source-downstream'!H40</f>
        <v/>
      </c>
      <c r="I40" s="70" t="str">
        <f>if('source-downstream'!I40="",'schema-yn'!$A$5,vlookup('source-downstream'!I40,YN_MAP,3,FALSE))</f>
        <v>not-provided</v>
      </c>
      <c r="J40" s="89" t="str">
        <f>'source-downstream'!J40</f>
        <v>If a LNSP or MDP closed, Red Lyrebird would still be able to operate and provide our services to our customers. Note Red Lyrebird has the capacity to flare LFG without the generation of electricity.
 The generation of electricity at a landfill is complimentary to the waste management sector and provides secondary benefits to the circular economy. The generation of electricity only becomes economically viable if a landfill is large enough to accept enough waste (generating LFG) to maintain an engine/generator, and the cost of grid connection is justified.</v>
      </c>
      <c r="K40" s="70" t="str">
        <f>if('source-downstream'!K40="",'data-cleansing-maps'!$L$10,vlookup('source-downstream'!K40,RESILIENCE_OPTION_MAP,3,FALSE))</f>
        <v>not-provided</v>
      </c>
      <c r="L40" s="89" t="str">
        <f>'source-downstream'!L40</f>
        <v>Not provided</v>
      </c>
      <c r="M40" s="65" t="str">
        <f>if('source-downstream'!M40="",'schema-rv-services'!$B$26,vlookup(vlookup('source-downstream'!$M40,'analysis-rv-services'!$C:$E,3,FALSE),'schema-rv-services'!$A:$B,2, FALSE))</f>
        <v>power</v>
      </c>
      <c r="N40" s="70"/>
    </row>
    <row r="41" ht="15.75" customHeight="1">
      <c r="A41" s="88" t="str">
        <f>Substitute(SUBSTITUTE(substitute(substitute(substitute(substitute(substitute(substitute(substitute(lower('source-downstream'!A41)," ","-"),"(",""),")",""),"&gt;",""),"&lt;",""),"---","-"),".","-"),"--","-"),"&amp;","-and-")</f>
        <v>red-lyrebird</v>
      </c>
      <c r="B41" s="88" t="str">
        <f>Substitute(SUBSTITUTE(substitute(substitute(substitute(substitute(substitute(substitute(substitute(lower('source-downstream'!B41)," ","-"),"(",""),")",""),"&gt;",""),"&lt;",""),"---","-"),".","-"),"--","-"),"&amp;","-and-")</f>
        <v>yellow-tree-kangaroo</v>
      </c>
      <c r="C41" s="70" t="str">
        <f>if('source-downstream'!C41="",'schema-frequency'!$B$11,vlookup('source-downstream'!C41,FREQUENCY_MAP, 3, FALSE))</f>
        <v>not-provided</v>
      </c>
      <c r="D41" s="89" t="str">
        <f>'source-downstream'!D41</f>
        <v>Meter data Provider</v>
      </c>
      <c r="E41" s="65" t="str">
        <f>if('source-downstream'!E41="",'schema-geographic-dependency'!$B$5, vlookup('source-downstream'!E41,'schema-geographic-dependency'!A:B,2,FALSE))</f>
        <v>not-provided</v>
      </c>
      <c r="F41" s="70" t="str">
        <f>if('source-downstream'!F41="",'schema-yn'!$A$5,vlookup('source-downstream'!F41,YN_MAP,3,FALSE))</f>
        <v>no</v>
      </c>
      <c r="G41" s="89" t="str">
        <f>'source-downstream'!G41</f>
        <v>Not provided</v>
      </c>
      <c r="H41" s="70" t="str">
        <f>'source-downstream'!H41</f>
        <v/>
      </c>
      <c r="I41" s="70" t="str">
        <f>if('source-downstream'!I41="",'schema-yn'!$A$5,vlookup('source-downstream'!I41,YN_MAP,3,FALSE))</f>
        <v>not-provided</v>
      </c>
      <c r="J41" s="89" t="str">
        <f>'source-downstream'!J41</f>
        <v>If a LNSP or MDP closed, Red Lyrebird would still be able to operate and provide our services to our customers. Note Red Lyrebird has the capacity to flare LFG without the generation of electricity.
 The generation of electricity at a landfill is complimentary to the waste management sector and provides secondary benefits to the circular economy. The generation of electricity only becomes economically viable if a landfill is large enough to accept enough waste (generating LFG) to maintain an engine/generator, and the cost of grid connection is justified.</v>
      </c>
      <c r="K41" s="70" t="str">
        <f>if('source-downstream'!K41="",'data-cleansing-maps'!$L$10,vlookup('source-downstream'!K41,RESILIENCE_OPTION_MAP,3,FALSE))</f>
        <v>not-provided</v>
      </c>
      <c r="L41" s="89" t="str">
        <f>'source-downstream'!L41</f>
        <v>Not provided</v>
      </c>
      <c r="M41" s="65" t="str">
        <f>if('source-downstream'!M41="",'schema-rv-services'!$B$26,vlookup(vlookup('source-downstream'!$M41,'analysis-rv-services'!$C:$E,3,FALSE),'schema-rv-services'!$A:$B,2, FALSE))</f>
        <v>gas</v>
      </c>
      <c r="N41" s="70"/>
    </row>
    <row r="42" ht="15.75" customHeight="1">
      <c r="A42" s="88" t="str">
        <f>Substitute(SUBSTITUTE(substitute(substitute(substitute(substitute(substitute(substitute(substitute(lower('source-downstream'!A42)," ","-"),"(",""),")",""),"&gt;",""),"&lt;",""),"---","-"),".","-"),"--","-"),"&amp;","-and-")</f>
        <v>red-possum</v>
      </c>
      <c r="B42" s="88" t="str">
        <f>Substitute(SUBSTITUTE(substitute(substitute(substitute(substitute(substitute(substitute(substitute(lower('source-downstream'!B42)," ","-"),"(",""),")",""),"&gt;",""),"&lt;",""),"---","-"),".","-"),"--","-"),"&amp;","-and-")</f>
        <v>noisy-echidna</v>
      </c>
      <c r="C42" s="70" t="str">
        <f>if('source-downstream'!C42="",'schema-frequency'!$B$11,vlookup('source-downstream'!C42,FREQUENCY_MAP, 3, FALSE))</f>
        <v>not-provided</v>
      </c>
      <c r="D42" s="89" t="str">
        <f>'source-downstream'!D42</f>
        <v>landfill gas extraction</v>
      </c>
      <c r="E42" s="65" t="str">
        <f>if('source-downstream'!E42="",'schema-geographic-dependency'!$B$5, vlookup('source-downstream'!E42,'schema-geographic-dependency'!A:B,2,FALSE))</f>
        <v>same-region</v>
      </c>
      <c r="F42" s="70" t="str">
        <f>if('source-downstream'!F42="",'schema-yn'!$A$5,vlookup('source-downstream'!F42,YN_MAP,3,FALSE))</f>
        <v>no</v>
      </c>
      <c r="G42" s="89" t="str">
        <f>'source-downstream'!G42</f>
        <v>Not provided</v>
      </c>
      <c r="H42" s="70" t="str">
        <f>'source-downstream'!H42</f>
        <v/>
      </c>
      <c r="I42" s="70" t="str">
        <f>if('source-downstream'!I42="",'schema-yn'!$A$5,vlookup('source-downstream'!I42,YN_MAP,3,FALSE))</f>
        <v>yes</v>
      </c>
      <c r="J42" s="89" t="str">
        <f>'source-downstream'!J42</f>
        <v>The landfill gas extraction system at Red Possum is owned and operated by Noisy Echidna. Noisy Echidna actively extract and exclusively treat (via flare) the landfill gas generated in the landfill. Australian Carbon Credit Unit’s (ACCUs) are earned from this process of flaring the landfill gas.</v>
      </c>
      <c r="K42" s="70" t="str">
        <f>if('source-downstream'!K42="",'data-cleansing-maps'!$L$10,vlookup('source-downstream'!K42,RESILIENCE_OPTION_MAP,3,FALSE))</f>
        <v>not-provided</v>
      </c>
      <c r="L42" s="89" t="str">
        <f>'source-downstream'!L42</f>
        <v/>
      </c>
      <c r="M42" s="65" t="str">
        <f>if('source-downstream'!M42="",'schema-rv-services'!$B$26,vlookup(vlookup('source-downstream'!$M42,'analysis-rv-services'!$C:$E,3,FALSE),'schema-rv-services'!$A:$B,2, FALSE))</f>
        <v>gas</v>
      </c>
      <c r="N42" s="70"/>
    </row>
    <row r="43" ht="15.75" customHeight="1">
      <c r="A43" s="88" t="str">
        <f>Substitute(SUBSTITUTE(substitute(substitute(substitute(substitute(substitute(substitute(substitute(lower('source-downstream'!A43)," ","-"),"(",""),")",""),"&gt;",""),"&lt;",""),"---","-"),".","-"),"--","-"),"&amp;","-and-")</f>
        <v>silent-rosella</v>
      </c>
      <c r="B43" s="88" t="str">
        <f>Substitute(SUBSTITUTE(substitute(substitute(substitute(substitute(substitute(substitute(substitute(lower('source-downstream'!B43)," ","-"),"(",""),")",""),"&gt;",""),"&lt;",""),"---","-"),".","-"),"--","-"),"&amp;","-and-")</f>
        <v>fuzzy-cassowary</v>
      </c>
      <c r="C43" s="70" t="str">
        <f>if('source-downstream'!C43="",'schema-frequency'!$B$11,vlookup('source-downstream'!C43,FREQUENCY_MAP, 3, FALSE))</f>
        <v>not-provided</v>
      </c>
      <c r="D43" s="89" t="str">
        <f>'source-downstream'!D43</f>
        <v>Transporting of recycled materials</v>
      </c>
      <c r="E43" s="65" t="str">
        <f>if('source-downstream'!E43="",'schema-geographic-dependency'!$B$5, vlookup('source-downstream'!E43,'schema-geographic-dependency'!A:B,2,FALSE))</f>
        <v>not-provided</v>
      </c>
      <c r="F43" s="70" t="str">
        <f>if('source-downstream'!F43="",'schema-yn'!$A$5,vlookup('source-downstream'!F43,YN_MAP,3,FALSE))</f>
        <v>not-provided</v>
      </c>
      <c r="G43" s="89" t="str">
        <f>'source-downstream'!G43</f>
        <v>Not provided</v>
      </c>
      <c r="H43" s="70" t="str">
        <f>'source-downstream'!H43</f>
        <v/>
      </c>
      <c r="I43" s="70" t="str">
        <f>if('source-downstream'!I43="",'schema-yn'!$A$5,vlookup('source-downstream'!I43,YN_MAP,3,FALSE))</f>
        <v>not-provided</v>
      </c>
      <c r="J43" s="89" t="str">
        <f>'source-downstream'!J43</f>
        <v>Not provided</v>
      </c>
      <c r="K43" s="70" t="str">
        <f>if('source-downstream'!K43="",'data-cleansing-maps'!$L$10,vlookup('source-downstream'!K43,RESILIENCE_OPTION_MAP,3,FALSE))</f>
        <v>not-provided</v>
      </c>
      <c r="L43" s="89" t="str">
        <f>'source-downstream'!L43</f>
        <v/>
      </c>
      <c r="M43" s="65" t="str">
        <f>if('source-downstream'!M43="",'schema-rv-services'!$B$26,vlookup(vlookup('source-downstream'!$M43,'analysis-rv-services'!$C:$E,3,FALSE),'schema-rv-services'!$A:$B,2, FALSE))</f>
        <v>transport</v>
      </c>
      <c r="N43" s="70"/>
    </row>
    <row r="44" ht="15.75" customHeight="1">
      <c r="A44" s="88" t="str">
        <f>Substitute(SUBSTITUTE(substitute(substitute(substitute(substitute(substitute(substitute(substitute(lower('source-downstream'!A44)," ","-"),"(",""),")",""),"&gt;",""),"&lt;",""),"---","-"),".","-"),"--","-"),"&amp;","-and-")</f>
        <v>silent-rosella</v>
      </c>
      <c r="B44" s="88" t="str">
        <f>Substitute(SUBSTITUTE(substitute(substitute(substitute(substitute(substitute(substitute(substitute(lower('source-downstream'!B44)," ","-"),"(",""),")",""),"&gt;",""),"&lt;",""),"---","-"),".","-"),"--","-"),"&amp;","-and-")</f>
        <v>noisy-dingo</v>
      </c>
      <c r="C44" s="70" t="str">
        <f>if('source-downstream'!C44="",'schema-frequency'!$B$11,vlookup('source-downstream'!C44,FREQUENCY_MAP, 3, FALSE))</f>
        <v>not-provided</v>
      </c>
      <c r="D44" s="89" t="str">
        <f>'source-downstream'!D44</f>
        <v>Not provided</v>
      </c>
      <c r="E44" s="65" t="str">
        <f>if('source-downstream'!E44="",'schema-geographic-dependency'!$B$5, vlookup('source-downstream'!E44,'schema-geographic-dependency'!A:B,2,FALSE))</f>
        <v>not-provided</v>
      </c>
      <c r="F44" s="70" t="str">
        <f>if('source-downstream'!F44="",'schema-yn'!$A$5,vlookup('source-downstream'!F44,YN_MAP,3,FALSE))</f>
        <v>not-provided</v>
      </c>
      <c r="G44" s="89" t="str">
        <f>'source-downstream'!G44</f>
        <v>Not provided</v>
      </c>
      <c r="H44" s="70" t="str">
        <f>'source-downstream'!H44</f>
        <v/>
      </c>
      <c r="I44" s="70" t="str">
        <f>if('source-downstream'!I44="",'schema-yn'!$A$5,vlookup('source-downstream'!I44,YN_MAP,3,FALSE))</f>
        <v>not-provided</v>
      </c>
      <c r="J44" s="89" t="str">
        <f>'source-downstream'!J44</f>
        <v>Not provided</v>
      </c>
      <c r="K44" s="70" t="str">
        <f>if('source-downstream'!K44="",'data-cleansing-maps'!$L$10,vlookup('source-downstream'!K44,RESILIENCE_OPTION_MAP,3,FALSE))</f>
        <v>not-provided</v>
      </c>
      <c r="L44" s="89" t="str">
        <f>'source-downstream'!L44</f>
        <v/>
      </c>
      <c r="M44" s="65" t="str">
        <f>if('source-downstream'!M44="",'schema-rv-services'!$B$26,vlookup(vlookup('source-downstream'!$M44,'analysis-rv-services'!$C:$E,3,FALSE),'schema-rv-services'!$A:$B,2, FALSE))</f>
        <v>feedstock</v>
      </c>
      <c r="N44" s="70"/>
    </row>
    <row r="45" ht="15.75" customHeight="1">
      <c r="A45" s="88" t="str">
        <f>Substitute(SUBSTITUTE(substitute(substitute(substitute(substitute(substitute(substitute(substitute(lower('source-downstream'!A45)," ","-"),"(",""),")",""),"&gt;",""),"&lt;",""),"---","-"),".","-"),"--","-"),"&amp;","-and-")</f>
        <v>silent-rosella</v>
      </c>
      <c r="B45" s="88" t="str">
        <f>Substitute(SUBSTITUTE(substitute(substitute(substitute(substitute(substitute(substitute(substitute(lower('source-downstream'!B45)," ","-"),"(",""),")",""),"&gt;",""),"&lt;",""),"---","-"),".","-"),"--","-"),"&amp;","-and-")</f>
        <v>red-possum</v>
      </c>
      <c r="C45" s="70" t="str">
        <f>if('source-downstream'!C45="",'schema-frequency'!$B$11,vlookup('source-downstream'!C45,FREQUENCY_MAP, 3, FALSE))</f>
        <v>not-provided</v>
      </c>
      <c r="D45" s="89" t="str">
        <f>'source-downstream'!D45</f>
        <v>Receival of recycling process waste materials (floc)</v>
      </c>
      <c r="E45" s="65" t="str">
        <f>if('source-downstream'!E45="",'schema-geographic-dependency'!$B$5, vlookup('source-downstream'!E45,'schema-geographic-dependency'!A:B,2,FALSE))</f>
        <v>not-provided</v>
      </c>
      <c r="F45" s="70" t="str">
        <f>if('source-downstream'!F45="",'schema-yn'!$A$5,vlookup('source-downstream'!F45,YN_MAP,3,FALSE))</f>
        <v>not-provided</v>
      </c>
      <c r="G45" s="89" t="str">
        <f>'source-downstream'!G45</f>
        <v>Not provided</v>
      </c>
      <c r="H45" s="70" t="str">
        <f>'source-downstream'!H45</f>
        <v/>
      </c>
      <c r="I45" s="70" t="str">
        <f>if('source-downstream'!I45="",'schema-yn'!$A$5,vlookup('source-downstream'!I45,YN_MAP,3,FALSE))</f>
        <v>not-provided</v>
      </c>
      <c r="J45" s="89" t="str">
        <f>'source-downstream'!J45</f>
        <v>Landfill operators (floc disposal)</v>
      </c>
      <c r="K45" s="70" t="str">
        <f>if('source-downstream'!K45="",'data-cleansing-maps'!$L$10,vlookup('source-downstream'!K45,RESILIENCE_OPTION_MAP,3,FALSE))</f>
        <v>not-provided</v>
      </c>
      <c r="L45" s="89" t="str">
        <f>'source-downstream'!L45</f>
        <v/>
      </c>
      <c r="M45" s="65" t="str">
        <f>if('source-downstream'!M45="",'schema-rv-services'!$B$26,vlookup(vlookup('source-downstream'!$M45,'analysis-rv-services'!$C:$E,3,FALSE),'schema-rv-services'!$A:$B,2, FALSE))</f>
        <v>waste-disposal</v>
      </c>
      <c r="N45" s="70"/>
    </row>
    <row r="46" ht="15.75" customHeight="1">
      <c r="A46" s="88" t="str">
        <f>Substitute(SUBSTITUTE(substitute(substitute(substitute(substitute(substitute(substitute(substitute(lower('source-downstream'!A46)," ","-"),"(",""),")",""),"&gt;",""),"&lt;",""),"---","-"),".","-"),"--","-"),"&amp;","-and-")</f>
        <v>silent-rosella</v>
      </c>
      <c r="B46" s="88" t="str">
        <f>Substitute(SUBSTITUTE(substitute(substitute(substitute(substitute(substitute(substitute(substitute(lower('source-downstream'!B46)," ","-"),"(",""),")",""),"&gt;",""),"&lt;",""),"---","-"),".","-"),"--","-"),"&amp;","-and-")</f>
        <v>fuzzy-sugar-glider</v>
      </c>
      <c r="C46" s="70" t="str">
        <f>if('source-downstream'!C46="",'schema-frequency'!$B$11,vlookup('source-downstream'!C46,FREQUENCY_MAP, 3, FALSE))</f>
        <v>not-provided</v>
      </c>
      <c r="D46" s="89" t="str">
        <f>'source-downstream'!D46</f>
        <v>Receival of recycling process waste materials (floc)</v>
      </c>
      <c r="E46" s="65" t="str">
        <f>if('source-downstream'!E46="",'schema-geographic-dependency'!$B$5, vlookup('source-downstream'!E46,'schema-geographic-dependency'!A:B,2,FALSE))</f>
        <v>not-provided</v>
      </c>
      <c r="F46" s="70" t="str">
        <f>if('source-downstream'!F46="",'schema-yn'!$A$5,vlookup('source-downstream'!F46,YN_MAP,3,FALSE))</f>
        <v>not-provided</v>
      </c>
      <c r="G46" s="89" t="str">
        <f>'source-downstream'!G46</f>
        <v>Not provided</v>
      </c>
      <c r="H46" s="70" t="str">
        <f>'source-downstream'!H46</f>
        <v/>
      </c>
      <c r="I46" s="70" t="str">
        <f>if('source-downstream'!I46="",'schema-yn'!$A$5,vlookup('source-downstream'!I46,YN_MAP,3,FALSE))</f>
        <v>not-provided</v>
      </c>
      <c r="J46" s="89" t="str">
        <f>'source-downstream'!J46</f>
        <v>Ravenhall. Optional operator, no current agreement</v>
      </c>
      <c r="K46" s="70" t="str">
        <f>if('source-downstream'!K46="",'data-cleansing-maps'!$L$10,vlookup('source-downstream'!K46,RESILIENCE_OPTION_MAP,3,FALSE))</f>
        <v>not-provided</v>
      </c>
      <c r="L46" s="89" t="str">
        <f>'source-downstream'!L46</f>
        <v/>
      </c>
      <c r="M46" s="65" t="str">
        <f>if('source-downstream'!M46="",'schema-rv-services'!$B$26,vlookup(vlookup('source-downstream'!$M46,'analysis-rv-services'!$C:$E,3,FALSE),'schema-rv-services'!$A:$B,2, FALSE))</f>
        <v>waste-disposal</v>
      </c>
      <c r="N46" s="70"/>
    </row>
    <row r="47" ht="15.75" customHeight="1">
      <c r="A47" s="88" t="str">
        <f>Substitute(SUBSTITUTE(substitute(substitute(substitute(substitute(substitute(substitute(substitute(lower('source-downstream'!A47)," ","-"),"(",""),")",""),"&gt;",""),"&lt;",""),"---","-"),".","-"),"--","-"),"&amp;","-and-")</f>
        <v>spotted-cockatoo</v>
      </c>
      <c r="B47" s="88" t="str">
        <f>Substitute(SUBSTITUTE(substitute(substitute(substitute(substitute(substitute(substitute(substitute(lower('source-downstream'!B47)," ","-"),"(",""),")",""),"&gt;",""),"&lt;",""),"---","-"),".","-"),"--","-"),"&amp;","-and-")</f>
        <v>silent-cassowary</v>
      </c>
      <c r="C47" s="70" t="str">
        <f>if('source-downstream'!C47="",'schema-frequency'!$B$11,vlookup('source-downstream'!C47,FREQUENCY_MAP, 3, FALSE))</f>
        <v>not-provided</v>
      </c>
      <c r="D47" s="89" t="str">
        <f>'source-downstream'!D47</f>
        <v>Container Deposit Scheme services</v>
      </c>
      <c r="E47" s="65" t="str">
        <f>if('source-downstream'!E47="",'schema-geographic-dependency'!$B$5, vlookup('source-downstream'!E47,'schema-geographic-dependency'!A:B,2,FALSE))</f>
        <v>same-region</v>
      </c>
      <c r="F47" s="70" t="str">
        <f>if('source-downstream'!F47="",'schema-yn'!$A$5,vlookup('source-downstream'!F47,YN_MAP,3,FALSE))</f>
        <v>no</v>
      </c>
      <c r="G47" s="89" t="str">
        <f>'source-downstream'!G47</f>
        <v>Alternatives available
 - other zones
 - kerbside recycling</v>
      </c>
      <c r="H47" s="70" t="str">
        <f>'source-downstream'!H47</f>
        <v/>
      </c>
      <c r="I47" s="70" t="str">
        <f>if('source-downstream'!I47="",'schema-yn'!$A$5,vlookup('source-downstream'!I47,YN_MAP,3,FALSE))</f>
        <v>yes</v>
      </c>
      <c r="J47" s="89" t="str">
        <f>'source-downstream'!J47</f>
        <v>Yes; potential short-term stockpiling if they choose not to go to another network operator.</v>
      </c>
      <c r="K47" s="70" t="str">
        <f>if('source-downstream'!K47="",'data-cleansing-maps'!$L$10,vlookup('source-downstream'!K47,RESILIENCE_OPTION_MAP,3,FALSE))</f>
        <v>not-provided</v>
      </c>
      <c r="L47" s="89" t="str">
        <f>'source-downstream'!L47</f>
        <v/>
      </c>
      <c r="M47" s="65" t="str">
        <f>if('source-downstream'!M47="",'schema-rv-services'!$B$26,vlookup(vlookup('source-downstream'!$M47,'analysis-rv-services'!$C:$E,3,FALSE),'schema-rv-services'!$A:$B,2, FALSE))</f>
        <v>not-provided</v>
      </c>
      <c r="N47" s="70"/>
    </row>
    <row r="48" ht="15.75" customHeight="1">
      <c r="A48" s="88" t="str">
        <f>Substitute(SUBSTITUTE(substitute(substitute(substitute(substitute(substitute(substitute(substitute(lower('source-downstream'!A48)," ","-"),"(",""),")",""),"&gt;",""),"&lt;",""),"---","-"),".","-"),"--","-"),"&amp;","-and-")</f>
        <v>spotted-koala</v>
      </c>
      <c r="B48" s="88" t="str">
        <f>Substitute(SUBSTITUTE(substitute(substitute(substitute(substitute(substitute(substitute(substitute(lower('source-downstream'!B48)," ","-"),"(",""),")",""),"&gt;",""),"&lt;",""),"---","-"),".","-"),"--","-"),"&amp;","-and-")</f>
        <v>giant-platypus</v>
      </c>
      <c r="C48" s="70" t="str">
        <f>if('source-downstream'!C48="",'schema-frequency'!$B$11,vlookup('source-downstream'!C48,FREQUENCY_MAP, 3, FALSE))</f>
        <v>not-provided</v>
      </c>
      <c r="D48" s="89" t="str">
        <f>'source-downstream'!D48</f>
        <v>Not provided</v>
      </c>
      <c r="E48" s="65" t="str">
        <f>if('source-downstream'!E48="",'schema-geographic-dependency'!$B$5, vlookup('source-downstream'!E48,'schema-geographic-dependency'!A:B,2,FALSE))</f>
        <v>not-provided</v>
      </c>
      <c r="F48" s="70" t="str">
        <f>if('source-downstream'!F48="",'schema-yn'!$A$5,vlookup('source-downstream'!F48,YN_MAP,3,FALSE))</f>
        <v>not-provided</v>
      </c>
      <c r="G48" s="89" t="str">
        <f>'source-downstream'!G48</f>
        <v>Not provided</v>
      </c>
      <c r="H48" s="70" t="str">
        <f>'source-downstream'!H48</f>
        <v/>
      </c>
      <c r="I48" s="70" t="str">
        <f>if('source-downstream'!I48="",'schema-yn'!$A$5,vlookup('source-downstream'!I48,YN_MAP,3,FALSE))</f>
        <v>not-provided</v>
      </c>
      <c r="J48" s="89" t="str">
        <f>'source-downstream'!J48</f>
        <v>No comments provided</v>
      </c>
      <c r="K48" s="70" t="str">
        <f>if('source-downstream'!K48="",'data-cleansing-maps'!$L$10,vlookup('source-downstream'!K48,RESILIENCE_OPTION_MAP,3,FALSE))</f>
        <v>not-provided</v>
      </c>
      <c r="L48" s="89" t="str">
        <f>'source-downstream'!L48</f>
        <v/>
      </c>
      <c r="M48" s="65" t="str">
        <f>if('source-downstream'!M48="",'schema-rv-services'!$B$26,vlookup(vlookup('source-downstream'!$M48,'analysis-rv-services'!$C:$E,3,FALSE),'schema-rv-services'!$A:$B,2, FALSE))</f>
        <v>waste-collection</v>
      </c>
      <c r="N48" s="70"/>
    </row>
    <row r="49" ht="15.75" customHeight="1">
      <c r="A49" s="88" t="str">
        <f>Substitute(SUBSTITUTE(substitute(substitute(substitute(substitute(substitute(substitute(substitute(lower('source-downstream'!A49)," ","-"),"(",""),")",""),"&gt;",""),"&lt;",""),"---","-"),".","-"),"--","-"),"&amp;","-and-")</f>
        <v>spotted-koala</v>
      </c>
      <c r="B49" s="88" t="str">
        <f>Substitute(SUBSTITUTE(substitute(substitute(substitute(substitute(substitute(substitute(substitute(lower('source-downstream'!B49)," ","-"),"(",""),")",""),"&gt;",""),"&lt;",""),"---","-"),".","-"),"--","-"),"&amp;","-and-")</f>
        <v>shy-lyrebird</v>
      </c>
      <c r="C49" s="70" t="str">
        <f>if('source-downstream'!C49="",'schema-frequency'!$B$11,vlookup('source-downstream'!C49,FREQUENCY_MAP, 3, FALSE))</f>
        <v>not-provided</v>
      </c>
      <c r="D49" s="89" t="str">
        <f>'source-downstream'!D49</f>
        <v>Not provided</v>
      </c>
      <c r="E49" s="65" t="str">
        <f>if('source-downstream'!E49="",'schema-geographic-dependency'!$B$5, vlookup('source-downstream'!E49,'schema-geographic-dependency'!A:B,2,FALSE))</f>
        <v>not-provided</v>
      </c>
      <c r="F49" s="70" t="str">
        <f>if('source-downstream'!F49="",'schema-yn'!$A$5,vlookup('source-downstream'!F49,YN_MAP,3,FALSE))</f>
        <v>not-provided</v>
      </c>
      <c r="G49" s="89" t="str">
        <f>'source-downstream'!G49</f>
        <v>Not provided</v>
      </c>
      <c r="H49" s="70" t="str">
        <f>'source-downstream'!H49</f>
        <v/>
      </c>
      <c r="I49" s="70" t="str">
        <f>if('source-downstream'!I49="",'schema-yn'!$A$5,vlookup('source-downstream'!I49,YN_MAP,3,FALSE))</f>
        <v>not-provided</v>
      </c>
      <c r="J49" s="89" t="str">
        <f>'source-downstream'!J49</f>
        <v>No comments provided</v>
      </c>
      <c r="K49" s="70" t="str">
        <f>if('source-downstream'!K49="",'data-cleansing-maps'!$L$10,vlookup('source-downstream'!K49,RESILIENCE_OPTION_MAP,3,FALSE))</f>
        <v>not-provided</v>
      </c>
      <c r="L49" s="89" t="str">
        <f>'source-downstream'!L49</f>
        <v/>
      </c>
      <c r="M49" s="65" t="str">
        <f>if('source-downstream'!M49="",'schema-rv-services'!$B$26,vlookup(vlookup('source-downstream'!$M49,'analysis-rv-services'!$C:$E,3,FALSE),'schema-rv-services'!$A:$B,2, FALSE))</f>
        <v>waste-collection</v>
      </c>
      <c r="N49" s="70"/>
    </row>
    <row r="50" ht="15.75" customHeight="1">
      <c r="A50" s="88" t="str">
        <f>Substitute(SUBSTITUTE(substitute(substitute(substitute(substitute(substitute(substitute(substitute(lower('source-downstream'!A50)," ","-"),"(",""),")",""),"&gt;",""),"&lt;",""),"---","-"),".","-"),"--","-"),"&amp;","-and-")</f>
        <v>spotted-koala</v>
      </c>
      <c r="B50" s="88" t="str">
        <f>Substitute(SUBSTITUTE(substitute(substitute(substitute(substitute(substitute(substitute(substitute(lower('source-downstream'!B50)," ","-"),"(",""),")",""),"&gt;",""),"&lt;",""),"---","-"),".","-"),"--","-"),"&amp;","-and-")</f>
        <v>brave-bush-stone-curlew</v>
      </c>
      <c r="C50" s="70" t="str">
        <f>if('source-downstream'!C50="",'schema-frequency'!$B$11,vlookup('source-downstream'!C50,FREQUENCY_MAP, 3, FALSE))</f>
        <v>not-provided</v>
      </c>
      <c r="D50" s="89" t="str">
        <f>'source-downstream'!D50</f>
        <v>Not provided</v>
      </c>
      <c r="E50" s="65" t="str">
        <f>if('source-downstream'!E50="",'schema-geographic-dependency'!$B$5, vlookup('source-downstream'!E50,'schema-geographic-dependency'!A:B,2,FALSE))</f>
        <v>not-provided</v>
      </c>
      <c r="F50" s="70" t="str">
        <f>if('source-downstream'!F50="",'schema-yn'!$A$5,vlookup('source-downstream'!F50,YN_MAP,3,FALSE))</f>
        <v>not-provided</v>
      </c>
      <c r="G50" s="89" t="str">
        <f>'source-downstream'!G50</f>
        <v>Not provided</v>
      </c>
      <c r="H50" s="70" t="str">
        <f>'source-downstream'!H50</f>
        <v/>
      </c>
      <c r="I50" s="70" t="str">
        <f>if('source-downstream'!I50="",'schema-yn'!$A$5,vlookup('source-downstream'!I50,YN_MAP,3,FALSE))</f>
        <v>not-provided</v>
      </c>
      <c r="J50" s="89" t="str">
        <f>'source-downstream'!J50</f>
        <v>No comments provided</v>
      </c>
      <c r="K50" s="70" t="str">
        <f>if('source-downstream'!K50="",'data-cleansing-maps'!$L$10,vlookup('source-downstream'!K50,RESILIENCE_OPTION_MAP,3,FALSE))</f>
        <v>not-provided</v>
      </c>
      <c r="L50" s="89" t="str">
        <f>'source-downstream'!L50</f>
        <v/>
      </c>
      <c r="M50" s="65" t="str">
        <f>if('source-downstream'!M50="",'schema-rv-services'!$B$26,vlookup(vlookup('source-downstream'!$M50,'analysis-rv-services'!$C:$E,3,FALSE),'schema-rv-services'!$A:$B,2, FALSE))</f>
        <v>waste-collection</v>
      </c>
      <c r="N50" s="70"/>
    </row>
    <row r="51" ht="15.75" customHeight="1">
      <c r="A51" s="88" t="str">
        <f>Substitute(SUBSTITUTE(substitute(substitute(substitute(substitute(substitute(substitute(substitute(lower('source-downstream'!A51)," ","-"),"(",""),")",""),"&gt;",""),"&lt;",""),"---","-"),".","-"),"--","-"),"&amp;","-and-")</f>
        <v>spotted-koala</v>
      </c>
      <c r="B51" s="88" t="str">
        <f>Substitute(SUBSTITUTE(substitute(substitute(substitute(substitute(substitute(substitute(substitute(lower('source-downstream'!B51)," ","-"),"(",""),")",""),"&gt;",""),"&lt;",""),"---","-"),".","-"),"--","-"),"&amp;","-and-")</f>
        <v>red-australian-magpie</v>
      </c>
      <c r="C51" s="70" t="str">
        <f>if('source-downstream'!C51="",'schema-frequency'!$B$11,vlookup('source-downstream'!C51,FREQUENCY_MAP, 3, FALSE))</f>
        <v>not-provided</v>
      </c>
      <c r="D51" s="89" t="str">
        <f>'source-downstream'!D51</f>
        <v>Not provided</v>
      </c>
      <c r="E51" s="65" t="str">
        <f>if('source-downstream'!E51="",'schema-geographic-dependency'!$B$5, vlookup('source-downstream'!E51,'schema-geographic-dependency'!A:B,2,FALSE))</f>
        <v>not-provided</v>
      </c>
      <c r="F51" s="70" t="str">
        <f>if('source-downstream'!F51="",'schema-yn'!$A$5,vlookup('source-downstream'!F51,YN_MAP,3,FALSE))</f>
        <v>not-provided</v>
      </c>
      <c r="G51" s="89" t="str">
        <f>'source-downstream'!G51</f>
        <v>Not provided</v>
      </c>
      <c r="H51" s="70" t="str">
        <f>'source-downstream'!H51</f>
        <v/>
      </c>
      <c r="I51" s="70" t="str">
        <f>if('source-downstream'!I51="",'schema-yn'!$A$5,vlookup('source-downstream'!I51,YN_MAP,3,FALSE))</f>
        <v>not-provided</v>
      </c>
      <c r="J51" s="89" t="str">
        <f>'source-downstream'!J51</f>
        <v>No comments provided</v>
      </c>
      <c r="K51" s="70" t="str">
        <f>if('source-downstream'!K51="",'data-cleansing-maps'!$L$10,vlookup('source-downstream'!K51,RESILIENCE_OPTION_MAP,3,FALSE))</f>
        <v>not-provided</v>
      </c>
      <c r="L51" s="89" t="str">
        <f>'source-downstream'!L51</f>
        <v/>
      </c>
      <c r="M51" s="65" t="str">
        <f>if('source-downstream'!M51="",'schema-rv-services'!$B$26,vlookup(vlookup('source-downstream'!$M51,'analysis-rv-services'!$C:$E,3,FALSE),'schema-rv-services'!$A:$B,2, FALSE))</f>
        <v>waste-collection</v>
      </c>
      <c r="N51" s="70"/>
    </row>
    <row r="52" ht="15.75" customHeight="1">
      <c r="A52" s="88" t="str">
        <f>Substitute(SUBSTITUTE(substitute(substitute(substitute(substitute(substitute(substitute(substitute(lower('source-downstream'!A52)," ","-"),"(",""),")",""),"&gt;",""),"&lt;",""),"---","-"),".","-"),"--","-"),"&amp;","-and-")</f>
        <v>spotted-koala</v>
      </c>
      <c r="B52" s="88" t="str">
        <f>Substitute(SUBSTITUTE(substitute(substitute(substitute(substitute(substitute(substitute(substitute(lower('source-downstream'!B52)," ","-"),"(",""),")",""),"&gt;",""),"&lt;",""),"---","-"),".","-"),"--","-"),"&amp;","-and-")</f>
        <v>brave-cockatoo</v>
      </c>
      <c r="C52" s="70" t="str">
        <f>if('source-downstream'!C52="",'schema-frequency'!$B$11,vlookup('source-downstream'!C52,FREQUENCY_MAP, 3, FALSE))</f>
        <v>not-provided</v>
      </c>
      <c r="D52" s="89" t="str">
        <f>'source-downstream'!D52</f>
        <v>Not provided</v>
      </c>
      <c r="E52" s="65" t="str">
        <f>if('source-downstream'!E52="",'schema-geographic-dependency'!$B$5, vlookup('source-downstream'!E52,'schema-geographic-dependency'!A:B,2,FALSE))</f>
        <v>not-provided</v>
      </c>
      <c r="F52" s="70" t="str">
        <f>if('source-downstream'!F52="",'schema-yn'!$A$5,vlookup('source-downstream'!F52,YN_MAP,3,FALSE))</f>
        <v>not-provided</v>
      </c>
      <c r="G52" s="89" t="str">
        <f>'source-downstream'!G52</f>
        <v>Not provided</v>
      </c>
      <c r="H52" s="70" t="str">
        <f>'source-downstream'!H52</f>
        <v/>
      </c>
      <c r="I52" s="70" t="str">
        <f>if('source-downstream'!I52="",'schema-yn'!$A$5,vlookup('source-downstream'!I52,YN_MAP,3,FALSE))</f>
        <v>not-provided</v>
      </c>
      <c r="J52" s="89" t="str">
        <f>'source-downstream'!J52</f>
        <v>No comments provided</v>
      </c>
      <c r="K52" s="70" t="str">
        <f>if('source-downstream'!K52="",'data-cleansing-maps'!$L$10,vlookup('source-downstream'!K52,RESILIENCE_OPTION_MAP,3,FALSE))</f>
        <v>not-provided</v>
      </c>
      <c r="L52" s="89" t="str">
        <f>'source-downstream'!L52</f>
        <v/>
      </c>
      <c r="M52" s="65" t="str">
        <f>if('source-downstream'!M52="",'schema-rv-services'!$B$26,vlookup(vlookup('source-downstream'!$M52,'analysis-rv-services'!$C:$E,3,FALSE),'schema-rv-services'!$A:$B,2, FALSE))</f>
        <v>waste-collection</v>
      </c>
      <c r="N52" s="70"/>
    </row>
    <row r="53" ht="15.75" customHeight="1">
      <c r="A53" s="88" t="str">
        <f>Substitute(SUBSTITUTE(substitute(substitute(substitute(substitute(substitute(substitute(substitute(lower('source-downstream'!A53)," ","-"),"(",""),")",""),"&gt;",""),"&lt;",""),"---","-"),".","-"),"--","-"),"&amp;","-and-")</f>
        <v>spotted-koala</v>
      </c>
      <c r="B53" s="88" t="str">
        <f>Substitute(SUBSTITUTE(substitute(substitute(substitute(substitute(substitute(substitute(substitute(lower('source-downstream'!B53)," ","-"),"(",""),")",""),"&gt;",""),"&lt;",""),"---","-"),".","-"),"--","-"),"&amp;","-and-")</f>
        <v>shy-blue-tongue-skink</v>
      </c>
      <c r="C53" s="70" t="str">
        <f>if('source-downstream'!C53="",'schema-frequency'!$B$11,vlookup('source-downstream'!C53,FREQUENCY_MAP, 3, FALSE))</f>
        <v>not-provided</v>
      </c>
      <c r="D53" s="89" t="str">
        <f>'source-downstream'!D53</f>
        <v>Not provided</v>
      </c>
      <c r="E53" s="65" t="str">
        <f>if('source-downstream'!E53="",'schema-geographic-dependency'!$B$5, vlookup('source-downstream'!E53,'schema-geographic-dependency'!A:B,2,FALSE))</f>
        <v>not-provided</v>
      </c>
      <c r="F53" s="70" t="str">
        <f>if('source-downstream'!F53="",'schema-yn'!$A$5,vlookup('source-downstream'!F53,YN_MAP,3,FALSE))</f>
        <v>not-provided</v>
      </c>
      <c r="G53" s="89" t="str">
        <f>'source-downstream'!G53</f>
        <v>Not provided</v>
      </c>
      <c r="H53" s="70" t="str">
        <f>'source-downstream'!H53</f>
        <v/>
      </c>
      <c r="I53" s="70" t="str">
        <f>if('source-downstream'!I53="",'schema-yn'!$A$5,vlookup('source-downstream'!I53,YN_MAP,3,FALSE))</f>
        <v>not-provided</v>
      </c>
      <c r="J53" s="89" t="str">
        <f>'source-downstream'!J53</f>
        <v>No comments provided</v>
      </c>
      <c r="K53" s="70" t="str">
        <f>if('source-downstream'!K53="",'data-cleansing-maps'!$L$10,vlookup('source-downstream'!K53,RESILIENCE_OPTION_MAP,3,FALSE))</f>
        <v>not-provided</v>
      </c>
      <c r="L53" s="89" t="str">
        <f>'source-downstream'!L53</f>
        <v/>
      </c>
      <c r="M53" s="65" t="str">
        <f>if('source-downstream'!M53="",'schema-rv-services'!$B$26,vlookup(vlookup('source-downstream'!$M53,'analysis-rv-services'!$C:$E,3,FALSE),'schema-rv-services'!$A:$B,2, FALSE))</f>
        <v>waste-collection</v>
      </c>
      <c r="N53" s="70"/>
    </row>
    <row r="54" ht="15.75" customHeight="1">
      <c r="A54" s="88" t="str">
        <f>Substitute(SUBSTITUTE(substitute(substitute(substitute(substitute(substitute(substitute(substitute(lower('source-downstream'!A54)," ","-"),"(",""),")",""),"&gt;",""),"&lt;",""),"---","-"),".","-"),"--","-"),"&amp;","-and-")</f>
        <v>striped-frilled-neck-lizard</v>
      </c>
      <c r="B54" s="88" t="str">
        <f>Substitute(SUBSTITUTE(substitute(substitute(substitute(substitute(substitute(substitute(substitute(lower('source-downstream'!B54)," ","-"),"(",""),")",""),"&gt;",""),"&lt;",""),"---","-"),".","-"),"--","-"),"&amp;","-and-")</f>
        <v>noisy-dingo</v>
      </c>
      <c r="C54" s="70" t="str">
        <f>if('source-downstream'!C54="",'schema-frequency'!$B$11,vlookup('source-downstream'!C54,FREQUENCY_MAP, 3, FALSE))</f>
        <v>not-provided</v>
      </c>
      <c r="D54" s="89" t="str">
        <f>'source-downstream'!D54</f>
        <v>Provision of mill ready processed ferrous scrap metal on a month-to-month basis. No contractual arrangements are in place.</v>
      </c>
      <c r="E54" s="65" t="str">
        <f>if('source-downstream'!E54="",'schema-geographic-dependency'!$B$5, vlookup('source-downstream'!E54,'schema-geographic-dependency'!A:B,2,FALSE))</f>
        <v>same-region</v>
      </c>
      <c r="F54" s="70" t="str">
        <f>if('source-downstream'!F54="",'schema-yn'!$A$5,vlookup('source-downstream'!F54,YN_MAP,3,FALSE))</f>
        <v>no</v>
      </c>
      <c r="G54" s="89" t="str">
        <f>'source-downstream'!G54</f>
        <v>Yes. Noisy Dingo  has supply arrangements with a number of other Victorian based metal recyclers and is also able to import processed ferrous scrap from multiple other suppliers in Victoria, interstate and overseas.</v>
      </c>
      <c r="H54" s="70" t="str">
        <f>'source-downstream'!H54</f>
        <v>["noisy-dingo"]</v>
      </c>
      <c r="I54" s="70" t="str">
        <f>if('source-downstream'!I54="",'schema-yn'!$A$5,vlookup('source-downstream'!I54,YN_MAP,3,FALSE))</f>
        <v>yes</v>
      </c>
      <c r="J54" s="89" t="str">
        <f>'source-downstream'!J54</f>
        <v/>
      </c>
      <c r="K54" s="70" t="str">
        <f>if('source-downstream'!K54="",'data-cleansing-maps'!$L$10,vlookup('source-downstream'!K54,RESILIENCE_OPTION_MAP,3,FALSE))</f>
        <v>not-provided</v>
      </c>
      <c r="L54" s="89" t="str">
        <f>'source-downstream'!L54</f>
        <v/>
      </c>
      <c r="M54" s="65" t="str">
        <f>if('source-downstream'!M54="",'schema-rv-services'!$B$26,vlookup(vlookup('source-downstream'!$M54,'analysis-rv-services'!$C:$E,3,FALSE),'schema-rv-services'!$A:$B,2, FALSE))</f>
        <v>feedstock</v>
      </c>
      <c r="N54" s="70"/>
    </row>
    <row r="55" ht="15.75" customHeight="1">
      <c r="A55" s="88" t="str">
        <f>Substitute(SUBSTITUTE(substitute(substitute(substitute(substitute(substitute(substitute(substitute(lower('source-downstream'!A55)," ","-"),"(",""),")",""),"&gt;",""),"&lt;",""),"---","-"),".","-"),"--","-"),"&amp;","-and-")</f>
        <v>striped-koala</v>
      </c>
      <c r="B55" s="88" t="str">
        <f>Substitute(SUBSTITUTE(substitute(substitute(substitute(substitute(substitute(substitute(substitute(lower('source-downstream'!B55)," ","-"),"(",""),")",""),"&gt;",""),"&lt;",""),"---","-"),".","-"),"--","-"),"&amp;","-and-")</f>
        <v>silent-rosella</v>
      </c>
      <c r="C55" s="70" t="str">
        <f>if('source-downstream'!C55="",'schema-frequency'!$B$11,vlookup('source-downstream'!C55,FREQUENCY_MAP, 3, FALSE))</f>
        <v>not-provided</v>
      </c>
      <c r="D55" s="89" t="str">
        <f>'source-downstream'!D55</f>
        <v>Waste service-processing</v>
      </c>
      <c r="E55" s="65" t="str">
        <f>if('source-downstream'!E55="",'schema-geographic-dependency'!$B$5, vlookup('source-downstream'!E55,'schema-geographic-dependency'!A:B,2,FALSE))</f>
        <v>not-provided</v>
      </c>
      <c r="F55" s="70" t="str">
        <f>if('source-downstream'!F55="",'schema-yn'!$A$5,vlookup('source-downstream'!F55,YN_MAP,3,FALSE))</f>
        <v>not-provided</v>
      </c>
      <c r="G55" s="89" t="str">
        <f>'source-downstream'!G55</f>
        <v>Alternative disposal option will need to be sourced.</v>
      </c>
      <c r="H55" s="70" t="str">
        <f>'source-downstream'!H55</f>
        <v/>
      </c>
      <c r="I55" s="70" t="str">
        <f>if('source-downstream'!I55="",'schema-yn'!$A$5,vlookup('source-downstream'!I55,YN_MAP,3,FALSE))</f>
        <v>not-provided</v>
      </c>
      <c r="J55" s="89" t="str">
        <f>'source-downstream'!J55</f>
        <v/>
      </c>
      <c r="K55" s="70" t="str">
        <f>if('source-downstream'!K55="",'data-cleansing-maps'!$L$10,vlookup('source-downstream'!K55,RESILIENCE_OPTION_MAP,3,FALSE))</f>
        <v>not-provided</v>
      </c>
      <c r="L55" s="89" t="str">
        <f>'source-downstream'!L55</f>
        <v/>
      </c>
      <c r="M55" s="65" t="str">
        <f>if('source-downstream'!M55="",'schema-rv-services'!$B$26,vlookup(vlookup('source-downstream'!$M55,'analysis-rv-services'!$C:$E,3,FALSE),'schema-rv-services'!$A:$B,2, FALSE))</f>
        <v>waste-processing</v>
      </c>
      <c r="N55" s="70"/>
    </row>
    <row r="56" ht="15.75" customHeight="1">
      <c r="A56" s="88" t="str">
        <f>Substitute(SUBSTITUTE(substitute(substitute(substitute(substitute(substitute(substitute(substitute(lower('source-downstream'!A56)," ","-"),"(",""),")",""),"&gt;",""),"&lt;",""),"---","-"),".","-"),"--","-"),"&amp;","-and-")</f>
        <v>swift-blue-tongue-skink</v>
      </c>
      <c r="B56" s="88" t="str">
        <f>Substitute(SUBSTITUTE(substitute(substitute(substitute(substitute(substitute(substitute(substitute(lower('source-downstream'!B56)," ","-"),"(",""),")",""),"&gt;",""),"&lt;",""),"---","-"),".","-"),"--","-"),"&amp;","-and-")</f>
        <v>wild-possum</v>
      </c>
      <c r="C56" s="70" t="str">
        <f>if('source-downstream'!C56="",'schema-frequency'!$B$11,vlookup('source-downstream'!C56,FREQUENCY_MAP, 3, FALSE))</f>
        <v>not-provided</v>
      </c>
      <c r="D56" s="89" t="str">
        <f>'source-downstream'!D56</f>
        <v>Not provided</v>
      </c>
      <c r="E56" s="65" t="str">
        <f>if('source-downstream'!E56="",'schema-geographic-dependency'!$B$5, vlookup('source-downstream'!E56,'schema-geographic-dependency'!A:B,2,FALSE))</f>
        <v>not-provided</v>
      </c>
      <c r="F56" s="70" t="str">
        <f>if('source-downstream'!F56="",'schema-yn'!$A$5,vlookup('source-downstream'!F56,YN_MAP,3,FALSE))</f>
        <v>not-provided</v>
      </c>
      <c r="G56" s="89" t="str">
        <f>'source-downstream'!G56</f>
        <v>Not provided</v>
      </c>
      <c r="H56" s="70" t="str">
        <f>'source-downstream'!H56</f>
        <v/>
      </c>
      <c r="I56" s="70" t="str">
        <f>if('source-downstream'!I56="",'schema-yn'!$A$5,vlookup('source-downstream'!I56,YN_MAP,3,FALSE))</f>
        <v>not-provided</v>
      </c>
      <c r="J56" s="89" t="str">
        <f>'source-downstream'!J56</f>
        <v>No comments provided</v>
      </c>
      <c r="K56" s="70" t="str">
        <f>if('source-downstream'!K56="",'data-cleansing-maps'!$L$10,vlookup('source-downstream'!K56,RESILIENCE_OPTION_MAP,3,FALSE))</f>
        <v>not-provided</v>
      </c>
      <c r="L56" s="89" t="str">
        <f>'source-downstream'!L56</f>
        <v>Entity B</v>
      </c>
      <c r="M56" s="65" t="str">
        <f>if('source-downstream'!M56="",'schema-rv-services'!$B$26,vlookup(vlookup('source-downstream'!$M56,'analysis-rv-services'!$C:$E,3,FALSE),'schema-rv-services'!$A:$B,2, FALSE))</f>
        <v>transport</v>
      </c>
      <c r="N56" s="70"/>
    </row>
    <row r="57" ht="15.75" customHeight="1">
      <c r="A57" s="88" t="str">
        <f>Substitute(SUBSTITUTE(substitute(substitute(substitute(substitute(substitute(substitute(substitute(lower('source-downstream'!A57)," ","-"),"(",""),")",""),"&gt;",""),"&lt;",""),"---","-"),".","-"),"--","-"),"&amp;","-and-")</f>
        <v>swift-blue-tongue-skink</v>
      </c>
      <c r="B57" s="88" t="str">
        <f>Substitute(SUBSTITUTE(substitute(substitute(substitute(substitute(substitute(substitute(substitute(lower('source-downstream'!B57)," ","-"),"(",""),")",""),"&gt;",""),"&lt;",""),"---","-"),".","-"),"--","-"),"&amp;","-and-")</f>
        <v>fuzzy-sugar-glider</v>
      </c>
      <c r="C57" s="70" t="str">
        <f>if('source-downstream'!C57="",'schema-frequency'!$B$11,vlookup('source-downstream'!C57,FREQUENCY_MAP, 3, FALSE))</f>
        <v>not-provided</v>
      </c>
      <c r="D57" s="89" t="str">
        <f>'source-downstream'!D57</f>
        <v>Not provided</v>
      </c>
      <c r="E57" s="65" t="str">
        <f>if('source-downstream'!E57="",'schema-geographic-dependency'!$B$5, vlookup('source-downstream'!E57,'schema-geographic-dependency'!A:B,2,FALSE))</f>
        <v>not-provided</v>
      </c>
      <c r="F57" s="70" t="str">
        <f>if('source-downstream'!F57="",'schema-yn'!$A$5,vlookup('source-downstream'!F57,YN_MAP,3,FALSE))</f>
        <v>not-provided</v>
      </c>
      <c r="G57" s="89" t="str">
        <f>'source-downstream'!G57</f>
        <v>Not provided</v>
      </c>
      <c r="H57" s="70" t="str">
        <f>'source-downstream'!H57</f>
        <v/>
      </c>
      <c r="I57" s="70" t="str">
        <f>if('source-downstream'!I57="",'schema-yn'!$A$5,vlookup('source-downstream'!I57,YN_MAP,3,FALSE))</f>
        <v>not-provided</v>
      </c>
      <c r="J57" s="89" t="str">
        <f>'source-downstream'!J57</f>
        <v>No comments provided</v>
      </c>
      <c r="K57" s="70" t="str">
        <f>if('source-downstream'!K57="",'data-cleansing-maps'!$L$10,vlookup('source-downstream'!K57,RESILIENCE_OPTION_MAP,3,FALSE))</f>
        <v>not-provided</v>
      </c>
      <c r="L57" s="89" t="str">
        <f>'source-downstream'!L57</f>
        <v>Fuzzy Sugar Glider</v>
      </c>
      <c r="M57" s="65" t="str">
        <f>if('source-downstream'!M57="",'schema-rv-services'!$B$26,vlookup(vlookup('source-downstream'!$M57,'analysis-rv-services'!$C:$E,3,FALSE),'schema-rv-services'!$A:$B,2, FALSE))</f>
        <v>transport</v>
      </c>
      <c r="N57" s="70"/>
    </row>
    <row r="58" ht="15.75" customHeight="1">
      <c r="A58" s="88" t="str">
        <f>Substitute(SUBSTITUTE(substitute(substitute(substitute(substitute(substitute(substitute(substitute(lower('source-downstream'!A58)," ","-"),"(",""),")",""),"&gt;",""),"&lt;",""),"---","-"),".","-"),"--","-"),"&amp;","-and-")</f>
        <v>swift-blue-tongue-skink</v>
      </c>
      <c r="B58" s="88" t="str">
        <f>Substitute(SUBSTITUTE(substitute(substitute(substitute(substitute(substitute(substitute(substitute(lower('source-downstream'!B58)," ","-"),"(",""),")",""),"&gt;",""),"&lt;",""),"---","-"),".","-"),"--","-"),"&amp;","-and-")</f>
        <v>spotted-bush-stone-curlew</v>
      </c>
      <c r="C58" s="70" t="str">
        <f>if('source-downstream'!C58="",'schema-frequency'!$B$11,vlookup('source-downstream'!C58,FREQUENCY_MAP, 3, FALSE))</f>
        <v>not-provided</v>
      </c>
      <c r="D58" s="89" t="str">
        <f>'source-downstream'!D58</f>
        <v>Not provided</v>
      </c>
      <c r="E58" s="65" t="str">
        <f>if('source-downstream'!E58="",'schema-geographic-dependency'!$B$5, vlookup('source-downstream'!E58,'schema-geographic-dependency'!A:B,2,FALSE))</f>
        <v>not-provided</v>
      </c>
      <c r="F58" s="70" t="str">
        <f>if('source-downstream'!F58="",'schema-yn'!$A$5,vlookup('source-downstream'!F58,YN_MAP,3,FALSE))</f>
        <v>not-provided</v>
      </c>
      <c r="G58" s="89" t="str">
        <f>'source-downstream'!G58</f>
        <v>Not provided</v>
      </c>
      <c r="H58" s="70" t="str">
        <f>'source-downstream'!H58</f>
        <v/>
      </c>
      <c r="I58" s="70" t="str">
        <f>if('source-downstream'!I58="",'schema-yn'!$A$5,vlookup('source-downstream'!I58,YN_MAP,3,FALSE))</f>
        <v>not-provided</v>
      </c>
      <c r="J58" s="89" t="str">
        <f>'source-downstream'!J58</f>
        <v>No comments provided</v>
      </c>
      <c r="K58" s="70" t="str">
        <f>if('source-downstream'!K58="",'data-cleansing-maps'!$L$10,vlookup('source-downstream'!K58,RESILIENCE_OPTION_MAP,3,FALSE))</f>
        <v>not-provided</v>
      </c>
      <c r="L58" s="89" t="str">
        <f>'source-downstream'!L58</f>
        <v/>
      </c>
      <c r="M58" s="65" t="str">
        <f>if('source-downstream'!M58="",'schema-rv-services'!$B$26,vlookup(vlookup('source-downstream'!$M58,'analysis-rv-services'!$C:$E,3,FALSE),'schema-rv-services'!$A:$B,2, FALSE))</f>
        <v>transport</v>
      </c>
      <c r="N58" s="70"/>
    </row>
    <row r="59" ht="15.75" customHeight="1">
      <c r="A59" s="88" t="str">
        <f>Substitute(SUBSTITUTE(substitute(substitute(substitute(substitute(substitute(substitute(substitute(lower('source-downstream'!A59)," ","-"),"(",""),")",""),"&gt;",""),"&lt;",""),"---","-"),".","-"),"--","-"),"&amp;","-and-")</f>
        <v>swift-blue-tongue-skink</v>
      </c>
      <c r="B59" s="88" t="str">
        <f>Substitute(SUBSTITUTE(substitute(substitute(substitute(substitute(substitute(substitute(substitute(lower('source-downstream'!B59)," ","-"),"(",""),")",""),"&gt;",""),"&lt;",""),"---","-"),".","-"),"--","-"),"&amp;","-and-")</f>
        <v>fuzzy-sugar-glider</v>
      </c>
      <c r="C59" s="70" t="str">
        <f>if('source-downstream'!C59="",'schema-frequency'!$B$11,vlookup('source-downstream'!C59,FREQUENCY_MAP, 3, FALSE))</f>
        <v>not-provided</v>
      </c>
      <c r="D59" s="89" t="str">
        <f>'source-downstream'!D59</f>
        <v>Not provided</v>
      </c>
      <c r="E59" s="65" t="str">
        <f>if('source-downstream'!E59="",'schema-geographic-dependency'!$B$5, vlookup('source-downstream'!E59,'schema-geographic-dependency'!A:B,2,FALSE))</f>
        <v>not-provided</v>
      </c>
      <c r="F59" s="70" t="str">
        <f>if('source-downstream'!F59="",'schema-yn'!$A$5,vlookup('source-downstream'!F59,YN_MAP,3,FALSE))</f>
        <v>not-provided</v>
      </c>
      <c r="G59" s="89" t="str">
        <f>'source-downstream'!G59</f>
        <v>Not provided</v>
      </c>
      <c r="H59" s="70" t="str">
        <f>'source-downstream'!H59</f>
        <v/>
      </c>
      <c r="I59" s="70" t="str">
        <f>if('source-downstream'!I59="",'schema-yn'!$A$5,vlookup('source-downstream'!I59,YN_MAP,3,FALSE))</f>
        <v>not-provided</v>
      </c>
      <c r="J59" s="89" t="str">
        <f>'source-downstream'!J59</f>
        <v>No comments provided</v>
      </c>
      <c r="K59" s="70" t="str">
        <f>if('source-downstream'!K59="",'data-cleansing-maps'!$L$10,vlookup('source-downstream'!K59,RESILIENCE_OPTION_MAP,3,FALSE))</f>
        <v>not-provided</v>
      </c>
      <c r="L59" s="89" t="str">
        <f>'source-downstream'!L59</f>
        <v>SEOF</v>
      </c>
      <c r="M59" s="65" t="str">
        <f>if('source-downstream'!M59="",'schema-rv-services'!$B$26,vlookup(vlookup('source-downstream'!$M59,'analysis-rv-services'!$C:$E,3,FALSE),'schema-rv-services'!$A:$B,2, FALSE))</f>
        <v>transport</v>
      </c>
      <c r="N59" s="70"/>
    </row>
    <row r="60" ht="15.75" customHeight="1">
      <c r="A60" s="88" t="str">
        <f>Substitute(SUBSTITUTE(substitute(substitute(substitute(substitute(substitute(substitute(substitute(lower('source-downstream'!A60)," ","-"),"(",""),")",""),"&gt;",""),"&lt;",""),"---","-"),".","-"),"--","-"),"&amp;","-and-")</f>
        <v>swift-blue-tongue-skink</v>
      </c>
      <c r="B60" s="88" t="str">
        <f>Substitute(SUBSTITUTE(substitute(substitute(substitute(substitute(substitute(substitute(substitute(lower('source-downstream'!B60)," ","-"),"(",""),")",""),"&gt;",""),"&lt;",""),"---","-"),".","-"),"--","-"),"&amp;","-and-")</f>
        <v>wild-kangaroo</v>
      </c>
      <c r="C60" s="70" t="str">
        <f>if('source-downstream'!C60="",'schema-frequency'!$B$11,vlookup('source-downstream'!C60,FREQUENCY_MAP, 3, FALSE))</f>
        <v>not-provided</v>
      </c>
      <c r="D60" s="89" t="str">
        <f>'source-downstream'!D60</f>
        <v>Not provided</v>
      </c>
      <c r="E60" s="65" t="str">
        <f>if('source-downstream'!E60="",'schema-geographic-dependency'!$B$5, vlookup('source-downstream'!E60,'schema-geographic-dependency'!A:B,2,FALSE))</f>
        <v>not-provided</v>
      </c>
      <c r="F60" s="70" t="str">
        <f>if('source-downstream'!F60="",'schema-yn'!$A$5,vlookup('source-downstream'!F60,YN_MAP,3,FALSE))</f>
        <v>not-provided</v>
      </c>
      <c r="G60" s="89" t="str">
        <f>'source-downstream'!G60</f>
        <v>Not provided</v>
      </c>
      <c r="H60" s="70" t="str">
        <f>'source-downstream'!H60</f>
        <v/>
      </c>
      <c r="I60" s="70" t="str">
        <f>if('source-downstream'!I60="",'schema-yn'!$A$5,vlookup('source-downstream'!I60,YN_MAP,3,FALSE))</f>
        <v>not-provided</v>
      </c>
      <c r="J60" s="89" t="str">
        <f>'source-downstream'!J60</f>
        <v>No comments provided</v>
      </c>
      <c r="K60" s="70" t="str">
        <f>if('source-downstream'!K60="",'data-cleansing-maps'!$L$10,vlookup('source-downstream'!K60,RESILIENCE_OPTION_MAP,3,FALSE))</f>
        <v>not-provided</v>
      </c>
      <c r="L60" s="89" t="str">
        <f>'source-downstream'!L60</f>
        <v/>
      </c>
      <c r="M60" s="65" t="str">
        <f>if('source-downstream'!M60="",'schema-rv-services'!$B$26,vlookup(vlookup('source-downstream'!$M60,'analysis-rv-services'!$C:$E,3,FALSE),'schema-rv-services'!$A:$B,2, FALSE))</f>
        <v>transport</v>
      </c>
      <c r="N60" s="70"/>
    </row>
    <row r="61" ht="15.75" customHeight="1">
      <c r="A61" s="88" t="str">
        <f>Substitute(SUBSTITUTE(substitute(substitute(substitute(substitute(substitute(substitute(substitute(lower('source-downstream'!A61)," ","-"),"(",""),")",""),"&gt;",""),"&lt;",""),"---","-"),".","-"),"--","-"),"&amp;","-and-")</f>
        <v>swift-blue-tongue-skink</v>
      </c>
      <c r="B61" s="88" t="str">
        <f>Substitute(SUBSTITUTE(substitute(substitute(substitute(substitute(substitute(substitute(substitute(lower('source-downstream'!B61)," ","-"),"(",""),")",""),"&gt;",""),"&lt;",""),"---","-"),".","-"),"--","-"),"&amp;","-and-")</f>
        <v>clever-frilled-neck-lizard</v>
      </c>
      <c r="C61" s="70" t="str">
        <f>if('source-downstream'!C61="",'schema-frequency'!$B$11,vlookup('source-downstream'!C61,FREQUENCY_MAP, 3, FALSE))</f>
        <v>not-provided</v>
      </c>
      <c r="D61" s="89" t="str">
        <f>'source-downstream'!D61</f>
        <v>Not provided</v>
      </c>
      <c r="E61" s="65" t="str">
        <f>if('source-downstream'!E61="",'schema-geographic-dependency'!$B$5, vlookup('source-downstream'!E61,'schema-geographic-dependency'!A:B,2,FALSE))</f>
        <v>not-provided</v>
      </c>
      <c r="F61" s="70" t="str">
        <f>if('source-downstream'!F61="",'schema-yn'!$A$5,vlookup('source-downstream'!F61,YN_MAP,3,FALSE))</f>
        <v>not-provided</v>
      </c>
      <c r="G61" s="89" t="str">
        <f>'source-downstream'!G61</f>
        <v>Not provided</v>
      </c>
      <c r="H61" s="70" t="str">
        <f>'source-downstream'!H61</f>
        <v/>
      </c>
      <c r="I61" s="70" t="str">
        <f>if('source-downstream'!I61="",'schema-yn'!$A$5,vlookup('source-downstream'!I61,YN_MAP,3,FALSE))</f>
        <v>not-provided</v>
      </c>
      <c r="J61" s="89" t="str">
        <f>'source-downstream'!J61</f>
        <v>No comments provided</v>
      </c>
      <c r="K61" s="70" t="str">
        <f>if('source-downstream'!K61="",'data-cleansing-maps'!$L$10,vlookup('source-downstream'!K61,RESILIENCE_OPTION_MAP,3,FALSE))</f>
        <v>not-provided</v>
      </c>
      <c r="L61" s="89" t="str">
        <f>'source-downstream'!L61</f>
        <v>Clever Frilled Neck Lizard</v>
      </c>
      <c r="M61" s="65" t="str">
        <f>if('source-downstream'!M61="",'schema-rv-services'!$B$26,vlookup(vlookup('source-downstream'!$M61,'analysis-rv-services'!$C:$E,3,FALSE),'schema-rv-services'!$A:$B,2, FALSE))</f>
        <v>transport</v>
      </c>
      <c r="N61" s="70"/>
    </row>
    <row r="62" ht="15.75" customHeight="1">
      <c r="A62" s="88" t="str">
        <f>Substitute(SUBSTITUTE(substitute(substitute(substitute(substitute(substitute(substitute(substitute(lower('source-downstream'!A62)," ","-"),"(",""),")",""),"&gt;",""),"&lt;",""),"---","-"),".","-"),"--","-"),"&amp;","-and-")</f>
        <v>swift-blue-tongue-skink</v>
      </c>
      <c r="B62" s="88" t="str">
        <f>Substitute(SUBSTITUTE(substitute(substitute(substitute(substitute(substitute(substitute(substitute(lower('source-downstream'!B62)," ","-"),"(",""),")",""),"&gt;",""),"&lt;",""),"---","-"),".","-"),"--","-"),"&amp;","-and-")</f>
        <v>yellow-australian-magpie</v>
      </c>
      <c r="C62" s="70" t="str">
        <f>if('source-downstream'!C62="",'schema-frequency'!$B$11,vlookup('source-downstream'!C62,FREQUENCY_MAP, 3, FALSE))</f>
        <v>not-provided</v>
      </c>
      <c r="D62" s="89" t="str">
        <f>'source-downstream'!D62</f>
        <v>Not provided</v>
      </c>
      <c r="E62" s="65" t="str">
        <f>if('source-downstream'!E62="",'schema-geographic-dependency'!$B$5, vlookup('source-downstream'!E62,'schema-geographic-dependency'!A:B,2,FALSE))</f>
        <v>not-provided</v>
      </c>
      <c r="F62" s="70" t="str">
        <f>if('source-downstream'!F62="",'schema-yn'!$A$5,vlookup('source-downstream'!F62,YN_MAP,3,FALSE))</f>
        <v>not-provided</v>
      </c>
      <c r="G62" s="89" t="str">
        <f>'source-downstream'!G62</f>
        <v>Not provided</v>
      </c>
      <c r="H62" s="70" t="str">
        <f>'source-downstream'!H62</f>
        <v/>
      </c>
      <c r="I62" s="70" t="str">
        <f>if('source-downstream'!I62="",'schema-yn'!$A$5,vlookup('source-downstream'!I62,YN_MAP,3,FALSE))</f>
        <v>not-provided</v>
      </c>
      <c r="J62" s="89" t="str">
        <f>'source-downstream'!J62</f>
        <v>No comments provided</v>
      </c>
      <c r="K62" s="70" t="str">
        <f>if('source-downstream'!K62="",'data-cleansing-maps'!$L$10,vlookup('source-downstream'!K62,RESILIENCE_OPTION_MAP,3,FALSE))</f>
        <v>not-provided</v>
      </c>
      <c r="L62" s="89" t="str">
        <f>'source-downstream'!L62</f>
        <v>Yellow Australian Magpie</v>
      </c>
      <c r="M62" s="65" t="str">
        <f>if('source-downstream'!M62="",'schema-rv-services'!$B$26,vlookup(vlookup('source-downstream'!$M62,'analysis-rv-services'!$C:$E,3,FALSE),'schema-rv-services'!$A:$B,2, FALSE))</f>
        <v>transport</v>
      </c>
      <c r="N62" s="70"/>
    </row>
    <row r="63" ht="15.75" customHeight="1">
      <c r="A63" s="88" t="str">
        <f>Substitute(SUBSTITUTE(substitute(substitute(substitute(substitute(substitute(substitute(substitute(lower('source-downstream'!A63)," ","-"),"(",""),")",""),"&gt;",""),"&lt;",""),"---","-"),".","-"),"--","-"),"&amp;","-and-")</f>
        <v>swift-blue-tongue-skink</v>
      </c>
      <c r="B63" s="88" t="str">
        <f>Substitute(SUBSTITUTE(substitute(substitute(substitute(substitute(substitute(substitute(substitute(lower('source-downstream'!B63)," ","-"),"(",""),")",""),"&gt;",""),"&lt;",""),"---","-"),".","-"),"--","-"),"&amp;","-and-")</f>
        <v>sleepy-kookaburra</v>
      </c>
      <c r="C63" s="70" t="str">
        <f>if('source-downstream'!C63="",'schema-frequency'!$B$11,vlookup('source-downstream'!C63,FREQUENCY_MAP, 3, FALSE))</f>
        <v>not-provided</v>
      </c>
      <c r="D63" s="89" t="str">
        <f>'source-downstream'!D63</f>
        <v>Not provided</v>
      </c>
      <c r="E63" s="65" t="str">
        <f>if('source-downstream'!E63="",'schema-geographic-dependency'!$B$5, vlookup('source-downstream'!E63,'schema-geographic-dependency'!A:B,2,FALSE))</f>
        <v>not-provided</v>
      </c>
      <c r="F63" s="70" t="str">
        <f>if('source-downstream'!F63="",'schema-yn'!$A$5,vlookup('source-downstream'!F63,YN_MAP,3,FALSE))</f>
        <v>not-provided</v>
      </c>
      <c r="G63" s="89" t="str">
        <f>'source-downstream'!G63</f>
        <v>Not provided</v>
      </c>
      <c r="H63" s="70" t="str">
        <f>'source-downstream'!H63</f>
        <v/>
      </c>
      <c r="I63" s="70" t="str">
        <f>if('source-downstream'!I63="",'schema-yn'!$A$5,vlookup('source-downstream'!I63,YN_MAP,3,FALSE))</f>
        <v>not-provided</v>
      </c>
      <c r="J63" s="89" t="str">
        <f>'source-downstream'!J63</f>
        <v>No comments provided</v>
      </c>
      <c r="K63" s="70" t="str">
        <f>if('source-downstream'!K63="",'data-cleansing-maps'!$L$10,vlookup('source-downstream'!K63,RESILIENCE_OPTION_MAP,3,FALSE))</f>
        <v>not-provided</v>
      </c>
      <c r="L63" s="89" t="str">
        <f>'source-downstream'!L63</f>
        <v/>
      </c>
      <c r="M63" s="65" t="str">
        <f>if('source-downstream'!M63="",'schema-rv-services'!$B$26,vlookup(vlookup('source-downstream'!$M63,'analysis-rv-services'!$C:$E,3,FALSE),'schema-rv-services'!$A:$B,2, FALSE))</f>
        <v>transport</v>
      </c>
      <c r="N63" s="70"/>
    </row>
    <row r="64" ht="15.75" customHeight="1">
      <c r="A64" s="88" t="str">
        <f>Substitute(SUBSTITUTE(substitute(substitute(substitute(substitute(substitute(substitute(substitute(lower('source-downstream'!A64)," ","-"),"(",""),")",""),"&gt;",""),"&lt;",""),"---","-"),".","-"),"--","-"),"&amp;","-and-")</f>
        <v>swift-blue-tongue-skink</v>
      </c>
      <c r="B64" s="88" t="str">
        <f>Substitute(SUBSTITUTE(substitute(substitute(substitute(substitute(substitute(substitute(substitute(lower('source-downstream'!B64)," ","-"),"(",""),")",""),"&gt;",""),"&lt;",""),"---","-"),".","-"),"--","-"),"&amp;","-and-")</f>
        <v>brave-tasmanian-devil</v>
      </c>
      <c r="C64" s="70" t="str">
        <f>if('source-downstream'!C64="",'schema-frequency'!$B$11,vlookup('source-downstream'!C64,FREQUENCY_MAP, 3, FALSE))</f>
        <v>not-provided</v>
      </c>
      <c r="D64" s="89" t="str">
        <f>'source-downstream'!D64</f>
        <v>Not provided</v>
      </c>
      <c r="E64" s="65" t="str">
        <f>if('source-downstream'!E64="",'schema-geographic-dependency'!$B$5, vlookup('source-downstream'!E64,'schema-geographic-dependency'!A:B,2,FALSE))</f>
        <v>not-provided</v>
      </c>
      <c r="F64" s="70" t="str">
        <f>if('source-downstream'!F64="",'schema-yn'!$A$5,vlookup('source-downstream'!F64,YN_MAP,3,FALSE))</f>
        <v>not-provided</v>
      </c>
      <c r="G64" s="89" t="str">
        <f>'source-downstream'!G64</f>
        <v>Not provided</v>
      </c>
      <c r="H64" s="70" t="str">
        <f>'source-downstream'!H64</f>
        <v/>
      </c>
      <c r="I64" s="70" t="str">
        <f>if('source-downstream'!I64="",'schema-yn'!$A$5,vlookup('source-downstream'!I64,YN_MAP,3,FALSE))</f>
        <v>not-provided</v>
      </c>
      <c r="J64" s="89" t="str">
        <f>'source-downstream'!J64</f>
        <v>No comments provided</v>
      </c>
      <c r="K64" s="70" t="str">
        <f>if('source-downstream'!K64="",'data-cleansing-maps'!$L$10,vlookup('source-downstream'!K64,RESILIENCE_OPTION_MAP,3,FALSE))</f>
        <v>not-provided</v>
      </c>
      <c r="L64" s="89" t="str">
        <f>'source-downstream'!L64</f>
        <v/>
      </c>
      <c r="M64" s="65" t="str">
        <f>if('source-downstream'!M64="",'schema-rv-services'!$B$26,vlookup(vlookup('source-downstream'!$M64,'analysis-rv-services'!$C:$E,3,FALSE),'schema-rv-services'!$A:$B,2, FALSE))</f>
        <v>transport</v>
      </c>
      <c r="N64" s="70"/>
    </row>
    <row r="65" ht="15.75" customHeight="1">
      <c r="A65" s="88" t="str">
        <f>Substitute(SUBSTITUTE(substitute(substitute(substitute(substitute(substitute(substitute(substitute(lower('source-downstream'!A65)," ","-"),"(",""),")",""),"&gt;",""),"&lt;",""),"---","-"),".","-"),"--","-"),"&amp;","-and-")</f>
        <v>swift-blue-tongue-skink</v>
      </c>
      <c r="B65" s="88" t="str">
        <f>Substitute(SUBSTITUTE(substitute(substitute(substitute(substitute(substitute(substitute(substitute(lower('source-downstream'!B65)," ","-"),"(",""),")",""),"&gt;",""),"&lt;",""),"---","-"),".","-"),"--","-"),"&amp;","-and-")</f>
        <v>striped-bilby</v>
      </c>
      <c r="C65" s="70" t="str">
        <f>if('source-downstream'!C65="",'schema-frequency'!$B$11,vlookup('source-downstream'!C65,FREQUENCY_MAP, 3, FALSE))</f>
        <v>not-provided</v>
      </c>
      <c r="D65" s="89" t="str">
        <f>'source-downstream'!D65</f>
        <v>Not provided</v>
      </c>
      <c r="E65" s="65" t="str">
        <f>if('source-downstream'!E65="",'schema-geographic-dependency'!$B$5, vlookup('source-downstream'!E65,'schema-geographic-dependency'!A:B,2,FALSE))</f>
        <v>not-provided</v>
      </c>
      <c r="F65" s="70" t="str">
        <f>if('source-downstream'!F65="",'schema-yn'!$A$5,vlookup('source-downstream'!F65,YN_MAP,3,FALSE))</f>
        <v>not-provided</v>
      </c>
      <c r="G65" s="89" t="str">
        <f>'source-downstream'!G65</f>
        <v>Not provided</v>
      </c>
      <c r="H65" s="70" t="str">
        <f>'source-downstream'!H65</f>
        <v/>
      </c>
      <c r="I65" s="70" t="str">
        <f>if('source-downstream'!I65="",'schema-yn'!$A$5,vlookup('source-downstream'!I65,YN_MAP,3,FALSE))</f>
        <v>not-provided</v>
      </c>
      <c r="J65" s="89" t="str">
        <f>'source-downstream'!J65</f>
        <v>No comments provided</v>
      </c>
      <c r="K65" s="70" t="str">
        <f>if('source-downstream'!K65="",'data-cleansing-maps'!$L$10,vlookup('source-downstream'!K65,RESILIENCE_OPTION_MAP,3,FALSE))</f>
        <v>not-provided</v>
      </c>
      <c r="L65" s="89" t="str">
        <f>'source-downstream'!L65</f>
        <v/>
      </c>
      <c r="M65" s="65" t="str">
        <f>if('source-downstream'!M65="",'schema-rv-services'!$B$26,vlookup(vlookup('source-downstream'!$M65,'analysis-rv-services'!$C:$E,3,FALSE),'schema-rv-services'!$A:$B,2, FALSE))</f>
        <v>transport</v>
      </c>
      <c r="N65" s="70"/>
    </row>
    <row r="66" ht="15.75" customHeight="1">
      <c r="A66" s="88" t="str">
        <f>Substitute(SUBSTITUTE(substitute(substitute(substitute(substitute(substitute(substitute(substitute(lower('source-downstream'!A66)," ","-"),"(",""),")",""),"&gt;",""),"&lt;",""),"---","-"),".","-"),"--","-"),"&amp;","-and-")</f>
        <v>tiny-platypus</v>
      </c>
      <c r="B66" s="88" t="str">
        <f>Substitute(SUBSTITUTE(substitute(substitute(substitute(substitute(substitute(substitute(substitute(lower('source-downstream'!B66)," ","-"),"(",""),")",""),"&gt;",""),"&lt;",""),"---","-"),".","-"),"--","-"),"&amp;","-and-")</f>
        <v>silent-fairy-penguin</v>
      </c>
      <c r="C66" s="70" t="str">
        <f>if('source-downstream'!C66="",'schema-frequency'!$B$11,vlookup('source-downstream'!C66,FREQUENCY_MAP, 3, FALSE))</f>
        <v>unknown</v>
      </c>
      <c r="D66" s="89" t="str">
        <f>'source-downstream'!D66</f>
        <v>Not provided</v>
      </c>
      <c r="E66" s="65" t="str">
        <f>if('source-downstream'!E66="",'schema-geographic-dependency'!$B$5, vlookup('source-downstream'!E66,'schema-geographic-dependency'!A:B,2,FALSE))</f>
        <v>not-provided</v>
      </c>
      <c r="F66" s="70" t="str">
        <f>if('source-downstream'!F66="",'schema-yn'!$A$5,vlookup('source-downstream'!F66,YN_MAP,3,FALSE))</f>
        <v>not-provided</v>
      </c>
      <c r="G66" s="89" t="str">
        <f>'source-downstream'!G66</f>
        <v>Not provided</v>
      </c>
      <c r="H66" s="70" t="str">
        <f>'source-downstream'!H66</f>
        <v/>
      </c>
      <c r="I66" s="70" t="str">
        <f>if('source-downstream'!I66="",'schema-yn'!$A$5,vlookup('source-downstream'!I66,YN_MAP,3,FALSE))</f>
        <v>not-provided</v>
      </c>
      <c r="J66" s="89" t="str">
        <f>'source-downstream'!J66</f>
        <v>Not provided</v>
      </c>
      <c r="K66" s="70" t="str">
        <f>if('source-downstream'!K66="",'data-cleansing-maps'!$L$10,vlookup('source-downstream'!K66,RESILIENCE_OPTION_MAP,3,FALSE))</f>
        <v>not-provided</v>
      </c>
      <c r="L66" s="89" t="str">
        <f>'source-downstream'!L66</f>
        <v>Not provided</v>
      </c>
      <c r="M66" s="65" t="str">
        <f>if('source-downstream'!M66="",'schema-rv-services'!$B$26,vlookup(vlookup('source-downstream'!$M66,'analysis-rv-services'!$C:$E,3,FALSE),'schema-rv-services'!$A:$B,2, FALSE))</f>
        <v>not-provided</v>
      </c>
      <c r="N66" s="70"/>
    </row>
    <row r="67" ht="15.75" customHeight="1">
      <c r="A67" s="88" t="str">
        <f>Substitute(SUBSTITUTE(substitute(substitute(substitute(substitute(substitute(substitute(substitute(lower('source-downstream'!A67)," ","-"),"(",""),")",""),"&gt;",""),"&lt;",""),"---","-"),".","-"),"--","-"),"&amp;","-and-")</f>
        <v>wild-cassowary</v>
      </c>
      <c r="B67" s="88" t="str">
        <f>Substitute(SUBSTITUTE(substitute(substitute(substitute(substitute(substitute(substitute(substitute(lower('source-downstream'!B67)," ","-"),"(",""),")",""),"&gt;",""),"&lt;",""),"---","-"),".","-"),"--","-"),"&amp;","-and-")</f>
        <v>silent-goanna</v>
      </c>
      <c r="C67" s="70" t="str">
        <f>if('source-downstream'!C67="",'schema-frequency'!$B$11,vlookup('source-downstream'!C67,FREQUENCY_MAP, 3, FALSE))</f>
        <v>not-provided</v>
      </c>
      <c r="D67" s="89" t="str">
        <f>'source-downstream'!D67</f>
        <v>Hazardous waste management (used tyres)</v>
      </c>
      <c r="E67" s="65" t="str">
        <f>if('source-downstream'!E67="",'schema-geographic-dependency'!$B$5, vlookup('source-downstream'!E67,'schema-geographic-dependency'!A:B,2,FALSE))</f>
        <v>spread-across-multiple-regions</v>
      </c>
      <c r="F67" s="70" t="str">
        <f>if('source-downstream'!F67="",'schema-yn'!$A$5,vlookup('source-downstream'!F67,YN_MAP,3,FALSE))</f>
        <v>not-provided</v>
      </c>
      <c r="G67" s="89" t="str">
        <f>'source-downstream'!G67</f>
        <v>Not provided</v>
      </c>
      <c r="H67" s="70" t="str">
        <f>'source-downstream'!H67</f>
        <v/>
      </c>
      <c r="I67" s="70" t="str">
        <f>if('source-downstream'!I67="",'schema-yn'!$A$5,vlookup('source-downstream'!I67,YN_MAP,3,FALSE))</f>
        <v>not-provided</v>
      </c>
      <c r="J67" s="89" t="str">
        <f>'source-downstream'!J67</f>
        <v>No comments provided</v>
      </c>
      <c r="K67" s="70" t="str">
        <f>if('source-downstream'!K67="",'data-cleansing-maps'!$L$10,vlookup('source-downstream'!K67,RESILIENCE_OPTION_MAP,3,FALSE))</f>
        <v>not-provided</v>
      </c>
      <c r="L67" s="89" t="str">
        <f>'source-downstream'!L67</f>
        <v/>
      </c>
      <c r="M67" s="65" t="str">
        <f>if('source-downstream'!M67="",'schema-rv-services'!$B$26,vlookup(vlookup('source-downstream'!$M67,'analysis-rv-services'!$C:$E,3,FALSE),'schema-rv-services'!$A:$B,2, FALSE))</f>
        <v>not-provided</v>
      </c>
      <c r="N67" s="70"/>
    </row>
    <row r="68" ht="15.75" customHeight="1">
      <c r="A68" s="88" t="str">
        <f>Substitute(SUBSTITUTE(substitute(substitute(substitute(substitute(substitute(substitute(substitute(lower('source-downstream'!A68)," ","-"),"(",""),")",""),"&gt;",""),"&lt;",""),"---","-"),".","-"),"--","-"),"&amp;","-and-")</f>
        <v>wild-kangaroo</v>
      </c>
      <c r="B68" s="88" t="str">
        <f>Substitute(SUBSTITUTE(substitute(substitute(substitute(substitute(substitute(substitute(substitute(lower('source-downstream'!B68)," ","-"),"(",""),")",""),"&gt;",""),"&lt;",""),"---","-"),".","-"),"--","-"),"&amp;","-and-")</f>
        <v>silent-kangaroo</v>
      </c>
      <c r="C68" s="70" t="str">
        <f>if('source-downstream'!C68="",'schema-frequency'!$B$11,vlookup('source-downstream'!C68,FREQUENCY_MAP, 3, FALSE))</f>
        <v>daily</v>
      </c>
      <c r="D68" s="89" t="str">
        <f>'source-downstream'!D68</f>
        <v>FOGO and Organics Pre-treatment (inc. decontamination), pasteurisation, maturation, refined, quality assurance and end product production services</v>
      </c>
      <c r="E68" s="65" t="str">
        <f>if('source-downstream'!E68="",'schema-geographic-dependency'!$B$5, vlookup('source-downstream'!E68,'schema-geographic-dependency'!A:B,2,FALSE))</f>
        <v>spread-across-multiple-regions</v>
      </c>
      <c r="F68" s="70" t="str">
        <f>if('source-downstream'!F68="",'schema-yn'!$A$5,vlookup('source-downstream'!F68,YN_MAP,3,FALSE))</f>
        <v>no</v>
      </c>
      <c r="G68" s="89" t="str">
        <f>'source-downstream'!G68</f>
        <v>No there are multiple compost customers that collect the product</v>
      </c>
      <c r="H68" s="70" t="str">
        <f>'source-downstream'!H68</f>
        <v/>
      </c>
      <c r="I68" s="70" t="str">
        <f>if('source-downstream'!I68="",'schema-yn'!$A$5,vlookup('source-downstream'!I68,YN_MAP,3,FALSE))</f>
        <v>yes</v>
      </c>
      <c r="J68" s="89" t="str">
        <f>'source-downstream'!J68</f>
        <v>Yes, given there are multiple compost customers</v>
      </c>
      <c r="K68" s="70" t="str">
        <f>if('source-downstream'!K68="",'data-cleansing-maps'!$L$10,vlookup('source-downstream'!K68,RESILIENCE_OPTION_MAP,3,FALSE))</f>
        <v>not-provided</v>
      </c>
      <c r="L68" s="89" t="str">
        <f>'source-downstream'!L68</f>
        <v/>
      </c>
      <c r="M68" s="65" t="str">
        <f>if('source-downstream'!M68="",'schema-rv-services'!$B$26,vlookup(vlookup('source-downstream'!$M68,'analysis-rv-services'!$C:$E,3,FALSE),'schema-rv-services'!$A:$B,2, FALSE))</f>
        <v>recycled-material</v>
      </c>
      <c r="N68" s="70"/>
    </row>
    <row r="69" ht="15.75" customHeight="1">
      <c r="A69" s="88" t="str">
        <f>Substitute(SUBSTITUTE(substitute(substitute(substitute(substitute(substitute(substitute(substitute(lower('source-downstream'!A69)," ","-"),"(",""),")",""),"&gt;",""),"&lt;",""),"---","-"),".","-"),"--","-"),"&amp;","-and-")</f>
        <v>wild-numbat</v>
      </c>
      <c r="B69" s="88" t="str">
        <f>Substitute(SUBSTITUTE(substitute(substitute(substitute(substitute(substitute(substitute(substitute(lower('source-downstream'!B69)," ","-"),"(",""),")",""),"&gt;",""),"&lt;",""),"---","-"),".","-"),"--","-"),"&amp;","-and-")</f>
        <v>silent-numbat</v>
      </c>
      <c r="C69" s="70" t="str">
        <f>if('source-downstream'!C69="",'schema-frequency'!$B$11,vlookup('source-downstream'!C69,FREQUENCY_MAP, 3, FALSE))</f>
        <v>not-provided</v>
      </c>
      <c r="D69" s="89" t="str">
        <f>'source-downstream'!D69</f>
        <v>Not provided but serviced weekly</v>
      </c>
      <c r="E69" s="65" t="str">
        <f>if('source-downstream'!E69="",'schema-geographic-dependency'!$B$5, vlookup('source-downstream'!E69,'schema-geographic-dependency'!A:B,2,FALSE))</f>
        <v>not-provided</v>
      </c>
      <c r="F69" s="70" t="str">
        <f>if('source-downstream'!F69="",'schema-yn'!$A$5,vlookup('source-downstream'!F69,YN_MAP,3,FALSE))</f>
        <v>not-provided</v>
      </c>
      <c r="G69" s="89" t="str">
        <f>'source-downstream'!G69</f>
        <v>Not provided</v>
      </c>
      <c r="H69" s="70" t="str">
        <f>'source-downstream'!H69</f>
        <v/>
      </c>
      <c r="I69" s="70" t="str">
        <f>if('source-downstream'!I69="",'schema-yn'!$A$5,vlookup('source-downstream'!I69,YN_MAP,3,FALSE))</f>
        <v>not-provided</v>
      </c>
      <c r="J69" s="89" t="str">
        <f>'source-downstream'!J69</f>
        <v>No comments provided</v>
      </c>
      <c r="K69" s="70" t="str">
        <f>if('source-downstream'!K69="",'data-cleansing-maps'!$L$10,vlookup('source-downstream'!K69,RESILIENCE_OPTION_MAP,3,FALSE))</f>
        <v>not-provided</v>
      </c>
      <c r="L69" s="89" t="str">
        <f>'source-downstream'!L69</f>
        <v/>
      </c>
      <c r="M69" s="65" t="str">
        <f>if('source-downstream'!M69="",'schema-rv-services'!$B$26,vlookup(vlookup('source-downstream'!$M69,'analysis-rv-services'!$C:$E,3,FALSE),'schema-rv-services'!$A:$B,2, FALSE))</f>
        <v>not-provided</v>
      </c>
      <c r="N69" s="70"/>
    </row>
    <row r="70" ht="15.75" customHeight="1">
      <c r="A70" s="88" t="str">
        <f>Substitute(SUBSTITUTE(substitute(substitute(substitute(substitute(substitute(substitute(substitute(lower('source-downstream'!A70)," ","-"),"(",""),")",""),"&gt;",""),"&lt;",""),"---","-"),".","-"),"--","-"),"&amp;","-and-")</f>
        <v>wild-possum</v>
      </c>
      <c r="B70" s="88" t="str">
        <f>Substitute(SUBSTITUTE(substitute(substitute(substitute(substitute(substitute(substitute(substitute(lower('source-downstream'!B70)," ","-"),"(",""),")",""),"&gt;",""),"&lt;",""),"---","-"),".","-"),"--","-"),"&amp;","-and-")</f>
        <v>silent-possum</v>
      </c>
      <c r="C70" s="70" t="str">
        <f>if('source-downstream'!C70="",'schema-frequency'!$B$11,vlookup('source-downstream'!C70,FREQUENCY_MAP, 3, FALSE))</f>
        <v>not-provided</v>
      </c>
      <c r="D70" s="89" t="str">
        <f>'source-downstream'!D70</f>
        <v>Not provided but serviced weekly</v>
      </c>
      <c r="E70" s="65" t="str">
        <f>if('source-downstream'!E70="",'schema-geographic-dependency'!$B$5, vlookup('source-downstream'!E70,'schema-geographic-dependency'!A:B,2,FALSE))</f>
        <v>not-provided</v>
      </c>
      <c r="F70" s="70" t="str">
        <f>if('source-downstream'!F70="",'schema-yn'!$A$5,vlookup('source-downstream'!F70,YN_MAP,3,FALSE))</f>
        <v>not-provided</v>
      </c>
      <c r="G70" s="89" t="str">
        <f>'source-downstream'!G70</f>
        <v>Not provided</v>
      </c>
      <c r="H70" s="70" t="str">
        <f>'source-downstream'!H70</f>
        <v/>
      </c>
      <c r="I70" s="70" t="str">
        <f>if('source-downstream'!I70="",'schema-yn'!$A$5,vlookup('source-downstream'!I70,YN_MAP,3,FALSE))</f>
        <v>not-provided</v>
      </c>
      <c r="J70" s="89" t="str">
        <f>'source-downstream'!J70</f>
        <v>No comments provided</v>
      </c>
      <c r="K70" s="70" t="str">
        <f>if('source-downstream'!K70="",'data-cleansing-maps'!$L$10,vlookup('source-downstream'!K70,RESILIENCE_OPTION_MAP,3,FALSE))</f>
        <v>not-provided</v>
      </c>
      <c r="L70" s="89" t="str">
        <f>'source-downstream'!L70</f>
        <v/>
      </c>
      <c r="M70" s="65" t="str">
        <f>if('source-downstream'!M70="",'schema-rv-services'!$B$26,vlookup(vlookup('source-downstream'!$M70,'analysis-rv-services'!$C:$E,3,FALSE),'schema-rv-services'!$A:$B,2, FALSE))</f>
        <v>not-provided</v>
      </c>
      <c r="N70" s="70"/>
    </row>
    <row r="71" ht="15.75" customHeight="1">
      <c r="A71" s="88" t="str">
        <f>Substitute(SUBSTITUTE(substitute(substitute(substitute(substitute(substitute(substitute(substitute(lower('source-downstream'!A71)," ","-"),"(",""),")",""),"&gt;",""),"&lt;",""),"---","-"),".","-"),"--","-"),"&amp;","-and-")</f>
        <v>wild-tasmanian-devil</v>
      </c>
      <c r="B71" s="88" t="str">
        <f>Substitute(SUBSTITUTE(substitute(substitute(substitute(substitute(substitute(substitute(substitute(lower('source-downstream'!B71)," ","-"),"(",""),")",""),"&gt;",""),"&lt;",""),"---","-"),".","-"),"--","-"),"&amp;","-and-")</f>
        <v>silent-quokka</v>
      </c>
      <c r="C71" s="70" t="str">
        <f>if('source-downstream'!C71="",'schema-frequency'!$B$11,vlookup('source-downstream'!C71,FREQUENCY_MAP, 3, FALSE))</f>
        <v>unknown</v>
      </c>
      <c r="D71" s="89" t="str">
        <f>'source-downstream'!D71</f>
        <v>Aluminium, glass, plastic, liquid paper board eligible containers are traded via online biding portal to various vendors</v>
      </c>
      <c r="E71" s="65" t="str">
        <f>if('source-downstream'!E71="",'schema-geographic-dependency'!$B$5, vlookup('source-downstream'!E71,'schema-geographic-dependency'!A:B,2,FALSE))</f>
        <v>not-provided</v>
      </c>
      <c r="F71" s="70" t="str">
        <f>if('source-downstream'!F71="",'schema-yn'!$A$5,vlookup('source-downstream'!F71,YN_MAP,3,FALSE))</f>
        <v>not-provided</v>
      </c>
      <c r="G71" s="89" t="str">
        <f>'source-downstream'!G71</f>
        <v>Not provided</v>
      </c>
      <c r="H71" s="70" t="str">
        <f>'source-downstream'!H71</f>
        <v/>
      </c>
      <c r="I71" s="70" t="str">
        <f>if('source-downstream'!I71="",'schema-yn'!$A$5,vlookup('source-downstream'!I71,YN_MAP,3,FALSE))</f>
        <v>not-provided</v>
      </c>
      <c r="J71" s="89" t="str">
        <f>'source-downstream'!J71</f>
        <v>In events of Wild Tasmanian Devil acquiring the products, it is distributed within its divisions i.e. glass to glass recycling, plastics to plastic division, aluminium to reciprocal manufacturer. Local and international markets are available to trade the mentioned materials</v>
      </c>
      <c r="K71" s="70" t="str">
        <f>if('source-downstream'!K71="",'data-cleansing-maps'!$L$10,vlookup('source-downstream'!K71,RESILIENCE_OPTION_MAP,3,FALSE))</f>
        <v>not-provided</v>
      </c>
      <c r="L71" s="89" t="str">
        <f>'source-downstream'!L71</f>
        <v/>
      </c>
      <c r="M71" s="65" t="str">
        <f>if('source-downstream'!M71="",'schema-rv-services'!$B$26,vlookup(vlookup('source-downstream'!$M71,'analysis-rv-services'!$C:$E,3,FALSE),'schema-rv-services'!$A:$B,2, FALSE))</f>
        <v>feedstock</v>
      </c>
      <c r="N71" s="70"/>
    </row>
    <row r="72" ht="15.75" customHeight="1">
      <c r="A72" s="88" t="str">
        <f>Substitute(SUBSTITUTE(substitute(substitute(substitute(substitute(substitute(substitute(substitute(lower('source-downstream'!A72)," ","-"),"(",""),")",""),"&gt;",""),"&lt;",""),"---","-"),".","-"),"--","-"),"&amp;","-and-")</f>
        <v>yellow-australian-magpie</v>
      </c>
      <c r="B72" s="88" t="str">
        <f>Substitute(SUBSTITUTE(substitute(substitute(substitute(substitute(substitute(substitute(substitute(lower('source-downstream'!B72)," ","-"),"(",""),")",""),"&gt;",""),"&lt;",""),"---","-"),".","-"),"--","-"),"&amp;","-and-")</f>
        <v>fuzzy-cassowary</v>
      </c>
      <c r="C72" s="70" t="str">
        <f>if('source-downstream'!C72="",'schema-frequency'!$B$11,vlookup('source-downstream'!C72,FREQUENCY_MAP, 3, FALSE))</f>
        <v>not-provided</v>
      </c>
      <c r="D72" s="89" t="str">
        <f>'source-downstream'!D72</f>
        <v>Waste/landfill collection</v>
      </c>
      <c r="E72" s="65" t="str">
        <f>if('source-downstream'!E72="",'schema-geographic-dependency'!$B$5, vlookup('source-downstream'!E72,'schema-geographic-dependency'!A:B,2,FALSE))</f>
        <v>same-region</v>
      </c>
      <c r="F72" s="70" t="str">
        <f>if('source-downstream'!F72="",'schema-yn'!$A$5,vlookup('source-downstream'!F72,YN_MAP,3,FALSE))</f>
        <v>no</v>
      </c>
      <c r="G72" s="89" t="str">
        <f>'source-downstream'!G72</f>
        <v>Alternative services available</v>
      </c>
      <c r="H72" s="70" t="str">
        <f>'source-downstream'!H72</f>
        <v/>
      </c>
      <c r="I72" s="70" t="str">
        <f>if('source-downstream'!I72="",'schema-yn'!$A$5,vlookup('source-downstream'!I72,YN_MAP,3,FALSE))</f>
        <v>yes</v>
      </c>
      <c r="J72" s="89" t="str">
        <f>'source-downstream'!J72</f>
        <v/>
      </c>
      <c r="K72" s="70" t="str">
        <f>if('source-downstream'!K72="",'data-cleansing-maps'!$L$10,vlookup('source-downstream'!K72,RESILIENCE_OPTION_MAP,3,FALSE))</f>
        <v>not-provided</v>
      </c>
      <c r="L72" s="89" t="str">
        <f>'source-downstream'!L72</f>
        <v/>
      </c>
      <c r="M72" s="65" t="str">
        <f>if('source-downstream'!M72="",'schema-rv-services'!$B$26,vlookup(vlookup('source-downstream'!$M72,'analysis-rv-services'!$C:$E,3,FALSE),'schema-rv-services'!$A:$B,2, FALSE))</f>
        <v>transport</v>
      </c>
      <c r="N72" s="70"/>
    </row>
    <row r="73" ht="15.75" customHeight="1">
      <c r="A73" s="88" t="str">
        <f>Substitute(SUBSTITUTE(substitute(substitute(substitute(substitute(substitute(substitute(substitute(lower('source-downstream'!A73)," ","-"),"(",""),")",""),"&gt;",""),"&lt;",""),"---","-"),".","-"),"--","-"),"&amp;","-and-")</f>
        <v>yellow-australian-magpie</v>
      </c>
      <c r="B73" s="88" t="str">
        <f>Substitute(SUBSTITUTE(substitute(substitute(substitute(substitute(substitute(substitute(substitute(lower('source-downstream'!B73)," ","-"),"(",""),")",""),"&gt;",""),"&lt;",""),"---","-"),".","-"),"--","-"),"&amp;","-and-")</f>
        <v>blue-lyrebird</v>
      </c>
      <c r="C73" s="70" t="str">
        <f>if('source-downstream'!C73="",'schema-frequency'!$B$11,vlookup('source-downstream'!C73,FREQUENCY_MAP, 3, FALSE))</f>
        <v>not-provided</v>
      </c>
      <c r="D73" s="89" t="str">
        <f>'source-downstream'!D73</f>
        <v>Sub 3mm glass collection</v>
      </c>
      <c r="E73" s="65" t="str">
        <f>if('source-downstream'!E73="",'schema-geographic-dependency'!$B$5, vlookup('source-downstream'!E73,'schema-geographic-dependency'!A:B,2,FALSE))</f>
        <v>same-region</v>
      </c>
      <c r="F73" s="70" t="str">
        <f>if('source-downstream'!F73="",'schema-yn'!$A$5,vlookup('source-downstream'!F73,YN_MAP,3,FALSE))</f>
        <v>no</v>
      </c>
      <c r="G73" s="89" t="str">
        <f>'source-downstream'!G73</f>
        <v>Alternative services available</v>
      </c>
      <c r="H73" s="70" t="str">
        <f>'source-downstream'!H73</f>
        <v/>
      </c>
      <c r="I73" s="70" t="str">
        <f>if('source-downstream'!I73="",'schema-yn'!$A$5,vlookup('source-downstream'!I73,YN_MAP,3,FALSE))</f>
        <v>yes</v>
      </c>
      <c r="J73" s="89" t="str">
        <f>'source-downstream'!J73</f>
        <v/>
      </c>
      <c r="K73" s="70" t="str">
        <f>if('source-downstream'!K73="",'data-cleansing-maps'!$L$10,vlookup('source-downstream'!K73,RESILIENCE_OPTION_MAP,3,FALSE))</f>
        <v>not-provided</v>
      </c>
      <c r="L73" s="89" t="str">
        <f>'source-downstream'!L73</f>
        <v/>
      </c>
      <c r="M73" s="65" t="str">
        <f>if('source-downstream'!M73="",'schema-rv-services'!$B$26,vlookup(vlookup('source-downstream'!$M73,'analysis-rv-services'!$C:$E,3,FALSE),'schema-rv-services'!$A:$B,2, FALSE))</f>
        <v>transport</v>
      </c>
      <c r="N73" s="70"/>
    </row>
    <row r="74" ht="15.75" customHeight="1">
      <c r="A74" s="88" t="str">
        <f>Substitute(SUBSTITUTE(substitute(substitute(substitute(substitute(substitute(substitute(substitute(lower('source-downstream'!A74)," ","-"),"(",""),")",""),"&gt;",""),"&lt;",""),"---","-"),".","-"),"--","-"),"&amp;","-and-")</f>
        <v>yellow-australian-magpie</v>
      </c>
      <c r="B74" s="88" t="str">
        <f>Substitute(SUBSTITUTE(substitute(substitute(substitute(substitute(substitute(substitute(substitute(lower('source-downstream'!B74)," ","-"),"(",""),")",""),"&gt;",""),"&lt;",""),"---","-"),".","-"),"--","-"),"&amp;","-and-")</f>
        <v>spotted-echidna</v>
      </c>
      <c r="C74" s="70" t="str">
        <f>if('source-downstream'!C74="",'schema-frequency'!$B$11,vlookup('source-downstream'!C74,FREQUENCY_MAP, 3, FALSE))</f>
        <v>not-provided</v>
      </c>
      <c r="D74" s="89" t="str">
        <f>'source-downstream'!D74</f>
        <v>Scrap metal disposal services</v>
      </c>
      <c r="E74" s="65" t="str">
        <f>if('source-downstream'!E74="",'schema-geographic-dependency'!$B$5, vlookup('source-downstream'!E74,'schema-geographic-dependency'!A:B,2,FALSE))</f>
        <v>same-region</v>
      </c>
      <c r="F74" s="70" t="str">
        <f>if('source-downstream'!F74="",'schema-yn'!$A$5,vlookup('source-downstream'!F74,YN_MAP,3,FALSE))</f>
        <v>no</v>
      </c>
      <c r="G74" s="89" t="str">
        <f>'source-downstream'!G74</f>
        <v>Alternative services available</v>
      </c>
      <c r="H74" s="70" t="str">
        <f>'source-downstream'!H74</f>
        <v/>
      </c>
      <c r="I74" s="70" t="str">
        <f>if('source-downstream'!I74="",'schema-yn'!$A$5,vlookup('source-downstream'!I74,YN_MAP,3,FALSE))</f>
        <v>yes</v>
      </c>
      <c r="J74" s="89" t="str">
        <f>'source-downstream'!J74</f>
        <v/>
      </c>
      <c r="K74" s="70" t="str">
        <f>if('source-downstream'!K74="",'data-cleansing-maps'!$L$10,vlookup('source-downstream'!K74,RESILIENCE_OPTION_MAP,3,FALSE))</f>
        <v>not-provided</v>
      </c>
      <c r="L74" s="89" t="str">
        <f>'source-downstream'!L74</f>
        <v/>
      </c>
      <c r="M74" s="65" t="str">
        <f>if('source-downstream'!M74="",'schema-rv-services'!$B$26,vlookup(vlookup('source-downstream'!$M74,'analysis-rv-services'!$C:$E,3,FALSE),'schema-rv-services'!$A:$B,2, FALSE))</f>
        <v>feedstock</v>
      </c>
      <c r="N74" s="70"/>
    </row>
    <row r="75" ht="15.75" customHeight="1">
      <c r="A75" s="88" t="str">
        <f>Substitute(SUBSTITUTE(substitute(substitute(substitute(substitute(substitute(substitute(substitute(lower('source-downstream'!A75)," ","-"),"(",""),")",""),"&gt;",""),"&lt;",""),"---","-"),".","-"),"--","-"),"&amp;","-and-")</f>
        <v>yellow-australian-magpie</v>
      </c>
      <c r="B75" s="88" t="str">
        <f>Substitute(SUBSTITUTE(substitute(substitute(substitute(substitute(substitute(substitute(substitute(lower('source-downstream'!B75)," ","-"),"(",""),")",""),"&gt;",""),"&lt;",""),"---","-"),".","-"),"--","-"),"&amp;","-and-")</f>
        <v>yellow-australian-magpie</v>
      </c>
      <c r="C75" s="70" t="str">
        <f>if('source-downstream'!C75="",'schema-frequency'!$B$11,vlookup('source-downstream'!C75,FREQUENCY_MAP, 3, FALSE))</f>
        <v>not-provided</v>
      </c>
      <c r="D75" s="89" t="str">
        <f>'source-downstream'!D75</f>
        <v>Cullet supply</v>
      </c>
      <c r="E75" s="65" t="str">
        <f>if('source-downstream'!E75="",'schema-geographic-dependency'!$B$5, vlookup('source-downstream'!E75,'schema-geographic-dependency'!A:B,2,FALSE))</f>
        <v>spread-across-multiple-regions</v>
      </c>
      <c r="F75" s="70" t="str">
        <f>if('source-downstream'!F75="",'schema-yn'!$A$5,vlookup('source-downstream'!F75,YN_MAP,3,FALSE))</f>
        <v>no</v>
      </c>
      <c r="G75" s="89" t="str">
        <f>'source-downstream'!G75</f>
        <v>Alternative cullet suppliers available, or use less glass and more raw materials</v>
      </c>
      <c r="H75" s="70" t="str">
        <f>'source-downstream'!H75</f>
        <v/>
      </c>
      <c r="I75" s="70" t="str">
        <f>if('source-downstream'!I75="",'schema-yn'!$A$5,vlookup('source-downstream'!I75,YN_MAP,3,FALSE))</f>
        <v>yes</v>
      </c>
      <c r="J75" s="89" t="str">
        <f>'source-downstream'!J75</f>
        <v/>
      </c>
      <c r="K75" s="70" t="str">
        <f>if('source-downstream'!K75="",'data-cleansing-maps'!$L$10,vlookup('source-downstream'!K75,RESILIENCE_OPTION_MAP,3,FALSE))</f>
        <v>not-provided</v>
      </c>
      <c r="L75" s="89" t="str">
        <f>'source-downstream'!L75</f>
        <v/>
      </c>
      <c r="M75" s="65" t="str">
        <f>if('source-downstream'!M75="",'schema-rv-services'!$B$26,vlookup(vlookup('source-downstream'!$M75,'analysis-rv-services'!$C:$E,3,FALSE),'schema-rv-services'!$A:$B,2, FALSE))</f>
        <v>feedstock</v>
      </c>
      <c r="N75" s="70"/>
    </row>
    <row r="76" ht="15.75" customHeight="1">
      <c r="A76" s="88" t="str">
        <f>Substitute(SUBSTITUTE(substitute(substitute(substitute(substitute(substitute(substitute(substitute(lower('source-downstream'!A76)," ","-"),"(",""),")",""),"&gt;",""),"&lt;",""),"---","-"),".","-"),"--","-"),"&amp;","-and-")</f>
        <v>yellow-australian-magpie</v>
      </c>
      <c r="B76" s="88" t="str">
        <f>Substitute(SUBSTITUTE(substitute(substitute(substitute(substitute(substitute(substitute(substitute(lower('source-downstream'!B76)," ","-"),"(",""),")",""),"&gt;",""),"&lt;",""),"---","-"),".","-"),"--","-"),"&amp;","-and-")</f>
        <v>yellow-australian-magpie</v>
      </c>
      <c r="C76" s="70" t="str">
        <f>if('source-downstream'!C76="",'schema-frequency'!$B$11,vlookup('source-downstream'!C76,FREQUENCY_MAP, 3, FALSE))</f>
        <v>not-provided</v>
      </c>
      <c r="D76" s="89" t="str">
        <f>'source-downstream'!D76</f>
        <v>FCM material</v>
      </c>
      <c r="E76" s="65" t="str">
        <f>if('source-downstream'!E76="",'schema-geographic-dependency'!$B$5, vlookup('source-downstream'!E76,'schema-geographic-dependency'!A:B,2,FALSE))</f>
        <v>same-region</v>
      </c>
      <c r="F76" s="70" t="str">
        <f>if('source-downstream'!F76="",'schema-yn'!$A$5,vlookup('source-downstream'!F76,YN_MAP,3,FALSE))</f>
        <v>no</v>
      </c>
      <c r="G76" s="89" t="str">
        <f>'source-downstream'!G76</f>
        <v>Councils can directly drop off to the site</v>
      </c>
      <c r="H76" s="70" t="str">
        <f>'source-downstream'!H76</f>
        <v/>
      </c>
      <c r="I76" s="70" t="str">
        <f>if('source-downstream'!I76="",'schema-yn'!$A$5,vlookup('source-downstream'!I76,YN_MAP,3,FALSE))</f>
        <v>yes</v>
      </c>
      <c r="J76" s="89" t="str">
        <f>'source-downstream'!J76</f>
        <v/>
      </c>
      <c r="K76" s="70" t="str">
        <f>if('source-downstream'!K76="",'data-cleansing-maps'!$L$10,vlookup('source-downstream'!K76,RESILIENCE_OPTION_MAP,3,FALSE))</f>
        <v>not-provided</v>
      </c>
      <c r="L76" s="89" t="str">
        <f>'source-downstream'!L76</f>
        <v/>
      </c>
      <c r="M76" s="65" t="str">
        <f>if('source-downstream'!M76="",'schema-rv-services'!$B$26,vlookup(vlookup('source-downstream'!$M76,'analysis-rv-services'!$C:$E,3,FALSE),'schema-rv-services'!$A:$B,2, FALSE))</f>
        <v>transport</v>
      </c>
      <c r="N76" s="70"/>
    </row>
    <row r="77" ht="15.75" customHeight="1">
      <c r="A77" s="88" t="str">
        <f>Substitute(SUBSTITUTE(substitute(substitute(substitute(substitute(substitute(substitute(substitute(lower('source-downstream'!A77)," ","-"),"(",""),")",""),"&gt;",""),"&lt;",""),"---","-"),".","-"),"--","-"),"&amp;","-and-")</f>
        <v>yellow-australian-magpie</v>
      </c>
      <c r="B77" s="88" t="str">
        <f>Substitute(SUBSTITUTE(substitute(substitute(substitute(substitute(substitute(substitute(substitute(lower('source-downstream'!B77)," ","-"),"(",""),")",""),"&gt;",""),"&lt;",""),"---","-"),".","-"),"--","-"),"&amp;","-and-")</f>
        <v>yellow-australian-magpie</v>
      </c>
      <c r="C77" s="70" t="str">
        <f>if('source-downstream'!C77="",'schema-frequency'!$B$11,vlookup('source-downstream'!C77,FREQUENCY_MAP, 3, FALSE))</f>
        <v>not-provided</v>
      </c>
      <c r="D77" s="89" t="str">
        <f>'source-downstream'!D77</f>
        <v>Transport</v>
      </c>
      <c r="E77" s="65" t="str">
        <f>if('source-downstream'!E77="",'schema-geographic-dependency'!$B$5, vlookup('source-downstream'!E77,'schema-geographic-dependency'!A:B,2,FALSE))</f>
        <v>statewide</v>
      </c>
      <c r="F77" s="70" t="str">
        <f>if('source-downstream'!F77="",'schema-yn'!$A$5,vlookup('source-downstream'!F77,YN_MAP,3,FALSE))</f>
        <v>no</v>
      </c>
      <c r="G77" s="89" t="str">
        <f>'source-downstream'!G77</f>
        <v>Alternative services available</v>
      </c>
      <c r="H77" s="70" t="str">
        <f>'source-downstream'!H77</f>
        <v/>
      </c>
      <c r="I77" s="70" t="str">
        <f>if('source-downstream'!I77="",'schema-yn'!$A$5,vlookup('source-downstream'!I77,YN_MAP,3,FALSE))</f>
        <v>yes</v>
      </c>
      <c r="J77" s="89" t="str">
        <f>'source-downstream'!J77</f>
        <v/>
      </c>
      <c r="K77" s="70" t="str">
        <f>if('source-downstream'!K77="",'data-cleansing-maps'!$L$10,vlookup('source-downstream'!K77,RESILIENCE_OPTION_MAP,3,FALSE))</f>
        <v>not-provided</v>
      </c>
      <c r="L77" s="89" t="str">
        <f>'source-downstream'!L77</f>
        <v/>
      </c>
      <c r="M77" s="65" t="str">
        <f>if('source-downstream'!M77="",'schema-rv-services'!$B$26,vlookup(vlookup('source-downstream'!$M77,'analysis-rv-services'!$C:$E,3,FALSE),'schema-rv-services'!$A:$B,2, FALSE))</f>
        <v>transport</v>
      </c>
      <c r="N77" s="70"/>
    </row>
    <row r="78" ht="15.75" customHeight="1">
      <c r="A78" s="88" t="str">
        <f>Substitute(SUBSTITUTE(substitute(substitute(substitute(substitute(substitute(substitute(substitute(lower('source-downstream'!A78)," ","-"),"(",""),")",""),"&gt;",""),"&lt;",""),"---","-"),".","-"),"--","-"),"&amp;","-and-")</f>
        <v>yellow-australian-magpie</v>
      </c>
      <c r="B78" s="88" t="str">
        <f>Substitute(SUBSTITUTE(substitute(substitute(substitute(substitute(substitute(substitute(substitute(lower('source-downstream'!B78)," ","-"),"(",""),")",""),"&gt;",""),"&lt;",""),"---","-"),".","-"),"--","-"),"&amp;","-and-")</f>
        <v>happy-goanna</v>
      </c>
      <c r="C78" s="70" t="str">
        <f>if('source-downstream'!C78="",'schema-frequency'!$B$11,vlookup('source-downstream'!C78,FREQUENCY_MAP, 3, FALSE))</f>
        <v>not-provided</v>
      </c>
      <c r="D78" s="89" t="str">
        <f>'source-downstream'!D78</f>
        <v>Scrap metal disposal services</v>
      </c>
      <c r="E78" s="65" t="str">
        <f>if('source-downstream'!E78="",'schema-geographic-dependency'!$B$5, vlookup('source-downstream'!E78,'schema-geographic-dependency'!A:B,2,FALSE))</f>
        <v>same-region</v>
      </c>
      <c r="F78" s="70" t="str">
        <f>if('source-downstream'!F78="",'schema-yn'!$A$5,vlookup('source-downstream'!F78,YN_MAP,3,FALSE))</f>
        <v>no</v>
      </c>
      <c r="G78" s="89" t="str">
        <f>'source-downstream'!G78</f>
        <v>Alternative services available</v>
      </c>
      <c r="H78" s="70" t="str">
        <f>'source-downstream'!H78</f>
        <v/>
      </c>
      <c r="I78" s="70" t="str">
        <f>if('source-downstream'!I78="",'schema-yn'!$A$5,vlookup('source-downstream'!I78,YN_MAP,3,FALSE))</f>
        <v>yes</v>
      </c>
      <c r="J78" s="89" t="str">
        <f>'source-downstream'!J78</f>
        <v/>
      </c>
      <c r="K78" s="70" t="str">
        <f>if('source-downstream'!K78="",'data-cleansing-maps'!$L$10,vlookup('source-downstream'!K78,RESILIENCE_OPTION_MAP,3,FALSE))</f>
        <v>not-provided</v>
      </c>
      <c r="L78" s="89" t="str">
        <f>'source-downstream'!L78</f>
        <v/>
      </c>
      <c r="M78" s="65" t="str">
        <f>if('source-downstream'!M78="",'schema-rv-services'!$B$26,vlookup(vlookup('source-downstream'!$M78,'analysis-rv-services'!$C:$E,3,FALSE),'schema-rv-services'!$A:$B,2, FALSE))</f>
        <v>feedstock</v>
      </c>
      <c r="N78" s="70"/>
    </row>
    <row r="79" ht="15.75" customHeight="1">
      <c r="A79" s="88" t="str">
        <f>Substitute(SUBSTITUTE(substitute(substitute(substitute(substitute(substitute(substitute(substitute(lower('source-downstream'!A79)," ","-"),"(",""),")",""),"&gt;",""),"&lt;",""),"---","-"),".","-"),"--","-"),"&amp;","-and-")</f>
        <v>yellow-australian-magpie</v>
      </c>
      <c r="B79" s="88" t="str">
        <f>Substitute(SUBSTITUTE(substitute(substitute(substitute(substitute(substitute(substitute(substitute(lower('source-downstream'!B79)," ","-"),"(",""),")",""),"&gt;",""),"&lt;",""),"---","-"),".","-"),"--","-"),"&amp;","-and-")</f>
        <v>yellow-australian-magpie</v>
      </c>
      <c r="C79" s="70" t="str">
        <f>if('source-downstream'!C79="",'schema-frequency'!$B$11,vlookup('source-downstream'!C79,FREQUENCY_MAP, 3, FALSE))</f>
        <v>not-provided</v>
      </c>
      <c r="D79" s="89" t="str">
        <f>'source-downstream'!D79</f>
        <v>Plastic recycling</v>
      </c>
      <c r="E79" s="65" t="str">
        <f>if('source-downstream'!E79="",'schema-geographic-dependency'!$B$5, vlookup('source-downstream'!E79,'schema-geographic-dependency'!A:B,2,FALSE))</f>
        <v>same-region</v>
      </c>
      <c r="F79" s="70" t="str">
        <f>if('source-downstream'!F79="",'schema-yn'!$A$5,vlookup('source-downstream'!F79,YN_MAP,3,FALSE))</f>
        <v>no</v>
      </c>
      <c r="G79" s="89" t="str">
        <f>'source-downstream'!G79</f>
        <v>Alternative services available</v>
      </c>
      <c r="H79" s="70" t="str">
        <f>'source-downstream'!H79</f>
        <v/>
      </c>
      <c r="I79" s="70" t="str">
        <f>if('source-downstream'!I79="",'schema-yn'!$A$5,vlookup('source-downstream'!I79,YN_MAP,3,FALSE))</f>
        <v>yes</v>
      </c>
      <c r="J79" s="89" t="str">
        <f>'source-downstream'!J79</f>
        <v/>
      </c>
      <c r="K79" s="70" t="str">
        <f>if('source-downstream'!K79="",'data-cleansing-maps'!$L$10,vlookup('source-downstream'!K79,RESILIENCE_OPTION_MAP,3,FALSE))</f>
        <v>not-provided</v>
      </c>
      <c r="L79" s="89" t="str">
        <f>'source-downstream'!L79</f>
        <v/>
      </c>
      <c r="M79" s="65" t="str">
        <f>if('source-downstream'!M79="",'schema-rv-services'!$B$26,vlookup(vlookup('source-downstream'!$M79,'analysis-rv-services'!$C:$E,3,FALSE),'schema-rv-services'!$A:$B,2, FALSE))</f>
        <v>feedstock</v>
      </c>
      <c r="N79" s="70"/>
    </row>
    <row r="80" ht="15.75" customHeight="1">
      <c r="A80" s="88" t="str">
        <f>Substitute(SUBSTITUTE(substitute(substitute(substitute(substitute(substitute(substitute(substitute(lower('source-downstream'!A80)," ","-"),"(",""),")",""),"&gt;",""),"&lt;",""),"---","-"),".","-"),"--","-"),"&amp;","-and-")</f>
        <v>yellow-australian-magpie</v>
      </c>
      <c r="B80" s="88" t="str">
        <f>Substitute(SUBSTITUTE(substitute(substitute(substitute(substitute(substitute(substitute(substitute(lower('source-downstream'!B80)," ","-"),"(",""),")",""),"&gt;",""),"&lt;",""),"---","-"),".","-"),"--","-"),"&amp;","-and-")</f>
        <v>noisy-rosella</v>
      </c>
      <c r="C80" s="70" t="str">
        <f>if('source-downstream'!C80="",'schema-frequency'!$B$11,vlookup('source-downstream'!C80,FREQUENCY_MAP, 3, FALSE))</f>
        <v>not-provided</v>
      </c>
      <c r="D80" s="89" t="str">
        <f>'source-downstream'!D80</f>
        <v>Plastic recycling</v>
      </c>
      <c r="E80" s="65" t="str">
        <f>if('source-downstream'!E80="",'schema-geographic-dependency'!$B$5, vlookup('source-downstream'!E80,'schema-geographic-dependency'!A:B,2,FALSE))</f>
        <v>same-region</v>
      </c>
      <c r="F80" s="70" t="str">
        <f>if('source-downstream'!F80="",'schema-yn'!$A$5,vlookup('source-downstream'!F80,YN_MAP,3,FALSE))</f>
        <v>no</v>
      </c>
      <c r="G80" s="89" t="str">
        <f>'source-downstream'!G80</f>
        <v>Alternative services available</v>
      </c>
      <c r="H80" s="70" t="str">
        <f>'source-downstream'!H80</f>
        <v/>
      </c>
      <c r="I80" s="70" t="str">
        <f>if('source-downstream'!I80="",'schema-yn'!$A$5,vlookup('source-downstream'!I80,YN_MAP,3,FALSE))</f>
        <v>yes</v>
      </c>
      <c r="J80" s="89" t="str">
        <f>'source-downstream'!J80</f>
        <v/>
      </c>
      <c r="K80" s="70" t="str">
        <f>if('source-downstream'!K80="",'data-cleansing-maps'!$L$10,vlookup('source-downstream'!K80,RESILIENCE_OPTION_MAP,3,FALSE))</f>
        <v>not-provided</v>
      </c>
      <c r="L80" s="89" t="str">
        <f>'source-downstream'!L80</f>
        <v/>
      </c>
      <c r="M80" s="65" t="str">
        <f>if('source-downstream'!M80="",'schema-rv-services'!$B$26,vlookup(vlookup('source-downstream'!$M80,'analysis-rv-services'!$C:$E,3,FALSE),'schema-rv-services'!$A:$B,2, FALSE))</f>
        <v>feedstock</v>
      </c>
      <c r="N80" s="70"/>
    </row>
    <row r="81" ht="15.75" customHeight="1">
      <c r="A81" s="88" t="str">
        <f>Substitute(SUBSTITUTE(substitute(substitute(substitute(substitute(substitute(substitute(substitute(lower('source-downstream'!A81)," ","-"),"(",""),")",""),"&gt;",""),"&lt;",""),"---","-"),".","-"),"--","-"),"&amp;","-and-")</f>
        <v>yellow-australian-magpie</v>
      </c>
      <c r="B81" s="88" t="str">
        <f>Substitute(SUBSTITUTE(substitute(substitute(substitute(substitute(substitute(substitute(substitute(lower('source-downstream'!B81)," ","-"),"(",""),")",""),"&gt;",""),"&lt;",""),"---","-"),".","-"),"--","-"),"&amp;","-and-")</f>
        <v>yellow-australian-magpie</v>
      </c>
      <c r="C81" s="70" t="str">
        <f>if('source-downstream'!C81="",'schema-frequency'!$B$11,vlookup('source-downstream'!C81,FREQUENCY_MAP, 3, FALSE))</f>
        <v>not-provided</v>
      </c>
      <c r="D81" s="89" t="str">
        <f>'source-downstream'!D81</f>
        <v>Glass recycling</v>
      </c>
      <c r="E81" s="65" t="str">
        <f>if('source-downstream'!E81="",'schema-geographic-dependency'!$B$5, vlookup('source-downstream'!E81,'schema-geographic-dependency'!A:B,2,FALSE))</f>
        <v>same-region</v>
      </c>
      <c r="F81" s="70" t="str">
        <f>if('source-downstream'!F81="",'schema-yn'!$A$5,vlookup('source-downstream'!F81,YN_MAP,3,FALSE))</f>
        <v>no</v>
      </c>
      <c r="G81" s="89" t="str">
        <f>'source-downstream'!G81</f>
        <v>Alternative services available</v>
      </c>
      <c r="H81" s="70" t="str">
        <f>'source-downstream'!H81</f>
        <v/>
      </c>
      <c r="I81" s="70" t="str">
        <f>if('source-downstream'!I81="",'schema-yn'!$A$5,vlookup('source-downstream'!I81,YN_MAP,3,FALSE))</f>
        <v>yes</v>
      </c>
      <c r="J81" s="89" t="str">
        <f>'source-downstream'!J81</f>
        <v/>
      </c>
      <c r="K81" s="70" t="str">
        <f>if('source-downstream'!K81="",'data-cleansing-maps'!$L$10,vlookup('source-downstream'!K81,RESILIENCE_OPTION_MAP,3,FALSE))</f>
        <v>not-provided</v>
      </c>
      <c r="L81" s="89" t="str">
        <f>'source-downstream'!L81</f>
        <v/>
      </c>
      <c r="M81" s="65" t="str">
        <f>if('source-downstream'!M81="",'schema-rv-services'!$B$26,vlookup(vlookup('source-downstream'!$M81,'analysis-rv-services'!$C:$E,3,FALSE),'schema-rv-services'!$A:$B,2, FALSE))</f>
        <v>feedstock</v>
      </c>
      <c r="N81" s="70"/>
    </row>
    <row r="82" ht="15.75" customHeight="1">
      <c r="A82" s="88" t="str">
        <f>Substitute(SUBSTITUTE(substitute(substitute(substitute(substitute(substitute(substitute(substitute(lower('source-downstream'!A82)," ","-"),"(",""),")",""),"&gt;",""),"&lt;",""),"---","-"),".","-"),"--","-"),"&amp;","-and-")</f>
        <v>yellow-australian-magpie</v>
      </c>
      <c r="B82" s="88" t="str">
        <f>Substitute(SUBSTITUTE(substitute(substitute(substitute(substitute(substitute(substitute(substitute(lower('source-downstream'!B82)," ","-"),"(",""),")",""),"&gt;",""),"&lt;",""),"---","-"),".","-"),"--","-"),"&amp;","-and-")</f>
        <v>golden-possum</v>
      </c>
      <c r="C82" s="70" t="str">
        <f>if('source-downstream'!C82="",'schema-frequency'!$B$11,vlookup('source-downstream'!C82,FREQUENCY_MAP, 3, FALSE))</f>
        <v>not-provided</v>
      </c>
      <c r="D82" s="89" t="str">
        <f>'source-downstream'!D82</f>
        <v>Battery collection</v>
      </c>
      <c r="E82" s="65" t="str">
        <f>if('source-downstream'!E82="",'schema-geographic-dependency'!$B$5, vlookup('source-downstream'!E82,'schema-geographic-dependency'!A:B,2,FALSE))</f>
        <v>same-region</v>
      </c>
      <c r="F82" s="70" t="str">
        <f>if('source-downstream'!F82="",'schema-yn'!$A$5,vlookup('source-downstream'!F82,YN_MAP,3,FALSE))</f>
        <v>no</v>
      </c>
      <c r="G82" s="89" t="str">
        <f>'source-downstream'!G82</f>
        <v>Alternative services available</v>
      </c>
      <c r="H82" s="70" t="str">
        <f>'source-downstream'!H82</f>
        <v/>
      </c>
      <c r="I82" s="70" t="str">
        <f>if('source-downstream'!I82="",'schema-yn'!$A$5,vlookup('source-downstream'!I82,YN_MAP,3,FALSE))</f>
        <v>yes</v>
      </c>
      <c r="J82" s="89" t="str">
        <f>'source-downstream'!J82</f>
        <v/>
      </c>
      <c r="K82" s="70" t="str">
        <f>if('source-downstream'!K82="",'data-cleansing-maps'!$L$10,vlookup('source-downstream'!K82,RESILIENCE_OPTION_MAP,3,FALSE))</f>
        <v>not-provided</v>
      </c>
      <c r="L82" s="89" t="str">
        <f>'source-downstream'!L82</f>
        <v/>
      </c>
      <c r="M82" s="65" t="str">
        <f>if('source-downstream'!M82="",'schema-rv-services'!$B$26,vlookup(vlookup('source-downstream'!$M82,'analysis-rv-services'!$C:$E,3,FALSE),'schema-rv-services'!$A:$B,2, FALSE))</f>
        <v>feedstock</v>
      </c>
      <c r="N82" s="70"/>
    </row>
    <row r="83" ht="15.75" customHeight="1">
      <c r="A83" s="91" t="str">
        <f>Substitute(SUBSTITUTE(substitute(substitute(substitute(substitute(substitute(substitute(substitute(lower('source-downstream'!A83)," ","-"),"(",""),")",""),"&gt;",""),"&lt;",""),"---","-"),".","-"),"--","-"),"&amp;","-and-")</f>
        <v>yellow-australian-magpie</v>
      </c>
      <c r="B83" s="91" t="str">
        <f>Substitute(SUBSTITUTE(substitute(substitute(substitute(substitute(substitute(substitute(substitute(lower('source-downstream'!B83)," ","-"),"(",""),")",""),"&gt;",""),"&lt;",""),"---","-"),".","-"),"--","-"),"&amp;","-and-")</f>
        <v>yellow-australian-magpie</v>
      </c>
      <c r="C83" s="92" t="str">
        <f>if('source-downstream'!C83="",'schema-frequency'!$B$11,vlookup('source-downstream'!C83,FREQUENCY_MAP, 3, FALSE))</f>
        <v>not-provided</v>
      </c>
      <c r="D83" s="93" t="str">
        <f>'source-downstream'!D83</f>
        <v>Manufacturer</v>
      </c>
      <c r="E83" s="65" t="str">
        <f>if('source-downstream'!E83="",'schema-geographic-dependency'!$B$5, vlookup('source-downstream'!E83,'schema-geographic-dependency'!A:B,2,FALSE))</f>
        <v>spread-across-multiple-regions</v>
      </c>
      <c r="F83" s="92" t="str">
        <f>if('source-downstream'!F83="",'schema-yn'!$A$5,vlookup('source-downstream'!F83,YN_MAP,3,FALSE))</f>
        <v>no</v>
      </c>
      <c r="G83" s="93" t="str">
        <f>'source-downstream'!G83</f>
        <v>Alternative services available</v>
      </c>
      <c r="H83" s="92" t="str">
        <f>'source-downstream'!H83</f>
        <v/>
      </c>
      <c r="I83" s="92" t="str">
        <f>if('source-downstream'!I83="",'schema-yn'!$A$5,vlookup('source-downstream'!I83,YN_MAP,3,FALSE))</f>
        <v>yes</v>
      </c>
      <c r="J83" s="93" t="str">
        <f>'source-downstream'!J83</f>
        <v/>
      </c>
      <c r="K83" s="92" t="str">
        <f>if('source-downstream'!K83="",'data-cleansing-maps'!$L$10,vlookup('source-downstream'!K83,RESILIENCE_OPTION_MAP,3,FALSE))</f>
        <v>not-provided</v>
      </c>
      <c r="L83" s="93" t="str">
        <f>'source-downstream'!L83</f>
        <v/>
      </c>
      <c r="M83" s="65" t="str">
        <f>if('source-downstream'!M83="",'schema-rv-services'!$B$26,vlookup(vlookup('source-downstream'!$M83,'analysis-rv-services'!$C:$E,3,FALSE),'schema-rv-services'!$A:$B,2, FALSE))</f>
        <v>feedstock</v>
      </c>
      <c r="N83" s="92"/>
    </row>
  </sheetData>
  <autoFilter ref="$A$1:$N$83"/>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20.13"/>
    <col customWidth="1" min="2" max="2" width="11.13"/>
    <col customWidth="1" min="3" max="3" width="32.88"/>
    <col customWidth="1" min="4" max="4" width="11.13"/>
    <col customWidth="1" min="5" max="5" width="20.88"/>
    <col customWidth="1" min="6" max="6" width="13.13"/>
    <col customWidth="1" min="7" max="7" width="46.0"/>
  </cols>
  <sheetData>
    <row r="1">
      <c r="A1" s="100" t="s">
        <v>568</v>
      </c>
      <c r="B1" s="100" t="s">
        <v>863</v>
      </c>
      <c r="C1" s="100" t="s">
        <v>864</v>
      </c>
      <c r="D1" s="118" t="s">
        <v>865</v>
      </c>
      <c r="E1" s="118" t="s">
        <v>866</v>
      </c>
      <c r="F1" s="118" t="s">
        <v>867</v>
      </c>
      <c r="G1" s="118" t="s">
        <v>868</v>
      </c>
    </row>
    <row r="2">
      <c r="A2" s="119" t="s">
        <v>859</v>
      </c>
      <c r="B2" s="120" t="s">
        <v>869</v>
      </c>
      <c r="C2" s="121" t="s">
        <v>13</v>
      </c>
      <c r="D2" s="122" t="s">
        <v>870</v>
      </c>
      <c r="E2" s="119" t="s">
        <v>871</v>
      </c>
      <c r="F2" s="119" t="s">
        <v>872</v>
      </c>
      <c r="G2" s="122" t="s">
        <v>873</v>
      </c>
    </row>
    <row r="3">
      <c r="A3" s="123" t="s">
        <v>836</v>
      </c>
      <c r="B3" s="124" t="s">
        <v>869</v>
      </c>
      <c r="C3" s="125" t="s">
        <v>14</v>
      </c>
      <c r="D3" s="126" t="s">
        <v>870</v>
      </c>
      <c r="E3" s="119" t="s">
        <v>871</v>
      </c>
      <c r="F3" s="123" t="s">
        <v>872</v>
      </c>
      <c r="G3" s="122" t="s">
        <v>873</v>
      </c>
    </row>
    <row r="4">
      <c r="A4" s="123" t="s">
        <v>837</v>
      </c>
      <c r="B4" s="124" t="s">
        <v>869</v>
      </c>
      <c r="C4" s="125" t="s">
        <v>15</v>
      </c>
      <c r="D4" s="126" t="s">
        <v>874</v>
      </c>
      <c r="E4" s="123" t="s">
        <v>875</v>
      </c>
      <c r="F4" s="123" t="s">
        <v>876</v>
      </c>
      <c r="G4" s="126" t="s">
        <v>877</v>
      </c>
    </row>
    <row r="5">
      <c r="A5" s="126" t="s">
        <v>838</v>
      </c>
      <c r="B5" s="124" t="s">
        <v>869</v>
      </c>
      <c r="C5" s="125" t="s">
        <v>16</v>
      </c>
      <c r="D5" s="126" t="s">
        <v>862</v>
      </c>
      <c r="E5" s="126" t="s">
        <v>878</v>
      </c>
      <c r="F5" s="126" t="s">
        <v>879</v>
      </c>
      <c r="G5" s="126" t="s">
        <v>880</v>
      </c>
    </row>
    <row r="6">
      <c r="A6" s="127" t="s">
        <v>839</v>
      </c>
      <c r="B6" s="124" t="s">
        <v>869</v>
      </c>
      <c r="C6" s="125" t="s">
        <v>17</v>
      </c>
      <c r="D6" s="126" t="s">
        <v>881</v>
      </c>
      <c r="E6" s="126" t="s">
        <v>882</v>
      </c>
      <c r="F6" s="126" t="s">
        <v>879</v>
      </c>
      <c r="G6" s="126" t="s">
        <v>883</v>
      </c>
    </row>
    <row r="7">
      <c r="A7" s="126" t="s">
        <v>840</v>
      </c>
      <c r="B7" s="124" t="s">
        <v>869</v>
      </c>
      <c r="C7" s="125" t="s">
        <v>18</v>
      </c>
      <c r="D7" s="126" t="s">
        <v>881</v>
      </c>
      <c r="E7" s="126" t="s">
        <v>884</v>
      </c>
      <c r="F7" s="126" t="s">
        <v>879</v>
      </c>
      <c r="G7" s="126" t="s">
        <v>883</v>
      </c>
    </row>
    <row r="8">
      <c r="A8" s="126" t="s">
        <v>841</v>
      </c>
      <c r="B8" s="124" t="s">
        <v>869</v>
      </c>
      <c r="C8" s="125" t="s">
        <v>19</v>
      </c>
      <c r="D8" s="126" t="s">
        <v>881</v>
      </c>
      <c r="E8" s="126" t="s">
        <v>884</v>
      </c>
      <c r="F8" s="126" t="s">
        <v>879</v>
      </c>
      <c r="G8" s="126" t="s">
        <v>885</v>
      </c>
    </row>
    <row r="9">
      <c r="A9" s="126" t="s">
        <v>842</v>
      </c>
      <c r="B9" s="124" t="s">
        <v>869</v>
      </c>
      <c r="C9" s="125" t="s">
        <v>20</v>
      </c>
      <c r="D9" s="126" t="s">
        <v>862</v>
      </c>
      <c r="E9" s="126" t="s">
        <v>878</v>
      </c>
      <c r="F9" s="126" t="s">
        <v>886</v>
      </c>
      <c r="G9" s="126" t="s">
        <v>887</v>
      </c>
    </row>
    <row r="10">
      <c r="A10" s="126" t="s">
        <v>843</v>
      </c>
      <c r="B10" s="124" t="s">
        <v>869</v>
      </c>
      <c r="C10" s="125" t="s">
        <v>21</v>
      </c>
      <c r="D10" s="126" t="s">
        <v>888</v>
      </c>
      <c r="E10" s="123" t="s">
        <v>870</v>
      </c>
      <c r="F10" s="123" t="s">
        <v>876</v>
      </c>
      <c r="G10" s="126" t="s">
        <v>889</v>
      </c>
    </row>
    <row r="11">
      <c r="A11" s="127" t="s">
        <v>844</v>
      </c>
      <c r="B11" s="124" t="s">
        <v>869</v>
      </c>
      <c r="C11" s="125" t="s">
        <v>22</v>
      </c>
      <c r="D11" s="126" t="s">
        <v>862</v>
      </c>
      <c r="E11" s="126" t="s">
        <v>878</v>
      </c>
      <c r="F11" s="126" t="s">
        <v>886</v>
      </c>
      <c r="G11" s="126" t="s">
        <v>890</v>
      </c>
    </row>
    <row r="12">
      <c r="A12" s="126" t="s">
        <v>845</v>
      </c>
      <c r="B12" s="124" t="s">
        <v>869</v>
      </c>
      <c r="C12" s="125" t="s">
        <v>23</v>
      </c>
      <c r="D12" s="126" t="s">
        <v>881</v>
      </c>
      <c r="E12" s="126" t="s">
        <v>884</v>
      </c>
      <c r="F12" s="128" t="s">
        <v>879</v>
      </c>
      <c r="G12" s="128" t="s">
        <v>891</v>
      </c>
    </row>
    <row r="13">
      <c r="A13" s="126" t="s">
        <v>846</v>
      </c>
      <c r="B13" s="124" t="s">
        <v>869</v>
      </c>
      <c r="C13" s="125" t="s">
        <v>24</v>
      </c>
      <c r="D13" s="126" t="s">
        <v>862</v>
      </c>
      <c r="E13" s="126" t="s">
        <v>878</v>
      </c>
      <c r="F13" s="126" t="s">
        <v>886</v>
      </c>
      <c r="G13" s="126" t="s">
        <v>892</v>
      </c>
    </row>
    <row r="14" ht="67.5" customHeight="1">
      <c r="A14" s="123" t="s">
        <v>847</v>
      </c>
      <c r="B14" s="124" t="s">
        <v>869</v>
      </c>
      <c r="C14" s="125" t="s">
        <v>25</v>
      </c>
      <c r="D14" s="126" t="s">
        <v>881</v>
      </c>
      <c r="E14" s="123" t="s">
        <v>893</v>
      </c>
      <c r="F14" s="123" t="s">
        <v>876</v>
      </c>
      <c r="G14" s="126" t="s">
        <v>894</v>
      </c>
    </row>
    <row r="15">
      <c r="A15" s="129" t="s">
        <v>848</v>
      </c>
      <c r="B15" s="130" t="s">
        <v>869</v>
      </c>
      <c r="C15" s="131" t="s">
        <v>26</v>
      </c>
      <c r="D15" s="132" t="s">
        <v>881</v>
      </c>
      <c r="E15" s="132" t="s">
        <v>895</v>
      </c>
      <c r="F15" s="132" t="s">
        <v>896</v>
      </c>
      <c r="G15" s="132" t="s">
        <v>897</v>
      </c>
    </row>
    <row r="16">
      <c r="A16" s="119" t="s">
        <v>836</v>
      </c>
      <c r="B16" s="133" t="s">
        <v>898</v>
      </c>
      <c r="C16" s="134" t="s">
        <v>13</v>
      </c>
      <c r="D16" s="122" t="s">
        <v>870</v>
      </c>
      <c r="E16" s="119" t="s">
        <v>871</v>
      </c>
      <c r="F16" s="119" t="s">
        <v>872</v>
      </c>
      <c r="G16" s="122" t="s">
        <v>873</v>
      </c>
    </row>
    <row r="17">
      <c r="A17" s="123" t="s">
        <v>859</v>
      </c>
      <c r="B17" s="135" t="s">
        <v>898</v>
      </c>
      <c r="C17" s="136" t="s">
        <v>407</v>
      </c>
      <c r="D17" s="122" t="s">
        <v>870</v>
      </c>
      <c r="E17" s="119" t="s">
        <v>871</v>
      </c>
      <c r="F17" s="123" t="s">
        <v>872</v>
      </c>
      <c r="G17" s="126" t="s">
        <v>873</v>
      </c>
    </row>
    <row r="18">
      <c r="A18" s="123" t="s">
        <v>837</v>
      </c>
      <c r="B18" s="135" t="s">
        <v>898</v>
      </c>
      <c r="C18" s="136" t="s">
        <v>408</v>
      </c>
      <c r="D18" s="126" t="s">
        <v>874</v>
      </c>
      <c r="E18" s="123" t="s">
        <v>875</v>
      </c>
      <c r="F18" s="126" t="s">
        <v>876</v>
      </c>
      <c r="G18" s="126" t="s">
        <v>877</v>
      </c>
    </row>
    <row r="19" ht="88.5" customHeight="1">
      <c r="A19" s="126" t="s">
        <v>838</v>
      </c>
      <c r="B19" s="135" t="s">
        <v>898</v>
      </c>
      <c r="C19" s="136" t="s">
        <v>409</v>
      </c>
      <c r="D19" s="126" t="s">
        <v>862</v>
      </c>
      <c r="E19" s="126"/>
      <c r="F19" s="126" t="s">
        <v>879</v>
      </c>
      <c r="G19" s="126" t="s">
        <v>899</v>
      </c>
    </row>
    <row r="20" ht="59.25" customHeight="1">
      <c r="A20" s="137" t="s">
        <v>860</v>
      </c>
      <c r="B20" s="135" t="s">
        <v>898</v>
      </c>
      <c r="C20" s="136" t="s">
        <v>410</v>
      </c>
      <c r="D20" s="138"/>
      <c r="E20" s="138"/>
      <c r="F20" s="126" t="s">
        <v>879</v>
      </c>
      <c r="G20" s="126" t="s">
        <v>883</v>
      </c>
    </row>
    <row r="21">
      <c r="A21" s="126" t="s">
        <v>840</v>
      </c>
      <c r="B21" s="135" t="s">
        <v>898</v>
      </c>
      <c r="C21" s="136" t="s">
        <v>411</v>
      </c>
      <c r="D21" s="126" t="s">
        <v>881</v>
      </c>
      <c r="E21" s="126"/>
      <c r="F21" s="126" t="s">
        <v>879</v>
      </c>
      <c r="G21" s="126" t="s">
        <v>900</v>
      </c>
    </row>
    <row r="22" ht="20.25" customHeight="1">
      <c r="A22" s="137" t="s">
        <v>861</v>
      </c>
      <c r="B22" s="135" t="s">
        <v>898</v>
      </c>
      <c r="C22" s="136" t="s">
        <v>412</v>
      </c>
      <c r="D22" s="126" t="s">
        <v>862</v>
      </c>
      <c r="E22" s="126"/>
      <c r="F22" s="126" t="s">
        <v>886</v>
      </c>
      <c r="G22" s="138"/>
    </row>
    <row r="23" ht="53.25" customHeight="1">
      <c r="A23" s="126" t="s">
        <v>843</v>
      </c>
      <c r="B23" s="135" t="s">
        <v>898</v>
      </c>
      <c r="C23" s="139"/>
      <c r="D23" s="126" t="s">
        <v>888</v>
      </c>
      <c r="E23" s="123" t="s">
        <v>870</v>
      </c>
      <c r="F23" s="123" t="s">
        <v>879</v>
      </c>
      <c r="G23" s="126" t="s">
        <v>901</v>
      </c>
    </row>
    <row r="24">
      <c r="A24" s="126" t="s">
        <v>841</v>
      </c>
      <c r="B24" s="135" t="s">
        <v>898</v>
      </c>
      <c r="C24" s="136" t="s">
        <v>414</v>
      </c>
      <c r="D24" s="126" t="s">
        <v>862</v>
      </c>
      <c r="E24" s="138"/>
      <c r="F24" s="126" t="s">
        <v>886</v>
      </c>
      <c r="G24" s="138"/>
    </row>
    <row r="25">
      <c r="A25" s="126" t="s">
        <v>844</v>
      </c>
      <c r="B25" s="135" t="s">
        <v>898</v>
      </c>
      <c r="C25" s="136" t="s">
        <v>415</v>
      </c>
      <c r="D25" s="126" t="s">
        <v>862</v>
      </c>
      <c r="E25" s="126"/>
      <c r="F25" s="126" t="s">
        <v>886</v>
      </c>
      <c r="G25" s="138"/>
    </row>
    <row r="26">
      <c r="A26" s="126" t="s">
        <v>842</v>
      </c>
      <c r="B26" s="135" t="s">
        <v>898</v>
      </c>
      <c r="C26" s="136" t="s">
        <v>416</v>
      </c>
      <c r="D26" s="138"/>
      <c r="E26" s="140"/>
      <c r="F26" s="140" t="s">
        <v>896</v>
      </c>
      <c r="G26" s="140" t="s">
        <v>902</v>
      </c>
    </row>
    <row r="27">
      <c r="A27" s="141" t="s">
        <v>862</v>
      </c>
      <c r="B27" s="135" t="s">
        <v>898</v>
      </c>
      <c r="C27" s="136" t="s">
        <v>417</v>
      </c>
      <c r="D27" s="126" t="s">
        <v>862</v>
      </c>
      <c r="E27" s="138"/>
      <c r="F27" s="126" t="s">
        <v>886</v>
      </c>
      <c r="G27" s="126" t="s">
        <v>903</v>
      </c>
    </row>
    <row r="28" ht="45.75" customHeight="1">
      <c r="A28" s="123" t="s">
        <v>847</v>
      </c>
      <c r="B28" s="135" t="s">
        <v>898</v>
      </c>
      <c r="C28" s="136" t="s">
        <v>418</v>
      </c>
      <c r="D28" s="126" t="s">
        <v>881</v>
      </c>
      <c r="E28" s="123" t="s">
        <v>893</v>
      </c>
      <c r="F28" s="123" t="s">
        <v>876</v>
      </c>
      <c r="G28" s="126" t="s">
        <v>904</v>
      </c>
    </row>
    <row r="29">
      <c r="A29" s="142" t="s">
        <v>848</v>
      </c>
      <c r="B29" s="143" t="s">
        <v>898</v>
      </c>
      <c r="C29" s="144" t="s">
        <v>419</v>
      </c>
      <c r="D29" s="142" t="s">
        <v>881</v>
      </c>
      <c r="E29" s="140"/>
      <c r="F29" s="140" t="s">
        <v>896</v>
      </c>
      <c r="G29" s="140" t="s">
        <v>897</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3.38"/>
    <col customWidth="1" min="2" max="2" width="3.38"/>
    <col customWidth="1" min="3" max="3" width="27.38"/>
    <col customWidth="1" min="4" max="4" width="17.5"/>
    <col customWidth="1" hidden="1" min="5" max="5" width="21.38"/>
    <col customWidth="1" hidden="1" min="6" max="6" width="24.5"/>
  </cols>
  <sheetData>
    <row r="1">
      <c r="A1" s="100" t="s">
        <v>568</v>
      </c>
      <c r="B1" s="145" t="s">
        <v>618</v>
      </c>
      <c r="C1" s="100" t="s">
        <v>905</v>
      </c>
      <c r="D1" s="100" t="s">
        <v>575</v>
      </c>
      <c r="E1" s="100" t="s">
        <v>906</v>
      </c>
      <c r="F1" s="100" t="s">
        <v>907</v>
      </c>
    </row>
    <row r="2">
      <c r="A2" s="146" t="str">
        <f t="shared" ref="A2:A16" si="1">Substitute(SUBSTITUTE(substitute(substitute(substitute(substitute(substitute(substitute(substitute(lower(C2)," ","-"),"(",""),")",""),"&gt;",""),"&lt;",""),"---","-"),".","-"),"--","-"),"&amp;","and")</f>
        <v>landfill-services</v>
      </c>
      <c r="B2" s="147">
        <v>1.0</v>
      </c>
      <c r="C2" s="148" t="s">
        <v>908</v>
      </c>
      <c r="D2" s="148"/>
      <c r="E2" s="148" t="str">
        <f t="shared" ref="E2:E16" si="2">if(F2="","[]",
"["""&amp;SUBSTITUTE(substitute(SUBSTITUTE(LOWER(F2)," ","-"),",-",","),",", """,""")&amp;"""]")</f>
        <v>["fuzzy-sugar-glider","lazy-sugar-glider","red-lyrebird","lazy-lyrebird","red-possum"]</v>
      </c>
      <c r="F2" s="149" t="s">
        <v>909</v>
      </c>
    </row>
    <row r="3">
      <c r="A3" s="146" t="str">
        <f t="shared" si="1"/>
        <v>hazardous-waste-services</v>
      </c>
      <c r="B3" s="147">
        <v>2.0</v>
      </c>
      <c r="C3" s="148" t="s">
        <v>910</v>
      </c>
      <c r="D3" s="148"/>
      <c r="E3" s="148" t="str">
        <f t="shared" si="2"/>
        <v>["fuzzy-sugar-glider","lazy-sugar-glider","noisy-quokka","spotted-koala","golden-possum","red-possum","wild-cassowary"]</v>
      </c>
      <c r="F3" s="149" t="s">
        <v>911</v>
      </c>
    </row>
    <row r="4">
      <c r="A4" s="146" t="str">
        <f t="shared" si="1"/>
        <v>residual-waste-services</v>
      </c>
      <c r="B4" s="147">
        <v>3.0</v>
      </c>
      <c r="C4" s="148" t="s">
        <v>912</v>
      </c>
      <c r="D4" s="148"/>
      <c r="E4" s="148" t="str">
        <f t="shared" si="2"/>
        <v>["fuzzy-sugar-glider","noisy-quokka","spotted-koala","swift-blue-tongue-skink","secure-waste-destruction-services","fuzzy-sugar-glider","spotted-koala"]</v>
      </c>
      <c r="F4" s="149" t="s">
        <v>913</v>
      </c>
    </row>
    <row r="5">
      <c r="A5" s="146" t="str">
        <f t="shared" si="1"/>
        <v>thermal-waste-to-energy-services</v>
      </c>
      <c r="B5" s="147">
        <v>4.0</v>
      </c>
      <c r="C5" s="148" t="s">
        <v>914</v>
      </c>
      <c r="D5" s="148"/>
      <c r="E5" s="148" t="str">
        <f t="shared" si="2"/>
        <v>[]</v>
      </c>
      <c r="F5" s="150"/>
    </row>
    <row r="6">
      <c r="A6" s="146" t="str">
        <f t="shared" si="1"/>
        <v>e-waste-services</v>
      </c>
      <c r="B6" s="147">
        <v>5.0</v>
      </c>
      <c r="C6" s="148" t="s">
        <v>915</v>
      </c>
      <c r="D6" s="148"/>
      <c r="E6" s="148" t="str">
        <f t="shared" si="2"/>
        <v>["spotted-koala","striped-koala","golden-possum"]</v>
      </c>
      <c r="F6" s="150" t="s">
        <v>916</v>
      </c>
    </row>
    <row r="7">
      <c r="A7" s="146" t="str">
        <f t="shared" si="1"/>
        <v>long-term-waste-containment-services</v>
      </c>
      <c r="B7" s="147">
        <v>6.0</v>
      </c>
      <c r="C7" s="148" t="s">
        <v>917</v>
      </c>
      <c r="D7" s="148"/>
      <c r="E7" s="148" t="str">
        <f t="shared" si="2"/>
        <v>[]</v>
      </c>
      <c r="F7" s="150"/>
    </row>
    <row r="8">
      <c r="A8" s="146" t="str">
        <f t="shared" si="1"/>
        <v>construction-and-demolition-services</v>
      </c>
      <c r="B8" s="147">
        <v>7.0</v>
      </c>
      <c r="C8" s="148" t="s">
        <v>918</v>
      </c>
      <c r="D8" s="148"/>
      <c r="E8" s="148" t="str">
        <f t="shared" si="2"/>
        <v>["spotted-koala","striped-frilled-neck-lizard","
noisy-dingo","silent-rosella"]</v>
      </c>
      <c r="F8" s="150" t="s">
        <v>919</v>
      </c>
    </row>
    <row r="9">
      <c r="A9" s="146" t="str">
        <f t="shared" si="1"/>
        <v>metal-recycling-services</v>
      </c>
      <c r="B9" s="147">
        <v>8.0</v>
      </c>
      <c r="C9" s="148" t="s">
        <v>920</v>
      </c>
      <c r="D9" s="148"/>
      <c r="E9" s="148" t="str">
        <f t="shared" si="2"/>
        <v>["spotted-koala","striped-frilled-neck-lizard","noisy-dingo","silent-rosella"]</v>
      </c>
      <c r="F9" s="149" t="s">
        <v>921</v>
      </c>
    </row>
    <row r="10">
      <c r="A10" s="146" t="str">
        <f t="shared" si="1"/>
        <v>municipal-resource-recovery-centre-and-transfer-station-services</v>
      </c>
      <c r="B10" s="147">
        <v>9.0</v>
      </c>
      <c r="C10" s="148" t="s">
        <v>922</v>
      </c>
      <c r="D10" s="148"/>
      <c r="E10" s="148" t="str">
        <f t="shared" si="2"/>
        <v>["fuzzy-sugar-glider","yellow-australian-magpie"]</v>
      </c>
      <c r="F10" s="149" t="s">
        <v>923</v>
      </c>
    </row>
    <row r="11">
      <c r="A11" s="146" t="str">
        <f t="shared" si="1"/>
        <v>recycling-services-comingled</v>
      </c>
      <c r="B11" s="147">
        <v>10.0</v>
      </c>
      <c r="C11" s="148" t="s">
        <v>924</v>
      </c>
      <c r="D11" s="148"/>
      <c r="E11" s="148" t="str">
        <f t="shared" si="2"/>
        <v>["fuzzy-sugar-glider","noisy-quokka","spotted-koala","swift-blue-tongue-skink","yellow-australian-magpie"]</v>
      </c>
      <c r="F11" s="149" t="s">
        <v>925</v>
      </c>
    </row>
    <row r="12">
      <c r="A12" s="146" t="str">
        <f t="shared" si="1"/>
        <v>organics-services</v>
      </c>
      <c r="B12" s="147">
        <v>11.0</v>
      </c>
      <c r="C12" s="148" t="s">
        <v>926</v>
      </c>
      <c r="D12" s="148"/>
      <c r="E12" s="148" t="str">
        <f t="shared" si="2"/>
        <v>["fuzzy-sugar-glider","noisy-quokka","spotted-koala","swift-blue-tongue-skink","wild-kangaroo","wild-numbat","clever-frilled-neck-lizard","red-possum","public-waste","fuzzy-sugar-glider"]</v>
      </c>
      <c r="F12" s="149" t="s">
        <v>927</v>
      </c>
    </row>
    <row r="13">
      <c r="A13" s="146" t="str">
        <f t="shared" si="1"/>
        <v>public-waste-services</v>
      </c>
      <c r="B13" s="147">
        <v>12.0</v>
      </c>
      <c r="C13" s="148" t="s">
        <v>928</v>
      </c>
      <c r="D13" s="148"/>
      <c r="E13" s="148" t="str">
        <f t="shared" si="2"/>
        <v>[]</v>
      </c>
      <c r="F13" s="150"/>
    </row>
    <row r="14">
      <c r="A14" s="146" t="str">
        <f t="shared" si="1"/>
        <v>secure-waste-destruction-services</v>
      </c>
      <c r="B14" s="147">
        <v>13.0</v>
      </c>
      <c r="C14" s="148" t="s">
        <v>929</v>
      </c>
      <c r="D14" s="148"/>
      <c r="E14" s="148" t="str">
        <f t="shared" si="2"/>
        <v>[]</v>
      </c>
      <c r="F14" s="150"/>
    </row>
    <row r="15">
      <c r="A15" s="146" t="str">
        <f t="shared" si="1"/>
        <v>recycling-services-glass</v>
      </c>
      <c r="B15" s="147">
        <v>14.0</v>
      </c>
      <c r="C15" s="148" t="s">
        <v>930</v>
      </c>
      <c r="D15" s="148"/>
      <c r="E15" s="148" t="str">
        <f t="shared" si="2"/>
        <v>["blue-lyrebird","fuzzy-sugar-glider","noisy-quokka","yellow-australian-magpie"]</v>
      </c>
      <c r="F15" s="149" t="s">
        <v>931</v>
      </c>
    </row>
    <row r="16">
      <c r="A16" s="146" t="str">
        <f t="shared" si="1"/>
        <v>container-deposit-scheme-services-cds</v>
      </c>
      <c r="B16" s="147">
        <v>15.0</v>
      </c>
      <c r="C16" s="148" t="s">
        <v>932</v>
      </c>
      <c r="D16" s="148"/>
      <c r="E16" s="148" t="str">
        <f t="shared" si="2"/>
        <v>["fuzzy-sugar-glider","spotted-cockatoo","tiny-platypus","wild-tasmanian-devil"]</v>
      </c>
      <c r="F16" s="149" t="s">
        <v>933</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13"/>
    <col customWidth="1" min="2" max="2" width="18.63"/>
    <col customWidth="1" min="3" max="3" width="28.38"/>
  </cols>
  <sheetData>
    <row r="1">
      <c r="A1" s="100" t="s">
        <v>905</v>
      </c>
      <c r="B1" s="100" t="s">
        <v>568</v>
      </c>
      <c r="C1" s="100" t="s">
        <v>575</v>
      </c>
    </row>
    <row r="2">
      <c r="A2" s="151" t="s">
        <v>104</v>
      </c>
      <c r="B2" s="152" t="str">
        <f t="shared" ref="B2:B26" si="1">Substitute(SUBSTITUTE(substitute(substitute(substitute(substitute(substitute(substitute(substitute(lower(A2)," ","-"),"(",""),")",""),"&gt;",""),"&lt;",""),"---","-"),".","-"),"--","-"),"&amp;","-and-")</f>
        <v>asbestos</v>
      </c>
      <c r="C2" s="153"/>
    </row>
    <row r="3">
      <c r="A3" s="154" t="s">
        <v>289</v>
      </c>
      <c r="B3" s="155" t="str">
        <f t="shared" si="1"/>
        <v>cleaning</v>
      </c>
      <c r="C3" s="156"/>
    </row>
    <row r="4">
      <c r="A4" s="154" t="s">
        <v>72</v>
      </c>
      <c r="B4" s="155" t="str">
        <f t="shared" si="1"/>
        <v>components</v>
      </c>
      <c r="C4" s="156"/>
    </row>
    <row r="5">
      <c r="A5" s="154" t="s">
        <v>154</v>
      </c>
      <c r="B5" s="155" t="str">
        <f t="shared" si="1"/>
        <v>consultant-services</v>
      </c>
      <c r="C5" s="156"/>
    </row>
    <row r="6">
      <c r="A6" s="154" t="s">
        <v>87</v>
      </c>
      <c r="B6" s="155" t="str">
        <f t="shared" si="1"/>
        <v>feedstock</v>
      </c>
      <c r="C6" s="156"/>
    </row>
    <row r="7">
      <c r="A7" s="154" t="s">
        <v>214</v>
      </c>
      <c r="B7" s="155" t="str">
        <f t="shared" si="1"/>
        <v>fuel</v>
      </c>
      <c r="C7" s="156"/>
    </row>
    <row r="8">
      <c r="A8" s="154" t="s">
        <v>235</v>
      </c>
      <c r="B8" s="155" t="str">
        <f t="shared" si="1"/>
        <v>gas</v>
      </c>
      <c r="C8" s="156"/>
    </row>
    <row r="9">
      <c r="A9" s="154" t="s">
        <v>265</v>
      </c>
      <c r="B9" s="155" t="str">
        <f t="shared" si="1"/>
        <v>hse</v>
      </c>
      <c r="C9" s="156"/>
    </row>
    <row r="10">
      <c r="A10" s="154" t="s">
        <v>340</v>
      </c>
      <c r="B10" s="155" t="str">
        <f t="shared" si="1"/>
        <v>local-government</v>
      </c>
      <c r="C10" s="156"/>
    </row>
    <row r="11">
      <c r="A11" s="154" t="s">
        <v>476</v>
      </c>
      <c r="B11" s="155" t="str">
        <f t="shared" si="1"/>
        <v>partners</v>
      </c>
      <c r="C11" s="156"/>
    </row>
    <row r="12">
      <c r="A12" s="154" t="s">
        <v>178</v>
      </c>
      <c r="B12" s="155" t="str">
        <f t="shared" si="1"/>
        <v>plant-and-equipment</v>
      </c>
      <c r="C12" s="156"/>
    </row>
    <row r="13">
      <c r="A13" s="154" t="s">
        <v>112</v>
      </c>
      <c r="B13" s="155" t="str">
        <f t="shared" si="1"/>
        <v>power</v>
      </c>
      <c r="C13" s="156"/>
    </row>
    <row r="14">
      <c r="A14" s="154" t="s">
        <v>502</v>
      </c>
      <c r="B14" s="155" t="str">
        <f t="shared" si="1"/>
        <v>processing</v>
      </c>
      <c r="C14" s="156"/>
    </row>
    <row r="15">
      <c r="A15" s="154" t="s">
        <v>425</v>
      </c>
      <c r="B15" s="155" t="str">
        <f t="shared" si="1"/>
        <v>recycled-material</v>
      </c>
      <c r="C15" s="156"/>
    </row>
    <row r="16">
      <c r="A16" s="154" t="s">
        <v>149</v>
      </c>
      <c r="B16" s="155" t="str">
        <f t="shared" si="1"/>
        <v>regulator</v>
      </c>
      <c r="C16" s="156"/>
    </row>
    <row r="17">
      <c r="A17" s="154" t="s">
        <v>100</v>
      </c>
      <c r="B17" s="155" t="str">
        <f t="shared" si="1"/>
        <v>repairs-and-maintenance</v>
      </c>
      <c r="C17" s="156"/>
    </row>
    <row r="18">
      <c r="A18" s="154" t="s">
        <v>170</v>
      </c>
      <c r="B18" s="155" t="str">
        <f t="shared" si="1"/>
        <v>techonology</v>
      </c>
      <c r="C18" s="156"/>
    </row>
    <row r="19">
      <c r="A19" s="154" t="s">
        <v>327</v>
      </c>
      <c r="B19" s="155" t="str">
        <f t="shared" si="1"/>
        <v>telecommunications</v>
      </c>
      <c r="C19" s="156"/>
    </row>
    <row r="20">
      <c r="A20" s="154" t="s">
        <v>36</v>
      </c>
      <c r="B20" s="155" t="str">
        <f t="shared" si="1"/>
        <v>transport</v>
      </c>
      <c r="C20" s="156"/>
    </row>
    <row r="21">
      <c r="A21" s="154" t="s">
        <v>188</v>
      </c>
      <c r="B21" s="155" t="str">
        <f t="shared" si="1"/>
        <v>waste-collection</v>
      </c>
      <c r="C21" s="156"/>
    </row>
    <row r="22">
      <c r="A22" s="154" t="s">
        <v>934</v>
      </c>
      <c r="B22" s="155" t="str">
        <f t="shared" si="1"/>
        <v>waste-disposal</v>
      </c>
      <c r="C22" s="156"/>
    </row>
    <row r="23">
      <c r="A23" s="154" t="s">
        <v>253</v>
      </c>
      <c r="B23" s="155" t="str">
        <f t="shared" si="1"/>
        <v>waste-generation</v>
      </c>
      <c r="C23" s="156"/>
    </row>
    <row r="24">
      <c r="A24" s="154" t="s">
        <v>935</v>
      </c>
      <c r="B24" s="155" t="str">
        <f t="shared" si="1"/>
        <v>waste-processing</v>
      </c>
      <c r="C24" s="156"/>
    </row>
    <row r="25">
      <c r="A25" s="154" t="s">
        <v>109</v>
      </c>
      <c r="B25" s="155" t="str">
        <f t="shared" si="1"/>
        <v>water</v>
      </c>
      <c r="C25" s="156"/>
    </row>
    <row r="26">
      <c r="A26" s="157" t="s">
        <v>34</v>
      </c>
      <c r="B26" s="158" t="str">
        <f t="shared" si="1"/>
        <v>not-provided</v>
      </c>
      <c r="C26" s="159"/>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sheetViews>
  <sheetFormatPr customHeight="1" defaultColWidth="12.63" defaultRowHeight="15.75"/>
  <cols>
    <col customWidth="1" min="1" max="1" width="11.5"/>
    <col customWidth="1" min="2" max="2" width="12.88"/>
    <col customWidth="1" min="3" max="3" width="23.63"/>
    <col customWidth="1" min="4" max="4" width="25.88"/>
  </cols>
  <sheetData>
    <row r="1" ht="16.5" customHeight="1">
      <c r="A1" s="100" t="s">
        <v>568</v>
      </c>
      <c r="B1" s="100" t="s">
        <v>905</v>
      </c>
      <c r="C1" s="100" t="s">
        <v>575</v>
      </c>
      <c r="D1" s="100" t="s">
        <v>868</v>
      </c>
    </row>
    <row r="2" ht="21.75" customHeight="1">
      <c r="A2" s="160" t="s">
        <v>577</v>
      </c>
      <c r="B2" s="65" t="s">
        <v>32</v>
      </c>
      <c r="C2" s="65" t="s">
        <v>32</v>
      </c>
      <c r="D2" s="161"/>
    </row>
    <row r="3" ht="21.75" customHeight="1">
      <c r="A3" s="162" t="s">
        <v>618</v>
      </c>
      <c r="B3" s="70" t="s">
        <v>31</v>
      </c>
      <c r="C3" s="70" t="s">
        <v>31</v>
      </c>
      <c r="D3" s="163"/>
    </row>
    <row r="4" ht="21.75" customHeight="1">
      <c r="A4" s="162" t="str">
        <f t="shared" ref="A4:A5" si="1">Substitute(SUBSTITUTE(substitute(substitute(substitute(substitute(substitute(substitute(substitute(lower(B4)," ","-"),"(",""),")",""),"&gt;",""),"&lt;",""),"---","-"),".","-"),"--","-"),"&amp;","-and-")</f>
        <v>partially</v>
      </c>
      <c r="B4" s="70" t="s">
        <v>216</v>
      </c>
      <c r="C4" s="70" t="s">
        <v>936</v>
      </c>
      <c r="D4" s="90" t="s">
        <v>937</v>
      </c>
    </row>
    <row r="5" ht="21.75" customHeight="1">
      <c r="A5" s="164" t="str">
        <f t="shared" si="1"/>
        <v>not-provided</v>
      </c>
      <c r="B5" s="92" t="s">
        <v>34</v>
      </c>
      <c r="C5" s="92" t="s">
        <v>938</v>
      </c>
      <c r="D5" s="165"/>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12.38"/>
    <col customWidth="1" min="2" max="2" width="12.0"/>
    <col customWidth="1" min="3" max="3" width="23.63"/>
    <col customWidth="1" min="4" max="4" width="9.25"/>
    <col customWidth="1" min="5" max="5" width="6.5"/>
    <col customWidth="1" min="6" max="6" width="15.5"/>
    <col customWidth="1" min="7" max="7" width="25.88"/>
  </cols>
  <sheetData>
    <row r="1" ht="29.25" customHeight="1">
      <c r="A1" s="84" t="s">
        <v>905</v>
      </c>
      <c r="B1" s="84" t="s">
        <v>568</v>
      </c>
      <c r="C1" s="84" t="s">
        <v>575</v>
      </c>
      <c r="D1" s="84" t="s">
        <v>939</v>
      </c>
      <c r="E1" s="84" t="s">
        <v>940</v>
      </c>
      <c r="F1" s="84" t="s">
        <v>941</v>
      </c>
      <c r="G1" s="84" t="s">
        <v>868</v>
      </c>
    </row>
    <row r="2" ht="22.5" customHeight="1">
      <c r="A2" s="64" t="s">
        <v>84</v>
      </c>
      <c r="B2" s="166" t="str">
        <f t="shared" ref="B2:B12" si="1">Substitute(SUBSTITUTE(substitute(substitute(substitute(substitute(substitute(substitute(substitute(lower(A2)," ","-"),"(",""),")",""),"&gt;",""),"&lt;",""),"---","-"),".","-"),"--","-"),"&amp;","-and-")</f>
        <v>daily</v>
      </c>
      <c r="C2" s="65" t="s">
        <v>942</v>
      </c>
      <c r="D2" s="167">
        <v>1.0</v>
      </c>
      <c r="E2" s="167" t="s">
        <v>943</v>
      </c>
      <c r="F2" s="168"/>
      <c r="G2" s="168"/>
    </row>
    <row r="3" ht="22.5" customHeight="1">
      <c r="A3" s="169" t="s">
        <v>184</v>
      </c>
      <c r="B3" s="170" t="str">
        <f t="shared" si="1"/>
        <v>weekly</v>
      </c>
      <c r="C3" s="70" t="s">
        <v>944</v>
      </c>
      <c r="D3" s="171">
        <v>1.0</v>
      </c>
      <c r="E3" s="171" t="s">
        <v>945</v>
      </c>
      <c r="F3" s="172"/>
      <c r="G3" s="172"/>
    </row>
    <row r="4" ht="22.5" customHeight="1">
      <c r="A4" s="69" t="s">
        <v>158</v>
      </c>
      <c r="B4" s="170" t="str">
        <f t="shared" si="1"/>
        <v>monthly</v>
      </c>
      <c r="C4" s="70" t="s">
        <v>946</v>
      </c>
      <c r="D4" s="171">
        <v>1.0</v>
      </c>
      <c r="E4" s="171" t="s">
        <v>947</v>
      </c>
      <c r="F4" s="172"/>
      <c r="G4" s="172"/>
    </row>
    <row r="5" ht="22.5" customHeight="1">
      <c r="A5" s="69" t="s">
        <v>162</v>
      </c>
      <c r="B5" s="170" t="str">
        <f t="shared" si="1"/>
        <v>quarterly</v>
      </c>
      <c r="C5" s="70" t="s">
        <v>948</v>
      </c>
      <c r="D5" s="69">
        <v>3.0</v>
      </c>
      <c r="E5" s="171" t="s">
        <v>947</v>
      </c>
      <c r="F5" s="172"/>
      <c r="G5" s="172"/>
    </row>
    <row r="6" ht="22.5" customHeight="1">
      <c r="A6" s="69" t="s">
        <v>152</v>
      </c>
      <c r="B6" s="170" t="str">
        <f t="shared" si="1"/>
        <v>triennial</v>
      </c>
      <c r="C6" s="70" t="s">
        <v>949</v>
      </c>
      <c r="D6" s="69">
        <v>4.0</v>
      </c>
      <c r="E6" s="171" t="s">
        <v>947</v>
      </c>
      <c r="F6" s="172"/>
      <c r="G6" s="172"/>
    </row>
    <row r="7" ht="22.5" customHeight="1">
      <c r="A7" s="69" t="s">
        <v>950</v>
      </c>
      <c r="B7" s="170" t="str">
        <f t="shared" si="1"/>
        <v>biannual</v>
      </c>
      <c r="C7" s="70" t="s">
        <v>951</v>
      </c>
      <c r="D7" s="69">
        <v>6.0</v>
      </c>
      <c r="E7" s="171" t="s">
        <v>947</v>
      </c>
      <c r="F7" s="172"/>
      <c r="G7" s="172"/>
    </row>
    <row r="8" ht="22.5" customHeight="1">
      <c r="A8" s="69" t="s">
        <v>143</v>
      </c>
      <c r="B8" s="170" t="str">
        <f t="shared" si="1"/>
        <v>annual</v>
      </c>
      <c r="C8" s="70" t="s">
        <v>952</v>
      </c>
      <c r="D8" s="69">
        <v>12.0</v>
      </c>
      <c r="E8" s="171" t="s">
        <v>947</v>
      </c>
      <c r="F8" s="172"/>
      <c r="G8" s="172"/>
    </row>
    <row r="9" ht="22.5" customHeight="1">
      <c r="A9" s="69" t="s">
        <v>953</v>
      </c>
      <c r="B9" s="170" t="str">
        <f t="shared" si="1"/>
        <v>ad-hoc</v>
      </c>
      <c r="C9" s="70" t="s">
        <v>954</v>
      </c>
      <c r="D9" s="173" t="s">
        <v>955</v>
      </c>
      <c r="E9" s="172"/>
      <c r="F9" s="172"/>
      <c r="G9" s="172"/>
    </row>
    <row r="10" ht="22.5" customHeight="1">
      <c r="A10" s="69" t="s">
        <v>956</v>
      </c>
      <c r="B10" s="170" t="str">
        <f t="shared" si="1"/>
        <v>unknown</v>
      </c>
      <c r="C10" s="70" t="s">
        <v>957</v>
      </c>
      <c r="D10" s="173" t="s">
        <v>955</v>
      </c>
      <c r="E10" s="172"/>
      <c r="F10" s="172"/>
      <c r="G10" s="172"/>
    </row>
    <row r="11" ht="22.5" customHeight="1">
      <c r="A11" s="171" t="s">
        <v>34</v>
      </c>
      <c r="B11" s="170" t="str">
        <f t="shared" si="1"/>
        <v>not-provided</v>
      </c>
      <c r="C11" s="70" t="s">
        <v>958</v>
      </c>
      <c r="D11" s="173" t="s">
        <v>955</v>
      </c>
      <c r="E11" s="172"/>
      <c r="F11" s="174"/>
      <c r="G11" s="175"/>
    </row>
    <row r="12" ht="22.5" customHeight="1">
      <c r="A12" s="98" t="s">
        <v>255</v>
      </c>
      <c r="B12" s="176" t="str">
        <f t="shared" si="1"/>
        <v>ceased</v>
      </c>
      <c r="C12" s="92" t="s">
        <v>959</v>
      </c>
      <c r="D12" s="177" t="s">
        <v>955</v>
      </c>
      <c r="E12" s="178"/>
      <c r="F12" s="178"/>
      <c r="G12" s="179" t="s">
        <v>960</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sheetViews>
  <sheetFormatPr customHeight="1" defaultColWidth="12.63" defaultRowHeight="15.75"/>
  <cols>
    <col customWidth="1" min="1" max="1" width="20.13"/>
    <col customWidth="1" min="2" max="3" width="23.63"/>
    <col customWidth="1" min="4" max="4" width="25.88"/>
  </cols>
  <sheetData>
    <row r="1" ht="16.5" customHeight="1">
      <c r="A1" s="100" t="s">
        <v>568</v>
      </c>
      <c r="B1" s="100" t="s">
        <v>905</v>
      </c>
      <c r="C1" s="100" t="s">
        <v>575</v>
      </c>
      <c r="D1" s="100" t="s">
        <v>868</v>
      </c>
    </row>
    <row r="2">
      <c r="A2" s="180" t="str">
        <f t="shared" ref="A2:A7" si="1">Substitute(SUBSTITUTE(substitute(substitute(substitute(substitute(substitute(substitute(substitute(lower(B2)," ","-"),"(",""),")",""),"&gt;",""),"&lt;",""),"---","-"),".","-"),"--","-"),"&amp;","-and-")</f>
        <v>alternative-supplier</v>
      </c>
      <c r="B2" s="5" t="s">
        <v>33</v>
      </c>
      <c r="C2" s="5"/>
      <c r="D2" s="181"/>
    </row>
    <row r="3">
      <c r="A3" s="180" t="str">
        <f t="shared" si="1"/>
        <v>bc-strategy</v>
      </c>
      <c r="B3" s="5" t="s">
        <v>304</v>
      </c>
      <c r="C3" s="5"/>
      <c r="D3" s="181" t="s">
        <v>961</v>
      </c>
    </row>
    <row r="4">
      <c r="A4" s="180" t="str">
        <f t="shared" si="1"/>
        <v>generator</v>
      </c>
      <c r="B4" s="5" t="s">
        <v>360</v>
      </c>
      <c r="C4" s="5"/>
      <c r="D4" s="182"/>
    </row>
    <row r="5">
      <c r="A5" s="180" t="str">
        <f t="shared" si="1"/>
        <v>manual-processes</v>
      </c>
      <c r="B5" s="5" t="s">
        <v>173</v>
      </c>
      <c r="C5" s="5"/>
      <c r="D5" s="182"/>
    </row>
    <row r="6">
      <c r="A6" s="180" t="str">
        <f t="shared" si="1"/>
        <v>stockpiling</v>
      </c>
      <c r="B6" s="5" t="s">
        <v>55</v>
      </c>
      <c r="D6" s="182"/>
    </row>
    <row r="7">
      <c r="A7" s="180" t="str">
        <f t="shared" si="1"/>
        <v>not-provided</v>
      </c>
      <c r="B7" s="5" t="s">
        <v>34</v>
      </c>
      <c r="C7" s="5"/>
      <c r="D7" s="182"/>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sheetViews>
  <sheetFormatPr customHeight="1" defaultColWidth="12.63" defaultRowHeight="15.75"/>
  <cols>
    <col customWidth="1" min="1" max="1" width="23.63"/>
    <col customWidth="1" min="2" max="2" width="20.13"/>
    <col customWidth="1" min="3" max="3" width="23.63"/>
    <col customWidth="1" min="4" max="4" width="25.88"/>
  </cols>
  <sheetData>
    <row r="1" ht="16.5" customHeight="1">
      <c r="A1" s="100" t="s">
        <v>905</v>
      </c>
      <c r="B1" s="100" t="s">
        <v>568</v>
      </c>
      <c r="C1" s="100" t="s">
        <v>575</v>
      </c>
      <c r="D1" s="100" t="s">
        <v>868</v>
      </c>
    </row>
    <row r="2">
      <c r="A2" s="5" t="s">
        <v>422</v>
      </c>
      <c r="B2" s="180" t="str">
        <f t="shared" ref="B2:B5" si="1">Substitute(SUBSTITUTE(substitute(substitute(substitute(substitute(substitute(substitute(substitute(lower(A2)," ","-"),"(",""),")",""),"&gt;",""),"&lt;",""),"---","-"),".","-"),"--","-"),"&amp;","-and-")</f>
        <v>same-region</v>
      </c>
      <c r="C2" s="5"/>
      <c r="D2" s="181" t="s">
        <v>962</v>
      </c>
    </row>
    <row r="3">
      <c r="A3" s="5" t="s">
        <v>469</v>
      </c>
      <c r="B3" s="180" t="str">
        <f t="shared" si="1"/>
        <v>spread-across-multiple-regions</v>
      </c>
      <c r="C3" s="5"/>
      <c r="D3" s="182"/>
    </row>
    <row r="4">
      <c r="A4" s="5" t="s">
        <v>439</v>
      </c>
      <c r="B4" s="180" t="str">
        <f t="shared" si="1"/>
        <v>statewide</v>
      </c>
      <c r="C4" s="5"/>
      <c r="D4" s="182"/>
    </row>
    <row r="5">
      <c r="A5" s="5" t="s">
        <v>34</v>
      </c>
      <c r="B5" s="180" t="str">
        <f t="shared" si="1"/>
        <v>not-provided</v>
      </c>
      <c r="C5" s="5"/>
      <c r="D5" s="182"/>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4.25"/>
    <col customWidth="1" min="2" max="2" width="21.75"/>
    <col customWidth="1" min="3" max="3" width="46.13"/>
    <col customWidth="1" min="5" max="5" width="34.5"/>
  </cols>
  <sheetData>
    <row r="1">
      <c r="A1" s="8"/>
      <c r="B1" s="8"/>
      <c r="C1" s="8"/>
      <c r="D1" s="8"/>
      <c r="E1" s="8"/>
      <c r="F1" s="8"/>
    </row>
    <row r="2">
      <c r="A2" s="8"/>
      <c r="B2" s="9" t="s">
        <v>963</v>
      </c>
      <c r="C2" s="8"/>
      <c r="D2" s="8"/>
      <c r="E2" s="8"/>
      <c r="F2" s="8"/>
    </row>
    <row r="3">
      <c r="A3" s="8"/>
      <c r="B3" s="8"/>
      <c r="C3" s="8"/>
      <c r="D3" s="8"/>
      <c r="E3" s="8"/>
      <c r="F3" s="8"/>
    </row>
    <row r="4" ht="75.0" customHeight="1">
      <c r="A4" s="8"/>
      <c r="B4" s="183" t="s">
        <v>964</v>
      </c>
      <c r="D4" s="8"/>
      <c r="E4" s="8"/>
      <c r="F4" s="8"/>
    </row>
    <row r="5">
      <c r="A5" s="8"/>
      <c r="B5" s="8"/>
      <c r="C5" s="8"/>
      <c r="D5" s="8"/>
      <c r="E5" s="8"/>
      <c r="F5" s="8"/>
    </row>
    <row r="6" ht="24.0" customHeight="1">
      <c r="A6" s="56"/>
      <c r="B6" s="57" t="s">
        <v>537</v>
      </c>
      <c r="C6" s="57" t="s">
        <v>538</v>
      </c>
      <c r="D6" s="57" t="s">
        <v>539</v>
      </c>
      <c r="E6" s="57" t="s">
        <v>541</v>
      </c>
      <c r="F6" s="56"/>
    </row>
    <row r="7" ht="64.5" customHeight="1">
      <c r="A7" s="8"/>
      <c r="B7" s="58" t="s">
        <v>965</v>
      </c>
      <c r="C7" s="58"/>
      <c r="D7" s="58"/>
      <c r="E7" s="58"/>
      <c r="F7" s="8"/>
    </row>
    <row r="8" ht="61.5" customHeight="1">
      <c r="A8" s="8"/>
      <c r="B8" s="59" t="s">
        <v>966</v>
      </c>
      <c r="C8" s="59"/>
      <c r="D8" s="59"/>
      <c r="E8" s="59"/>
      <c r="F8" s="8"/>
    </row>
    <row r="9" ht="61.5" customHeight="1">
      <c r="A9" s="8"/>
      <c r="B9" s="59" t="s">
        <v>967</v>
      </c>
      <c r="C9" s="59"/>
      <c r="D9" s="59"/>
      <c r="E9" s="59"/>
      <c r="F9" s="8"/>
    </row>
    <row r="10" ht="76.5" customHeight="1">
      <c r="A10" s="8"/>
      <c r="B10" s="59" t="s">
        <v>968</v>
      </c>
      <c r="C10" s="59"/>
      <c r="D10" s="59"/>
      <c r="E10" s="59"/>
      <c r="F10" s="8"/>
    </row>
    <row r="11">
      <c r="A11" s="8"/>
      <c r="B11" s="8"/>
      <c r="C11" s="8"/>
      <c r="D11" s="8"/>
      <c r="E11" s="8"/>
      <c r="F11" s="8"/>
    </row>
    <row r="12">
      <c r="A12" s="8"/>
      <c r="B12" s="8"/>
      <c r="C12" s="8"/>
      <c r="D12" s="8"/>
      <c r="E12" s="8"/>
      <c r="F12" s="8"/>
    </row>
    <row r="13">
      <c r="A13" s="8"/>
      <c r="B13" s="8"/>
      <c r="C13" s="8"/>
      <c r="D13" s="8"/>
      <c r="E13" s="8"/>
      <c r="F13" s="8"/>
    </row>
    <row r="14">
      <c r="A14" s="8"/>
      <c r="B14" s="8"/>
      <c r="C14" s="8"/>
      <c r="D14" s="8"/>
      <c r="E14" s="8"/>
      <c r="F14" s="8"/>
    </row>
    <row r="15">
      <c r="A15" s="8"/>
      <c r="B15" s="8"/>
      <c r="C15" s="8"/>
      <c r="D15" s="8"/>
      <c r="E15" s="8"/>
      <c r="F15" s="8"/>
    </row>
    <row r="16">
      <c r="A16" s="8"/>
      <c r="B16" s="8"/>
      <c r="C16" s="8"/>
      <c r="D16" s="8"/>
      <c r="E16" s="8"/>
      <c r="F16" s="8"/>
    </row>
    <row r="17">
      <c r="A17" s="8"/>
      <c r="B17" s="8"/>
      <c r="C17" s="8"/>
      <c r="D17" s="8"/>
      <c r="E17" s="8"/>
      <c r="F17" s="8"/>
    </row>
    <row r="18">
      <c r="A18" s="8"/>
      <c r="B18" s="8"/>
      <c r="C18" s="8"/>
      <c r="D18" s="8"/>
      <c r="E18" s="8"/>
      <c r="F18" s="8"/>
    </row>
    <row r="19">
      <c r="A19" s="8"/>
      <c r="B19" s="8"/>
      <c r="C19" s="8"/>
      <c r="D19" s="8"/>
      <c r="E19" s="8"/>
      <c r="F19" s="8"/>
    </row>
    <row r="20">
      <c r="A20" s="8"/>
      <c r="B20" s="8"/>
      <c r="C20" s="8"/>
      <c r="D20" s="8"/>
      <c r="E20" s="8"/>
      <c r="F20" s="8"/>
    </row>
    <row r="21">
      <c r="A21" s="8"/>
      <c r="B21" s="8"/>
      <c r="C21" s="8"/>
      <c r="D21" s="8"/>
      <c r="E21" s="8"/>
      <c r="F21" s="8"/>
    </row>
    <row r="22">
      <c r="A22" s="8"/>
      <c r="B22" s="8"/>
      <c r="C22" s="8"/>
      <c r="D22" s="8"/>
      <c r="E22" s="8"/>
      <c r="F22" s="8"/>
    </row>
    <row r="23">
      <c r="A23" s="8"/>
      <c r="B23" s="8"/>
      <c r="C23" s="8"/>
      <c r="D23" s="8"/>
      <c r="E23" s="8"/>
      <c r="F23" s="8"/>
    </row>
    <row r="24">
      <c r="A24" s="8"/>
      <c r="B24" s="8"/>
      <c r="C24" s="8"/>
      <c r="D24" s="8"/>
      <c r="E24" s="8"/>
      <c r="F24" s="8"/>
    </row>
    <row r="25">
      <c r="A25" s="8"/>
      <c r="B25" s="8"/>
      <c r="C25" s="8"/>
      <c r="D25" s="8"/>
      <c r="E25" s="8"/>
      <c r="F25" s="8"/>
    </row>
    <row r="26">
      <c r="A26" s="8"/>
      <c r="B26" s="8"/>
      <c r="C26" s="8"/>
      <c r="D26" s="8"/>
      <c r="E26" s="8"/>
      <c r="F26" s="8"/>
    </row>
    <row r="27">
      <c r="A27" s="8"/>
      <c r="B27" s="8"/>
      <c r="C27" s="8"/>
      <c r="D27" s="8"/>
      <c r="E27" s="8"/>
      <c r="F27" s="8"/>
    </row>
    <row r="28">
      <c r="A28" s="8"/>
      <c r="B28" s="8"/>
      <c r="C28" s="8"/>
      <c r="D28" s="8"/>
      <c r="E28" s="8"/>
      <c r="F28" s="8"/>
    </row>
    <row r="29">
      <c r="A29" s="8"/>
      <c r="B29" s="8"/>
      <c r="C29" s="8"/>
      <c r="D29" s="8"/>
      <c r="E29" s="8"/>
      <c r="F29" s="8"/>
    </row>
    <row r="30">
      <c r="A30" s="8"/>
      <c r="B30" s="8"/>
      <c r="C30" s="8"/>
      <c r="D30" s="8"/>
      <c r="E30" s="8"/>
      <c r="F30" s="8"/>
    </row>
    <row r="31">
      <c r="A31" s="8"/>
      <c r="B31" s="8"/>
      <c r="C31" s="8"/>
      <c r="D31" s="8"/>
      <c r="E31" s="8"/>
      <c r="F31" s="8"/>
    </row>
    <row r="32">
      <c r="A32" s="8"/>
      <c r="B32" s="8"/>
      <c r="C32" s="8"/>
      <c r="D32" s="8"/>
      <c r="E32" s="8"/>
      <c r="F32" s="8"/>
    </row>
    <row r="33">
      <c r="A33" s="8"/>
      <c r="B33" s="8"/>
      <c r="C33" s="8"/>
      <c r="D33" s="8"/>
      <c r="E33" s="8"/>
      <c r="F33" s="8"/>
    </row>
    <row r="34">
      <c r="A34" s="8"/>
      <c r="B34" s="8"/>
      <c r="C34" s="8"/>
      <c r="D34" s="8"/>
      <c r="E34" s="8"/>
      <c r="F34" s="8"/>
    </row>
    <row r="35">
      <c r="A35" s="8"/>
      <c r="B35" s="8"/>
      <c r="C35" s="8"/>
      <c r="D35" s="8"/>
      <c r="E35" s="8"/>
      <c r="F35" s="8"/>
    </row>
    <row r="36">
      <c r="A36" s="8"/>
      <c r="B36" s="8"/>
      <c r="C36" s="8"/>
      <c r="D36" s="8"/>
      <c r="E36" s="8"/>
      <c r="F36" s="8"/>
    </row>
    <row r="37">
      <c r="A37" s="8"/>
      <c r="B37" s="8"/>
      <c r="C37" s="8"/>
      <c r="D37" s="8"/>
      <c r="E37" s="8"/>
      <c r="F37" s="8"/>
    </row>
    <row r="38">
      <c r="A38" s="8"/>
      <c r="B38" s="8"/>
      <c r="C38" s="8"/>
      <c r="D38" s="8"/>
      <c r="E38" s="8"/>
      <c r="F38" s="8"/>
    </row>
    <row r="39">
      <c r="A39" s="8"/>
      <c r="B39" s="8"/>
      <c r="C39" s="8"/>
      <c r="D39" s="8"/>
      <c r="E39" s="8"/>
      <c r="F39" s="8"/>
    </row>
    <row r="40">
      <c r="A40" s="8"/>
      <c r="B40" s="8"/>
      <c r="C40" s="8"/>
      <c r="D40" s="8"/>
      <c r="E40" s="8"/>
      <c r="F40" s="8"/>
    </row>
    <row r="41">
      <c r="A41" s="8"/>
      <c r="B41" s="8"/>
      <c r="C41" s="8"/>
      <c r="D41" s="8"/>
      <c r="E41" s="8"/>
      <c r="F41" s="8"/>
    </row>
    <row r="42">
      <c r="A42" s="8"/>
      <c r="B42" s="8"/>
      <c r="C42" s="8"/>
      <c r="D42" s="8"/>
      <c r="E42" s="8"/>
      <c r="F42" s="8"/>
    </row>
    <row r="43">
      <c r="A43" s="8"/>
      <c r="B43" s="8"/>
      <c r="C43" s="8"/>
      <c r="D43" s="8"/>
      <c r="E43" s="8"/>
      <c r="F43" s="8"/>
    </row>
    <row r="44">
      <c r="A44" s="8"/>
      <c r="B44" s="8"/>
      <c r="C44" s="8"/>
      <c r="D44" s="8"/>
      <c r="E44" s="8"/>
      <c r="F44" s="8"/>
    </row>
    <row r="45">
      <c r="A45" s="8"/>
      <c r="B45" s="8"/>
      <c r="C45" s="8"/>
      <c r="D45" s="8"/>
      <c r="E45" s="8"/>
      <c r="F45" s="8"/>
    </row>
    <row r="46">
      <c r="A46" s="8"/>
      <c r="B46" s="8"/>
      <c r="C46" s="8"/>
      <c r="D46" s="8"/>
      <c r="E46" s="8"/>
      <c r="F46" s="8"/>
    </row>
    <row r="47">
      <c r="A47" s="8"/>
      <c r="B47" s="8"/>
      <c r="C47" s="8"/>
      <c r="D47" s="8"/>
      <c r="E47" s="8"/>
      <c r="F47" s="8"/>
    </row>
    <row r="48">
      <c r="A48" s="8"/>
      <c r="B48" s="8"/>
      <c r="C48" s="8"/>
      <c r="D48" s="8"/>
      <c r="E48" s="8"/>
      <c r="F48" s="8"/>
    </row>
    <row r="49">
      <c r="A49" s="8"/>
      <c r="B49" s="8"/>
      <c r="C49" s="8"/>
      <c r="D49" s="8"/>
      <c r="E49" s="8"/>
      <c r="F49" s="8"/>
    </row>
    <row r="50">
      <c r="A50" s="8"/>
      <c r="B50" s="8"/>
      <c r="C50" s="8"/>
      <c r="D50" s="8"/>
      <c r="E50" s="8"/>
      <c r="F50" s="8"/>
    </row>
    <row r="51">
      <c r="A51" s="8"/>
      <c r="B51" s="8"/>
      <c r="C51" s="8"/>
      <c r="D51" s="8"/>
      <c r="E51" s="8"/>
      <c r="F51" s="8"/>
    </row>
    <row r="52">
      <c r="A52" s="8"/>
      <c r="B52" s="8"/>
      <c r="C52" s="8"/>
      <c r="D52" s="8"/>
      <c r="E52" s="8"/>
      <c r="F52" s="8"/>
    </row>
    <row r="53">
      <c r="A53" s="8"/>
      <c r="B53" s="8"/>
      <c r="C53" s="8"/>
      <c r="D53" s="8"/>
      <c r="E53" s="8"/>
      <c r="F53" s="8"/>
    </row>
    <row r="54">
      <c r="A54" s="8"/>
      <c r="B54" s="8"/>
      <c r="C54" s="8"/>
      <c r="D54" s="8"/>
      <c r="E54" s="8"/>
      <c r="F54" s="8"/>
    </row>
    <row r="55">
      <c r="A55" s="8"/>
      <c r="B55" s="8"/>
      <c r="C55" s="8"/>
      <c r="D55" s="8"/>
      <c r="E55" s="8"/>
      <c r="F55" s="8"/>
    </row>
    <row r="56">
      <c r="A56" s="8"/>
      <c r="B56" s="8"/>
      <c r="C56" s="8"/>
      <c r="D56" s="8"/>
      <c r="E56" s="8"/>
      <c r="F56" s="8"/>
    </row>
    <row r="57">
      <c r="A57" s="8"/>
      <c r="B57" s="8"/>
      <c r="C57" s="8"/>
      <c r="D57" s="8"/>
      <c r="E57" s="8"/>
      <c r="F57" s="8"/>
    </row>
    <row r="58">
      <c r="A58" s="8"/>
      <c r="B58" s="8"/>
      <c r="C58" s="8"/>
      <c r="D58" s="8"/>
      <c r="E58" s="8"/>
      <c r="F58" s="8"/>
    </row>
    <row r="59">
      <c r="A59" s="8"/>
      <c r="B59" s="8"/>
      <c r="C59" s="8"/>
      <c r="D59" s="8"/>
      <c r="E59" s="8"/>
      <c r="F59" s="8"/>
    </row>
    <row r="60">
      <c r="A60" s="8"/>
      <c r="B60" s="8"/>
      <c r="C60" s="8"/>
      <c r="D60" s="8"/>
      <c r="E60" s="8"/>
      <c r="F60" s="8"/>
    </row>
    <row r="61">
      <c r="A61" s="8"/>
      <c r="B61" s="8"/>
      <c r="C61" s="8"/>
      <c r="D61" s="8"/>
      <c r="E61" s="8"/>
      <c r="F61" s="8"/>
    </row>
    <row r="62">
      <c r="A62" s="8"/>
      <c r="B62" s="8"/>
      <c r="C62" s="8"/>
      <c r="D62" s="8"/>
      <c r="E62" s="8"/>
      <c r="F62" s="8"/>
    </row>
    <row r="63">
      <c r="A63" s="8"/>
      <c r="B63" s="8"/>
      <c r="C63" s="8"/>
      <c r="D63" s="8"/>
      <c r="E63" s="8"/>
      <c r="F63" s="8"/>
    </row>
    <row r="64">
      <c r="A64" s="8"/>
      <c r="B64" s="8"/>
      <c r="C64" s="8"/>
      <c r="D64" s="8"/>
      <c r="E64" s="8"/>
      <c r="F64" s="8"/>
    </row>
    <row r="65">
      <c r="A65" s="8"/>
      <c r="B65" s="8"/>
      <c r="C65" s="8"/>
      <c r="D65" s="8"/>
      <c r="E65" s="8"/>
      <c r="F65" s="8"/>
    </row>
    <row r="66">
      <c r="A66" s="8"/>
      <c r="B66" s="8"/>
      <c r="C66" s="8"/>
      <c r="D66" s="8"/>
      <c r="E66" s="8"/>
      <c r="F66" s="8"/>
    </row>
    <row r="67">
      <c r="A67" s="8"/>
      <c r="B67" s="8"/>
      <c r="C67" s="8"/>
      <c r="D67" s="8"/>
      <c r="E67" s="8"/>
      <c r="F67" s="8"/>
    </row>
    <row r="68">
      <c r="A68" s="8"/>
      <c r="B68" s="8"/>
      <c r="C68" s="8"/>
      <c r="D68" s="8"/>
      <c r="E68" s="8"/>
      <c r="F68" s="8"/>
    </row>
    <row r="69">
      <c r="A69" s="8"/>
      <c r="B69" s="8"/>
      <c r="C69" s="8"/>
      <c r="D69" s="8"/>
      <c r="E69" s="8"/>
      <c r="F69" s="8"/>
    </row>
    <row r="70">
      <c r="A70" s="8"/>
      <c r="B70" s="8"/>
      <c r="C70" s="8"/>
      <c r="D70" s="8"/>
      <c r="E70" s="8"/>
      <c r="F70" s="8"/>
    </row>
    <row r="71">
      <c r="A71" s="8"/>
      <c r="B71" s="8"/>
      <c r="C71" s="8"/>
      <c r="D71" s="8"/>
      <c r="E71" s="8"/>
      <c r="F71" s="8"/>
    </row>
    <row r="72">
      <c r="A72" s="8"/>
      <c r="B72" s="8"/>
      <c r="C72" s="8"/>
      <c r="D72" s="8"/>
      <c r="E72" s="8"/>
      <c r="F72" s="8"/>
    </row>
    <row r="73">
      <c r="A73" s="8"/>
      <c r="B73" s="8"/>
      <c r="C73" s="8"/>
      <c r="D73" s="8"/>
      <c r="E73" s="8"/>
      <c r="F73" s="8"/>
    </row>
    <row r="74">
      <c r="A74" s="8"/>
      <c r="B74" s="8"/>
      <c r="C74" s="8"/>
      <c r="D74" s="8"/>
      <c r="E74" s="8"/>
      <c r="F74" s="8"/>
    </row>
    <row r="75">
      <c r="A75" s="8"/>
      <c r="B75" s="8"/>
      <c r="C75" s="8"/>
      <c r="D75" s="8"/>
      <c r="E75" s="8"/>
      <c r="F75" s="8"/>
    </row>
    <row r="76">
      <c r="A76" s="8"/>
      <c r="B76" s="8"/>
      <c r="C76" s="8"/>
      <c r="D76" s="8"/>
      <c r="E76" s="8"/>
      <c r="F76" s="8"/>
    </row>
    <row r="77">
      <c r="A77" s="8"/>
      <c r="B77" s="8"/>
      <c r="C77" s="8"/>
      <c r="D77" s="8"/>
      <c r="E77" s="8"/>
      <c r="F77" s="8"/>
    </row>
    <row r="78">
      <c r="A78" s="8"/>
      <c r="B78" s="8"/>
      <c r="C78" s="8"/>
      <c r="D78" s="8"/>
      <c r="E78" s="8"/>
      <c r="F78" s="8"/>
    </row>
    <row r="79">
      <c r="A79" s="8"/>
      <c r="B79" s="8"/>
      <c r="C79" s="8"/>
      <c r="D79" s="8"/>
      <c r="E79" s="8"/>
      <c r="F79" s="8"/>
    </row>
    <row r="80">
      <c r="A80" s="8"/>
      <c r="B80" s="8"/>
      <c r="C80" s="8"/>
      <c r="D80" s="8"/>
      <c r="E80" s="8"/>
      <c r="F80" s="8"/>
    </row>
    <row r="81">
      <c r="A81" s="8"/>
      <c r="B81" s="8"/>
      <c r="C81" s="8"/>
      <c r="D81" s="8"/>
      <c r="E81" s="8"/>
      <c r="F81" s="8"/>
    </row>
    <row r="82">
      <c r="A82" s="8"/>
      <c r="B82" s="8"/>
      <c r="C82" s="8"/>
      <c r="D82" s="8"/>
      <c r="E82" s="8"/>
      <c r="F82" s="8"/>
    </row>
    <row r="83">
      <c r="A83" s="8"/>
      <c r="B83" s="8"/>
      <c r="C83" s="8"/>
      <c r="D83" s="8"/>
      <c r="E83" s="8"/>
      <c r="F83" s="8"/>
    </row>
    <row r="84">
      <c r="A84" s="8"/>
      <c r="B84" s="8"/>
      <c r="C84" s="8"/>
      <c r="D84" s="8"/>
      <c r="E84" s="8"/>
      <c r="F84" s="8"/>
    </row>
    <row r="85">
      <c r="A85" s="8"/>
      <c r="B85" s="8"/>
      <c r="C85" s="8"/>
      <c r="D85" s="8"/>
      <c r="E85" s="8"/>
      <c r="F85" s="8"/>
    </row>
    <row r="86">
      <c r="A86" s="8"/>
      <c r="B86" s="8"/>
      <c r="C86" s="8"/>
      <c r="D86" s="8"/>
      <c r="E86" s="8"/>
      <c r="F86" s="8"/>
    </row>
    <row r="87">
      <c r="A87" s="8"/>
      <c r="B87" s="8"/>
      <c r="C87" s="8"/>
      <c r="D87" s="8"/>
      <c r="E87" s="8"/>
      <c r="F87" s="8"/>
    </row>
    <row r="88">
      <c r="A88" s="8"/>
      <c r="B88" s="8"/>
      <c r="C88" s="8"/>
      <c r="D88" s="8"/>
      <c r="E88" s="8"/>
      <c r="F88" s="8"/>
    </row>
    <row r="89">
      <c r="A89" s="8"/>
      <c r="B89" s="8"/>
      <c r="C89" s="8"/>
      <c r="D89" s="8"/>
      <c r="E89" s="8"/>
      <c r="F89" s="8"/>
    </row>
    <row r="90">
      <c r="A90" s="8"/>
      <c r="B90" s="8"/>
      <c r="C90" s="8"/>
      <c r="D90" s="8"/>
      <c r="E90" s="8"/>
      <c r="F90" s="8"/>
    </row>
    <row r="91">
      <c r="A91" s="8"/>
      <c r="B91" s="8"/>
      <c r="C91" s="8"/>
      <c r="D91" s="8"/>
      <c r="E91" s="8"/>
      <c r="F91" s="8"/>
    </row>
    <row r="92">
      <c r="A92" s="8"/>
      <c r="B92" s="8"/>
      <c r="C92" s="8"/>
      <c r="D92" s="8"/>
      <c r="E92" s="8"/>
      <c r="F92" s="8"/>
    </row>
    <row r="93">
      <c r="A93" s="8"/>
      <c r="B93" s="8"/>
      <c r="C93" s="8"/>
      <c r="D93" s="8"/>
      <c r="E93" s="8"/>
      <c r="F93" s="8"/>
    </row>
    <row r="94">
      <c r="A94" s="8"/>
      <c r="B94" s="8"/>
      <c r="C94" s="8"/>
      <c r="D94" s="8"/>
      <c r="E94" s="8"/>
      <c r="F94" s="8"/>
    </row>
    <row r="95">
      <c r="A95" s="8"/>
      <c r="B95" s="8"/>
      <c r="C95" s="8"/>
      <c r="D95" s="8"/>
      <c r="E95" s="8"/>
      <c r="F95" s="8"/>
    </row>
    <row r="96">
      <c r="A96" s="8"/>
      <c r="B96" s="8"/>
      <c r="C96" s="8"/>
      <c r="D96" s="8"/>
      <c r="E96" s="8"/>
      <c r="F96" s="8"/>
    </row>
    <row r="97">
      <c r="A97" s="8"/>
      <c r="B97" s="8"/>
      <c r="C97" s="8"/>
      <c r="D97" s="8"/>
      <c r="E97" s="8"/>
      <c r="F97" s="8"/>
    </row>
    <row r="98">
      <c r="A98" s="8"/>
      <c r="B98" s="8"/>
      <c r="C98" s="8"/>
      <c r="D98" s="8"/>
      <c r="E98" s="8"/>
      <c r="F98" s="8"/>
    </row>
    <row r="99">
      <c r="A99" s="8"/>
      <c r="B99" s="8"/>
      <c r="C99" s="8"/>
      <c r="D99" s="8"/>
      <c r="E99" s="8"/>
      <c r="F99" s="8"/>
    </row>
    <row r="100">
      <c r="A100" s="8"/>
      <c r="B100" s="8"/>
      <c r="C100" s="8"/>
      <c r="D100" s="8"/>
      <c r="E100" s="8"/>
      <c r="F100" s="8"/>
    </row>
    <row r="101">
      <c r="A101" s="8"/>
      <c r="B101" s="8"/>
      <c r="C101" s="8"/>
      <c r="D101" s="8"/>
      <c r="E101" s="8"/>
      <c r="F101" s="8"/>
    </row>
    <row r="102">
      <c r="A102" s="8"/>
      <c r="B102" s="8"/>
      <c r="C102" s="8"/>
      <c r="D102" s="8"/>
      <c r="E102" s="8"/>
      <c r="F102" s="8"/>
    </row>
    <row r="103">
      <c r="A103" s="8"/>
      <c r="B103" s="8"/>
      <c r="C103" s="8"/>
      <c r="D103" s="8"/>
      <c r="E103" s="8"/>
      <c r="F103" s="8"/>
    </row>
    <row r="104">
      <c r="A104" s="8"/>
      <c r="B104" s="8"/>
      <c r="C104" s="8"/>
      <c r="D104" s="8"/>
      <c r="E104" s="8"/>
      <c r="F104" s="8"/>
    </row>
    <row r="105">
      <c r="A105" s="8"/>
      <c r="B105" s="8"/>
      <c r="C105" s="8"/>
      <c r="D105" s="8"/>
      <c r="E105" s="8"/>
      <c r="F105" s="8"/>
    </row>
    <row r="106">
      <c r="A106" s="8"/>
      <c r="B106" s="8"/>
      <c r="C106" s="8"/>
      <c r="D106" s="8"/>
      <c r="E106" s="8"/>
      <c r="F106" s="8"/>
    </row>
    <row r="107">
      <c r="A107" s="8"/>
      <c r="B107" s="8"/>
      <c r="C107" s="8"/>
      <c r="D107" s="8"/>
      <c r="E107" s="8"/>
      <c r="F107" s="8"/>
    </row>
    <row r="108">
      <c r="A108" s="8"/>
      <c r="B108" s="8"/>
      <c r="C108" s="8"/>
      <c r="D108" s="8"/>
      <c r="E108" s="8"/>
      <c r="F108" s="8"/>
    </row>
    <row r="109">
      <c r="A109" s="8"/>
      <c r="B109" s="8"/>
      <c r="C109" s="8"/>
      <c r="D109" s="8"/>
      <c r="E109" s="8"/>
      <c r="F109" s="8"/>
    </row>
    <row r="110">
      <c r="A110" s="8"/>
      <c r="B110" s="8"/>
      <c r="C110" s="8"/>
      <c r="D110" s="8"/>
      <c r="E110" s="8"/>
      <c r="F110" s="8"/>
    </row>
    <row r="111">
      <c r="A111" s="8"/>
      <c r="B111" s="8"/>
      <c r="C111" s="8"/>
      <c r="D111" s="8"/>
      <c r="E111" s="8"/>
      <c r="F111" s="8"/>
    </row>
    <row r="112">
      <c r="A112" s="8"/>
      <c r="B112" s="8"/>
      <c r="C112" s="8"/>
      <c r="D112" s="8"/>
      <c r="E112" s="8"/>
      <c r="F112" s="8"/>
    </row>
    <row r="113">
      <c r="A113" s="8"/>
      <c r="B113" s="8"/>
      <c r="C113" s="8"/>
      <c r="D113" s="8"/>
      <c r="E113" s="8"/>
      <c r="F113" s="8"/>
    </row>
    <row r="114">
      <c r="A114" s="8"/>
      <c r="B114" s="8"/>
      <c r="C114" s="8"/>
      <c r="D114" s="8"/>
      <c r="E114" s="8"/>
      <c r="F114" s="8"/>
    </row>
    <row r="115">
      <c r="A115" s="8"/>
      <c r="B115" s="8"/>
      <c r="C115" s="8"/>
      <c r="D115" s="8"/>
      <c r="E115" s="8"/>
      <c r="F115" s="8"/>
    </row>
    <row r="116">
      <c r="A116" s="8"/>
      <c r="B116" s="8"/>
      <c r="C116" s="8"/>
      <c r="D116" s="8"/>
      <c r="E116" s="8"/>
      <c r="F116" s="8"/>
    </row>
    <row r="117">
      <c r="A117" s="8"/>
      <c r="B117" s="8"/>
      <c r="C117" s="8"/>
      <c r="D117" s="8"/>
      <c r="E117" s="8"/>
      <c r="F117" s="8"/>
    </row>
    <row r="118">
      <c r="A118" s="8"/>
      <c r="B118" s="8"/>
      <c r="C118" s="8"/>
      <c r="D118" s="8"/>
      <c r="E118" s="8"/>
      <c r="F118" s="8"/>
    </row>
    <row r="119">
      <c r="A119" s="8"/>
      <c r="B119" s="8"/>
      <c r="C119" s="8"/>
      <c r="D119" s="8"/>
      <c r="E119" s="8"/>
      <c r="F119" s="8"/>
    </row>
    <row r="120">
      <c r="A120" s="8"/>
      <c r="B120" s="8"/>
      <c r="C120" s="8"/>
      <c r="D120" s="8"/>
      <c r="E120" s="8"/>
      <c r="F120" s="8"/>
    </row>
    <row r="121">
      <c r="A121" s="8"/>
      <c r="B121" s="8"/>
      <c r="C121" s="8"/>
      <c r="D121" s="8"/>
      <c r="E121" s="8"/>
      <c r="F121" s="8"/>
    </row>
    <row r="122">
      <c r="A122" s="8"/>
      <c r="B122" s="8"/>
      <c r="C122" s="8"/>
      <c r="D122" s="8"/>
      <c r="E122" s="8"/>
      <c r="F122" s="8"/>
    </row>
    <row r="123">
      <c r="A123" s="8"/>
      <c r="B123" s="8"/>
      <c r="C123" s="8"/>
      <c r="D123" s="8"/>
      <c r="E123" s="8"/>
      <c r="F123" s="8"/>
    </row>
    <row r="124">
      <c r="A124" s="8"/>
      <c r="B124" s="8"/>
      <c r="C124" s="8"/>
      <c r="D124" s="8"/>
      <c r="E124" s="8"/>
      <c r="F124" s="8"/>
    </row>
    <row r="125">
      <c r="A125" s="8"/>
      <c r="B125" s="8"/>
      <c r="C125" s="8"/>
      <c r="D125" s="8"/>
      <c r="E125" s="8"/>
      <c r="F125" s="8"/>
    </row>
    <row r="126">
      <c r="A126" s="8"/>
      <c r="B126" s="8"/>
      <c r="C126" s="8"/>
      <c r="D126" s="8"/>
      <c r="E126" s="8"/>
      <c r="F126" s="8"/>
    </row>
    <row r="127">
      <c r="A127" s="8"/>
      <c r="B127" s="8"/>
      <c r="C127" s="8"/>
      <c r="D127" s="8"/>
      <c r="E127" s="8"/>
      <c r="F127" s="8"/>
    </row>
    <row r="128">
      <c r="A128" s="8"/>
      <c r="B128" s="8"/>
      <c r="C128" s="8"/>
      <c r="D128" s="8"/>
      <c r="E128" s="8"/>
      <c r="F128" s="8"/>
    </row>
    <row r="129">
      <c r="A129" s="8"/>
      <c r="B129" s="8"/>
      <c r="C129" s="8"/>
      <c r="D129" s="8"/>
      <c r="E129" s="8"/>
      <c r="F129" s="8"/>
    </row>
    <row r="130">
      <c r="A130" s="8"/>
      <c r="B130" s="8"/>
      <c r="C130" s="8"/>
      <c r="D130" s="8"/>
      <c r="E130" s="8"/>
      <c r="F130" s="8"/>
    </row>
    <row r="131">
      <c r="A131" s="8"/>
      <c r="B131" s="8"/>
      <c r="C131" s="8"/>
      <c r="D131" s="8"/>
      <c r="E131" s="8"/>
      <c r="F131" s="8"/>
    </row>
    <row r="132">
      <c r="A132" s="8"/>
      <c r="B132" s="8"/>
      <c r="C132" s="8"/>
      <c r="D132" s="8"/>
      <c r="E132" s="8"/>
      <c r="F132" s="8"/>
    </row>
    <row r="133">
      <c r="A133" s="8"/>
      <c r="B133" s="8"/>
      <c r="C133" s="8"/>
      <c r="D133" s="8"/>
      <c r="E133" s="8"/>
      <c r="F133" s="8"/>
    </row>
    <row r="134">
      <c r="A134" s="8"/>
      <c r="B134" s="8"/>
      <c r="C134" s="8"/>
      <c r="D134" s="8"/>
      <c r="E134" s="8"/>
      <c r="F134" s="8"/>
    </row>
    <row r="135">
      <c r="A135" s="8"/>
      <c r="B135" s="8"/>
      <c r="C135" s="8"/>
      <c r="D135" s="8"/>
      <c r="E135" s="8"/>
      <c r="F135" s="8"/>
    </row>
    <row r="136">
      <c r="A136" s="8"/>
      <c r="B136" s="8"/>
      <c r="C136" s="8"/>
      <c r="D136" s="8"/>
      <c r="E136" s="8"/>
      <c r="F136" s="8"/>
    </row>
    <row r="137">
      <c r="A137" s="8"/>
      <c r="B137" s="8"/>
      <c r="C137" s="8"/>
      <c r="D137" s="8"/>
      <c r="E137" s="8"/>
      <c r="F137" s="8"/>
    </row>
    <row r="138">
      <c r="A138" s="8"/>
      <c r="B138" s="8"/>
      <c r="C138" s="8"/>
      <c r="D138" s="8"/>
      <c r="E138" s="8"/>
      <c r="F138" s="8"/>
    </row>
    <row r="139">
      <c r="A139" s="8"/>
      <c r="B139" s="8"/>
      <c r="C139" s="8"/>
      <c r="D139" s="8"/>
      <c r="E139" s="8"/>
      <c r="F139" s="8"/>
    </row>
    <row r="140">
      <c r="A140" s="8"/>
      <c r="B140" s="8"/>
      <c r="C140" s="8"/>
      <c r="D140" s="8"/>
      <c r="E140" s="8"/>
      <c r="F140" s="8"/>
    </row>
    <row r="141">
      <c r="A141" s="8"/>
      <c r="B141" s="8"/>
      <c r="C141" s="8"/>
      <c r="D141" s="8"/>
      <c r="E141" s="8"/>
      <c r="F141" s="8"/>
    </row>
    <row r="142">
      <c r="A142" s="8"/>
      <c r="B142" s="8"/>
      <c r="C142" s="8"/>
      <c r="D142" s="8"/>
      <c r="E142" s="8"/>
      <c r="F142" s="8"/>
    </row>
    <row r="143">
      <c r="A143" s="8"/>
      <c r="B143" s="8"/>
      <c r="C143" s="8"/>
      <c r="D143" s="8"/>
      <c r="E143" s="8"/>
      <c r="F143" s="8"/>
    </row>
    <row r="144">
      <c r="A144" s="8"/>
      <c r="B144" s="8"/>
      <c r="C144" s="8"/>
      <c r="D144" s="8"/>
      <c r="E144" s="8"/>
      <c r="F144" s="8"/>
    </row>
    <row r="145">
      <c r="A145" s="8"/>
      <c r="B145" s="8"/>
      <c r="C145" s="8"/>
      <c r="D145" s="8"/>
      <c r="E145" s="8"/>
      <c r="F145" s="8"/>
    </row>
    <row r="146">
      <c r="A146" s="8"/>
      <c r="B146" s="8"/>
      <c r="C146" s="8"/>
      <c r="D146" s="8"/>
      <c r="E146" s="8"/>
      <c r="F146" s="8"/>
    </row>
    <row r="147">
      <c r="A147" s="8"/>
      <c r="B147" s="8"/>
      <c r="C147" s="8"/>
      <c r="D147" s="8"/>
      <c r="E147" s="8"/>
      <c r="F147" s="8"/>
    </row>
    <row r="148">
      <c r="A148" s="8"/>
      <c r="B148" s="8"/>
      <c r="C148" s="8"/>
      <c r="D148" s="8"/>
      <c r="E148" s="8"/>
      <c r="F148" s="8"/>
    </row>
    <row r="149">
      <c r="A149" s="8"/>
      <c r="B149" s="8"/>
      <c r="C149" s="8"/>
      <c r="D149" s="8"/>
      <c r="E149" s="8"/>
      <c r="F149" s="8"/>
    </row>
    <row r="150">
      <c r="A150" s="8"/>
      <c r="B150" s="8"/>
      <c r="C150" s="8"/>
      <c r="D150" s="8"/>
      <c r="E150" s="8"/>
      <c r="F150" s="8"/>
    </row>
    <row r="151">
      <c r="A151" s="8"/>
      <c r="B151" s="8"/>
      <c r="C151" s="8"/>
      <c r="D151" s="8"/>
      <c r="E151" s="8"/>
      <c r="F151" s="8"/>
    </row>
    <row r="152">
      <c r="A152" s="8"/>
      <c r="B152" s="8"/>
      <c r="C152" s="8"/>
      <c r="D152" s="8"/>
      <c r="E152" s="8"/>
      <c r="F152" s="8"/>
    </row>
    <row r="153">
      <c r="A153" s="8"/>
      <c r="B153" s="8"/>
      <c r="C153" s="8"/>
      <c r="D153" s="8"/>
      <c r="E153" s="8"/>
      <c r="F153" s="8"/>
    </row>
    <row r="154">
      <c r="A154" s="8"/>
      <c r="B154" s="8"/>
      <c r="C154" s="8"/>
      <c r="D154" s="8"/>
      <c r="E154" s="8"/>
      <c r="F154" s="8"/>
    </row>
    <row r="155">
      <c r="A155" s="8"/>
      <c r="B155" s="8"/>
      <c r="C155" s="8"/>
      <c r="D155" s="8"/>
      <c r="E155" s="8"/>
      <c r="F155" s="8"/>
    </row>
    <row r="156">
      <c r="A156" s="8"/>
      <c r="B156" s="8"/>
      <c r="C156" s="8"/>
      <c r="D156" s="8"/>
      <c r="E156" s="8"/>
      <c r="F156" s="8"/>
    </row>
    <row r="157">
      <c r="A157" s="8"/>
      <c r="B157" s="8"/>
      <c r="C157" s="8"/>
      <c r="D157" s="8"/>
      <c r="E157" s="8"/>
      <c r="F157" s="8"/>
    </row>
    <row r="158">
      <c r="A158" s="8"/>
      <c r="B158" s="8"/>
      <c r="C158" s="8"/>
      <c r="D158" s="8"/>
      <c r="E158" s="8"/>
      <c r="F158" s="8"/>
    </row>
    <row r="159">
      <c r="A159" s="8"/>
      <c r="B159" s="8"/>
      <c r="C159" s="8"/>
      <c r="D159" s="8"/>
      <c r="E159" s="8"/>
      <c r="F159" s="8"/>
    </row>
    <row r="160">
      <c r="A160" s="8"/>
      <c r="B160" s="8"/>
      <c r="C160" s="8"/>
      <c r="D160" s="8"/>
      <c r="E160" s="8"/>
      <c r="F160" s="8"/>
    </row>
    <row r="161">
      <c r="A161" s="8"/>
      <c r="B161" s="8"/>
      <c r="C161" s="8"/>
      <c r="D161" s="8"/>
      <c r="E161" s="8"/>
      <c r="F161" s="8"/>
    </row>
    <row r="162">
      <c r="A162" s="8"/>
      <c r="B162" s="8"/>
      <c r="C162" s="8"/>
      <c r="D162" s="8"/>
      <c r="E162" s="8"/>
      <c r="F162" s="8"/>
    </row>
    <row r="163">
      <c r="A163" s="8"/>
      <c r="B163" s="8"/>
      <c r="C163" s="8"/>
      <c r="D163" s="8"/>
      <c r="E163" s="8"/>
      <c r="F163" s="8"/>
    </row>
    <row r="164">
      <c r="A164" s="8"/>
      <c r="B164" s="8"/>
      <c r="C164" s="8"/>
      <c r="D164" s="8"/>
      <c r="E164" s="8"/>
      <c r="F164" s="8"/>
    </row>
    <row r="165">
      <c r="A165" s="8"/>
      <c r="B165" s="8"/>
      <c r="C165" s="8"/>
      <c r="D165" s="8"/>
      <c r="E165" s="8"/>
      <c r="F165" s="8"/>
    </row>
    <row r="166">
      <c r="A166" s="8"/>
      <c r="B166" s="8"/>
      <c r="C166" s="8"/>
      <c r="D166" s="8"/>
      <c r="E166" s="8"/>
      <c r="F166" s="8"/>
    </row>
    <row r="167">
      <c r="A167" s="8"/>
      <c r="B167" s="8"/>
      <c r="C167" s="8"/>
      <c r="D167" s="8"/>
      <c r="E167" s="8"/>
      <c r="F167" s="8"/>
    </row>
    <row r="168">
      <c r="A168" s="8"/>
      <c r="B168" s="8"/>
      <c r="C168" s="8"/>
      <c r="D168" s="8"/>
      <c r="E168" s="8"/>
      <c r="F168" s="8"/>
    </row>
    <row r="169">
      <c r="A169" s="8"/>
      <c r="B169" s="8"/>
      <c r="C169" s="8"/>
      <c r="D169" s="8"/>
      <c r="E169" s="8"/>
      <c r="F169" s="8"/>
    </row>
    <row r="170">
      <c r="A170" s="8"/>
      <c r="B170" s="8"/>
      <c r="C170" s="8"/>
      <c r="D170" s="8"/>
      <c r="E170" s="8"/>
      <c r="F170" s="8"/>
    </row>
    <row r="171">
      <c r="A171" s="8"/>
      <c r="B171" s="8"/>
      <c r="C171" s="8"/>
      <c r="D171" s="8"/>
      <c r="E171" s="8"/>
      <c r="F171" s="8"/>
    </row>
    <row r="172">
      <c r="A172" s="8"/>
      <c r="B172" s="8"/>
      <c r="C172" s="8"/>
      <c r="D172" s="8"/>
      <c r="E172" s="8"/>
      <c r="F172" s="8"/>
    </row>
    <row r="173">
      <c r="A173" s="8"/>
      <c r="B173" s="8"/>
      <c r="C173" s="8"/>
      <c r="D173" s="8"/>
      <c r="E173" s="8"/>
      <c r="F173" s="8"/>
    </row>
    <row r="174">
      <c r="A174" s="8"/>
      <c r="B174" s="8"/>
      <c r="C174" s="8"/>
      <c r="D174" s="8"/>
      <c r="E174" s="8"/>
      <c r="F174" s="8"/>
    </row>
    <row r="175">
      <c r="A175" s="8"/>
      <c r="B175" s="8"/>
      <c r="C175" s="8"/>
      <c r="D175" s="8"/>
      <c r="E175" s="8"/>
      <c r="F175" s="8"/>
    </row>
    <row r="176">
      <c r="A176" s="8"/>
      <c r="B176" s="8"/>
      <c r="C176" s="8"/>
      <c r="D176" s="8"/>
      <c r="E176" s="8"/>
      <c r="F176" s="8"/>
    </row>
    <row r="177">
      <c r="A177" s="8"/>
      <c r="B177" s="8"/>
      <c r="C177" s="8"/>
      <c r="D177" s="8"/>
      <c r="E177" s="8"/>
      <c r="F177" s="8"/>
    </row>
    <row r="178">
      <c r="A178" s="8"/>
      <c r="B178" s="8"/>
      <c r="C178" s="8"/>
      <c r="D178" s="8"/>
      <c r="E178" s="8"/>
      <c r="F178" s="8"/>
    </row>
    <row r="179">
      <c r="A179" s="8"/>
      <c r="B179" s="8"/>
      <c r="C179" s="8"/>
      <c r="D179" s="8"/>
      <c r="E179" s="8"/>
      <c r="F179" s="8"/>
    </row>
    <row r="180">
      <c r="A180" s="8"/>
      <c r="B180" s="8"/>
      <c r="C180" s="8"/>
      <c r="D180" s="8"/>
      <c r="E180" s="8"/>
      <c r="F180" s="8"/>
    </row>
    <row r="181">
      <c r="A181" s="8"/>
      <c r="B181" s="8"/>
      <c r="C181" s="8"/>
      <c r="D181" s="8"/>
      <c r="E181" s="8"/>
      <c r="F181" s="8"/>
    </row>
    <row r="182">
      <c r="A182" s="8"/>
      <c r="B182" s="8"/>
      <c r="C182" s="8"/>
      <c r="D182" s="8"/>
      <c r="E182" s="8"/>
      <c r="F182" s="8"/>
    </row>
    <row r="183">
      <c r="A183" s="8"/>
      <c r="B183" s="8"/>
      <c r="C183" s="8"/>
      <c r="D183" s="8"/>
      <c r="E183" s="8"/>
      <c r="F183" s="8"/>
    </row>
    <row r="184">
      <c r="A184" s="8"/>
      <c r="B184" s="8"/>
      <c r="C184" s="8"/>
      <c r="D184" s="8"/>
      <c r="E184" s="8"/>
      <c r="F184" s="8"/>
    </row>
    <row r="185">
      <c r="A185" s="8"/>
      <c r="B185" s="8"/>
      <c r="C185" s="8"/>
      <c r="D185" s="8"/>
      <c r="E185" s="8"/>
      <c r="F185" s="8"/>
    </row>
    <row r="186">
      <c r="A186" s="8"/>
      <c r="B186" s="8"/>
      <c r="C186" s="8"/>
      <c r="D186" s="8"/>
      <c r="E186" s="8"/>
      <c r="F186" s="8"/>
    </row>
    <row r="187">
      <c r="A187" s="8"/>
      <c r="B187" s="8"/>
      <c r="C187" s="8"/>
      <c r="D187" s="8"/>
      <c r="E187" s="8"/>
      <c r="F187" s="8"/>
    </row>
    <row r="188">
      <c r="A188" s="8"/>
      <c r="B188" s="8"/>
      <c r="C188" s="8"/>
      <c r="D188" s="8"/>
      <c r="E188" s="8"/>
      <c r="F188" s="8"/>
    </row>
    <row r="189">
      <c r="A189" s="8"/>
      <c r="B189" s="8"/>
      <c r="C189" s="8"/>
      <c r="D189" s="8"/>
      <c r="E189" s="8"/>
      <c r="F189" s="8"/>
    </row>
    <row r="190">
      <c r="A190" s="8"/>
      <c r="B190" s="8"/>
      <c r="C190" s="8"/>
      <c r="D190" s="8"/>
      <c r="E190" s="8"/>
      <c r="F190" s="8"/>
    </row>
    <row r="191">
      <c r="A191" s="8"/>
      <c r="B191" s="8"/>
      <c r="C191" s="8"/>
      <c r="D191" s="8"/>
      <c r="E191" s="8"/>
      <c r="F191" s="8"/>
    </row>
    <row r="192">
      <c r="A192" s="8"/>
      <c r="B192" s="8"/>
      <c r="C192" s="8"/>
      <c r="D192" s="8"/>
      <c r="E192" s="8"/>
      <c r="F192" s="8"/>
    </row>
    <row r="193">
      <c r="A193" s="8"/>
      <c r="B193" s="8"/>
      <c r="C193" s="8"/>
      <c r="D193" s="8"/>
      <c r="E193" s="8"/>
      <c r="F193" s="8"/>
    </row>
    <row r="194">
      <c r="A194" s="8"/>
      <c r="B194" s="8"/>
      <c r="C194" s="8"/>
      <c r="D194" s="8"/>
      <c r="E194" s="8"/>
      <c r="F194" s="8"/>
    </row>
    <row r="195">
      <c r="A195" s="8"/>
      <c r="B195" s="8"/>
      <c r="C195" s="8"/>
      <c r="D195" s="8"/>
      <c r="E195" s="8"/>
      <c r="F195" s="8"/>
    </row>
    <row r="196">
      <c r="A196" s="8"/>
      <c r="B196" s="8"/>
      <c r="C196" s="8"/>
      <c r="D196" s="8"/>
      <c r="E196" s="8"/>
      <c r="F196" s="8"/>
    </row>
    <row r="197">
      <c r="A197" s="8"/>
      <c r="B197" s="8"/>
      <c r="C197" s="8"/>
      <c r="D197" s="8"/>
      <c r="E197" s="8"/>
      <c r="F197" s="8"/>
    </row>
    <row r="198">
      <c r="A198" s="8"/>
      <c r="B198" s="8"/>
      <c r="C198" s="8"/>
      <c r="D198" s="8"/>
      <c r="E198" s="8"/>
      <c r="F198" s="8"/>
    </row>
    <row r="199">
      <c r="A199" s="8"/>
      <c r="B199" s="8"/>
      <c r="C199" s="8"/>
      <c r="D199" s="8"/>
      <c r="E199" s="8"/>
      <c r="F199" s="8"/>
    </row>
    <row r="200">
      <c r="A200" s="8"/>
      <c r="B200" s="8"/>
      <c r="C200" s="8"/>
      <c r="D200" s="8"/>
      <c r="E200" s="8"/>
      <c r="F200" s="8"/>
    </row>
    <row r="201">
      <c r="A201" s="8"/>
      <c r="B201" s="8"/>
      <c r="C201" s="8"/>
      <c r="D201" s="8"/>
      <c r="E201" s="8"/>
      <c r="F201" s="8"/>
    </row>
    <row r="202">
      <c r="A202" s="8"/>
      <c r="B202" s="8"/>
      <c r="C202" s="8"/>
      <c r="D202" s="8"/>
      <c r="E202" s="8"/>
      <c r="F202" s="8"/>
    </row>
    <row r="203">
      <c r="A203" s="8"/>
      <c r="B203" s="8"/>
      <c r="C203" s="8"/>
      <c r="D203" s="8"/>
      <c r="E203" s="8"/>
      <c r="F203" s="8"/>
    </row>
    <row r="204">
      <c r="A204" s="8"/>
      <c r="B204" s="8"/>
      <c r="C204" s="8"/>
      <c r="D204" s="8"/>
      <c r="E204" s="8"/>
      <c r="F204" s="8"/>
    </row>
    <row r="205">
      <c r="A205" s="8"/>
      <c r="B205" s="8"/>
      <c r="C205" s="8"/>
      <c r="D205" s="8"/>
      <c r="E205" s="8"/>
      <c r="F205" s="8"/>
    </row>
    <row r="206">
      <c r="A206" s="8"/>
      <c r="B206" s="8"/>
      <c r="C206" s="8"/>
      <c r="D206" s="8"/>
      <c r="E206" s="8"/>
      <c r="F206" s="8"/>
    </row>
    <row r="207">
      <c r="A207" s="8"/>
      <c r="B207" s="8"/>
      <c r="C207" s="8"/>
      <c r="D207" s="8"/>
      <c r="E207" s="8"/>
      <c r="F207" s="8"/>
    </row>
    <row r="208">
      <c r="A208" s="8"/>
      <c r="B208" s="8"/>
      <c r="C208" s="8"/>
      <c r="D208" s="8"/>
      <c r="E208" s="8"/>
      <c r="F208" s="8"/>
    </row>
    <row r="209">
      <c r="A209" s="8"/>
      <c r="B209" s="8"/>
      <c r="C209" s="8"/>
      <c r="D209" s="8"/>
      <c r="E209" s="8"/>
      <c r="F209" s="8"/>
    </row>
    <row r="210">
      <c r="A210" s="8"/>
      <c r="B210" s="8"/>
      <c r="C210" s="8"/>
      <c r="D210" s="8"/>
      <c r="E210" s="8"/>
      <c r="F210" s="8"/>
    </row>
    <row r="211">
      <c r="A211" s="8"/>
      <c r="B211" s="8"/>
      <c r="C211" s="8"/>
      <c r="D211" s="8"/>
      <c r="E211" s="8"/>
      <c r="F211" s="8"/>
    </row>
    <row r="212">
      <c r="A212" s="8"/>
      <c r="B212" s="8"/>
      <c r="C212" s="8"/>
      <c r="D212" s="8"/>
      <c r="E212" s="8"/>
      <c r="F212" s="8"/>
    </row>
    <row r="213">
      <c r="A213" s="8"/>
      <c r="B213" s="8"/>
      <c r="C213" s="8"/>
      <c r="D213" s="8"/>
      <c r="E213" s="8"/>
      <c r="F213" s="8"/>
    </row>
    <row r="214">
      <c r="A214" s="8"/>
      <c r="B214" s="8"/>
      <c r="C214" s="8"/>
      <c r="D214" s="8"/>
      <c r="E214" s="8"/>
      <c r="F214" s="8"/>
    </row>
    <row r="215">
      <c r="A215" s="8"/>
      <c r="B215" s="8"/>
      <c r="C215" s="8"/>
      <c r="D215" s="8"/>
      <c r="E215" s="8"/>
      <c r="F215" s="8"/>
    </row>
    <row r="216">
      <c r="A216" s="8"/>
      <c r="B216" s="8"/>
      <c r="C216" s="8"/>
      <c r="D216" s="8"/>
      <c r="E216" s="8"/>
      <c r="F216" s="8"/>
    </row>
    <row r="217">
      <c r="A217" s="8"/>
      <c r="B217" s="8"/>
      <c r="C217" s="8"/>
      <c r="D217" s="8"/>
      <c r="E217" s="8"/>
      <c r="F217" s="8"/>
    </row>
    <row r="218">
      <c r="A218" s="8"/>
      <c r="B218" s="8"/>
      <c r="C218" s="8"/>
      <c r="D218" s="8"/>
      <c r="E218" s="8"/>
      <c r="F218" s="8"/>
    </row>
    <row r="219">
      <c r="A219" s="8"/>
      <c r="B219" s="8"/>
      <c r="C219" s="8"/>
      <c r="D219" s="8"/>
      <c r="E219" s="8"/>
      <c r="F219" s="8"/>
    </row>
    <row r="220">
      <c r="A220" s="8"/>
      <c r="B220" s="8"/>
      <c r="C220" s="8"/>
      <c r="D220" s="8"/>
      <c r="E220" s="8"/>
      <c r="F220" s="8"/>
    </row>
    <row r="221">
      <c r="A221" s="8"/>
      <c r="B221" s="8"/>
      <c r="C221" s="8"/>
      <c r="D221" s="8"/>
      <c r="E221" s="8"/>
      <c r="F221" s="8"/>
    </row>
    <row r="222">
      <c r="A222" s="8"/>
      <c r="B222" s="8"/>
      <c r="C222" s="8"/>
      <c r="D222" s="8"/>
      <c r="E222" s="8"/>
      <c r="F222" s="8"/>
    </row>
    <row r="223">
      <c r="A223" s="8"/>
      <c r="B223" s="8"/>
      <c r="C223" s="8"/>
      <c r="D223" s="8"/>
      <c r="E223" s="8"/>
      <c r="F223" s="8"/>
    </row>
    <row r="224">
      <c r="A224" s="8"/>
      <c r="B224" s="8"/>
      <c r="C224" s="8"/>
      <c r="D224" s="8"/>
      <c r="E224" s="8"/>
      <c r="F224" s="8"/>
    </row>
    <row r="225">
      <c r="A225" s="8"/>
      <c r="B225" s="8"/>
      <c r="C225" s="8"/>
      <c r="D225" s="8"/>
      <c r="E225" s="8"/>
      <c r="F225" s="8"/>
    </row>
    <row r="226">
      <c r="A226" s="8"/>
      <c r="B226" s="8"/>
      <c r="C226" s="8"/>
      <c r="D226" s="8"/>
      <c r="E226" s="8"/>
      <c r="F226" s="8"/>
    </row>
    <row r="227">
      <c r="A227" s="8"/>
      <c r="B227" s="8"/>
      <c r="C227" s="8"/>
      <c r="D227" s="8"/>
      <c r="E227" s="8"/>
      <c r="F227" s="8"/>
    </row>
    <row r="228">
      <c r="A228" s="8"/>
      <c r="B228" s="8"/>
      <c r="C228" s="8"/>
      <c r="D228" s="8"/>
      <c r="E228" s="8"/>
      <c r="F228" s="8"/>
    </row>
    <row r="229">
      <c r="A229" s="8"/>
      <c r="B229" s="8"/>
      <c r="C229" s="8"/>
      <c r="D229" s="8"/>
      <c r="E229" s="8"/>
      <c r="F229" s="8"/>
    </row>
    <row r="230">
      <c r="A230" s="8"/>
      <c r="B230" s="8"/>
      <c r="C230" s="8"/>
      <c r="D230" s="8"/>
      <c r="E230" s="8"/>
      <c r="F230" s="8"/>
    </row>
    <row r="231">
      <c r="A231" s="8"/>
      <c r="B231" s="8"/>
      <c r="C231" s="8"/>
      <c r="D231" s="8"/>
      <c r="E231" s="8"/>
      <c r="F231" s="8"/>
    </row>
    <row r="232">
      <c r="A232" s="8"/>
      <c r="B232" s="8"/>
      <c r="C232" s="8"/>
      <c r="D232" s="8"/>
      <c r="E232" s="8"/>
      <c r="F232" s="8"/>
    </row>
    <row r="233">
      <c r="A233" s="8"/>
      <c r="B233" s="8"/>
      <c r="C233" s="8"/>
      <c r="D233" s="8"/>
      <c r="E233" s="8"/>
      <c r="F233" s="8"/>
    </row>
    <row r="234">
      <c r="A234" s="8"/>
      <c r="B234" s="8"/>
      <c r="C234" s="8"/>
      <c r="D234" s="8"/>
      <c r="E234" s="8"/>
      <c r="F234" s="8"/>
    </row>
    <row r="235">
      <c r="A235" s="8"/>
      <c r="B235" s="8"/>
      <c r="C235" s="8"/>
      <c r="D235" s="8"/>
      <c r="E235" s="8"/>
      <c r="F235" s="8"/>
    </row>
    <row r="236">
      <c r="A236" s="8"/>
      <c r="B236" s="8"/>
      <c r="C236" s="8"/>
      <c r="D236" s="8"/>
      <c r="E236" s="8"/>
      <c r="F236" s="8"/>
    </row>
    <row r="237">
      <c r="A237" s="8"/>
      <c r="B237" s="8"/>
      <c r="C237" s="8"/>
      <c r="D237" s="8"/>
      <c r="E237" s="8"/>
      <c r="F237" s="8"/>
    </row>
    <row r="238">
      <c r="A238" s="8"/>
      <c r="B238" s="8"/>
      <c r="C238" s="8"/>
      <c r="D238" s="8"/>
      <c r="E238" s="8"/>
      <c r="F238" s="8"/>
    </row>
    <row r="239">
      <c r="A239" s="8"/>
      <c r="B239" s="8"/>
      <c r="C239" s="8"/>
      <c r="D239" s="8"/>
      <c r="E239" s="8"/>
      <c r="F239" s="8"/>
    </row>
    <row r="240">
      <c r="A240" s="8"/>
      <c r="B240" s="8"/>
      <c r="C240" s="8"/>
      <c r="D240" s="8"/>
      <c r="E240" s="8"/>
      <c r="F240" s="8"/>
    </row>
    <row r="241">
      <c r="A241" s="8"/>
      <c r="B241" s="8"/>
      <c r="C241" s="8"/>
      <c r="D241" s="8"/>
      <c r="E241" s="8"/>
      <c r="F241" s="8"/>
    </row>
    <row r="242">
      <c r="A242" s="8"/>
      <c r="B242" s="8"/>
      <c r="C242" s="8"/>
      <c r="D242" s="8"/>
      <c r="E242" s="8"/>
      <c r="F242" s="8"/>
    </row>
    <row r="243">
      <c r="A243" s="8"/>
      <c r="B243" s="8"/>
      <c r="C243" s="8"/>
      <c r="D243" s="8"/>
      <c r="E243" s="8"/>
      <c r="F243" s="8"/>
    </row>
    <row r="244">
      <c r="A244" s="8"/>
      <c r="B244" s="8"/>
      <c r="C244" s="8"/>
      <c r="D244" s="8"/>
      <c r="E244" s="8"/>
      <c r="F244" s="8"/>
    </row>
    <row r="245">
      <c r="A245" s="8"/>
      <c r="B245" s="8"/>
      <c r="C245" s="8"/>
      <c r="D245" s="8"/>
      <c r="E245" s="8"/>
      <c r="F245" s="8"/>
    </row>
    <row r="246">
      <c r="A246" s="8"/>
      <c r="B246" s="8"/>
      <c r="C246" s="8"/>
      <c r="D246" s="8"/>
      <c r="E246" s="8"/>
      <c r="F246" s="8"/>
    </row>
    <row r="247">
      <c r="A247" s="8"/>
      <c r="B247" s="8"/>
      <c r="C247" s="8"/>
      <c r="D247" s="8"/>
      <c r="E247" s="8"/>
      <c r="F247" s="8"/>
    </row>
    <row r="248">
      <c r="A248" s="8"/>
      <c r="B248" s="8"/>
      <c r="C248" s="8"/>
      <c r="D248" s="8"/>
      <c r="E248" s="8"/>
      <c r="F248" s="8"/>
    </row>
    <row r="249">
      <c r="A249" s="8"/>
      <c r="B249" s="8"/>
      <c r="C249" s="8"/>
      <c r="D249" s="8"/>
      <c r="E249" s="8"/>
      <c r="F249" s="8"/>
    </row>
    <row r="250">
      <c r="A250" s="8"/>
      <c r="B250" s="8"/>
      <c r="C250" s="8"/>
      <c r="D250" s="8"/>
      <c r="E250" s="8"/>
      <c r="F250" s="8"/>
    </row>
    <row r="251">
      <c r="A251" s="8"/>
      <c r="B251" s="8"/>
      <c r="C251" s="8"/>
      <c r="D251" s="8"/>
      <c r="E251" s="8"/>
      <c r="F251" s="8"/>
    </row>
    <row r="252">
      <c r="A252" s="8"/>
      <c r="B252" s="8"/>
      <c r="C252" s="8"/>
      <c r="D252" s="8"/>
      <c r="E252" s="8"/>
      <c r="F252" s="8"/>
    </row>
    <row r="253">
      <c r="A253" s="8"/>
      <c r="B253" s="8"/>
      <c r="C253" s="8"/>
      <c r="D253" s="8"/>
      <c r="E253" s="8"/>
      <c r="F253" s="8"/>
    </row>
    <row r="254">
      <c r="A254" s="8"/>
      <c r="B254" s="8"/>
      <c r="C254" s="8"/>
      <c r="D254" s="8"/>
      <c r="E254" s="8"/>
      <c r="F254" s="8"/>
    </row>
    <row r="255">
      <c r="A255" s="8"/>
      <c r="B255" s="8"/>
      <c r="C255" s="8"/>
      <c r="D255" s="8"/>
      <c r="E255" s="8"/>
      <c r="F255" s="8"/>
    </row>
    <row r="256">
      <c r="A256" s="8"/>
      <c r="B256" s="8"/>
      <c r="C256" s="8"/>
      <c r="D256" s="8"/>
      <c r="E256" s="8"/>
      <c r="F256" s="8"/>
    </row>
    <row r="257">
      <c r="A257" s="8"/>
      <c r="B257" s="8"/>
      <c r="C257" s="8"/>
      <c r="D257" s="8"/>
      <c r="E257" s="8"/>
      <c r="F257" s="8"/>
    </row>
    <row r="258">
      <c r="A258" s="8"/>
      <c r="B258" s="8"/>
      <c r="C258" s="8"/>
      <c r="D258" s="8"/>
      <c r="E258" s="8"/>
      <c r="F258" s="8"/>
    </row>
    <row r="259">
      <c r="A259" s="8"/>
      <c r="B259" s="8"/>
      <c r="C259" s="8"/>
      <c r="D259" s="8"/>
      <c r="E259" s="8"/>
      <c r="F259" s="8"/>
    </row>
    <row r="260">
      <c r="A260" s="8"/>
      <c r="B260" s="8"/>
      <c r="C260" s="8"/>
      <c r="D260" s="8"/>
      <c r="E260" s="8"/>
      <c r="F260" s="8"/>
    </row>
    <row r="261">
      <c r="A261" s="8"/>
      <c r="B261" s="8"/>
      <c r="C261" s="8"/>
      <c r="D261" s="8"/>
      <c r="E261" s="8"/>
      <c r="F261" s="8"/>
    </row>
    <row r="262">
      <c r="A262" s="8"/>
      <c r="B262" s="8"/>
      <c r="C262" s="8"/>
      <c r="D262" s="8"/>
      <c r="E262" s="8"/>
      <c r="F262" s="8"/>
    </row>
    <row r="263">
      <c r="A263" s="8"/>
      <c r="B263" s="8"/>
      <c r="C263" s="8"/>
      <c r="D263" s="8"/>
      <c r="E263" s="8"/>
      <c r="F263" s="8"/>
    </row>
    <row r="264">
      <c r="A264" s="8"/>
      <c r="B264" s="8"/>
      <c r="C264" s="8"/>
      <c r="D264" s="8"/>
      <c r="E264" s="8"/>
      <c r="F264" s="8"/>
    </row>
    <row r="265">
      <c r="A265" s="8"/>
      <c r="B265" s="8"/>
      <c r="C265" s="8"/>
      <c r="D265" s="8"/>
      <c r="E265" s="8"/>
      <c r="F265" s="8"/>
    </row>
    <row r="266">
      <c r="A266" s="8"/>
      <c r="B266" s="8"/>
      <c r="C266" s="8"/>
      <c r="D266" s="8"/>
      <c r="E266" s="8"/>
      <c r="F266" s="8"/>
    </row>
    <row r="267">
      <c r="A267" s="8"/>
      <c r="B267" s="8"/>
      <c r="C267" s="8"/>
      <c r="D267" s="8"/>
      <c r="E267" s="8"/>
      <c r="F267" s="8"/>
    </row>
    <row r="268">
      <c r="A268" s="8"/>
      <c r="B268" s="8"/>
      <c r="C268" s="8"/>
      <c r="D268" s="8"/>
      <c r="E268" s="8"/>
      <c r="F268" s="8"/>
    </row>
    <row r="269">
      <c r="A269" s="8"/>
      <c r="B269" s="8"/>
      <c r="C269" s="8"/>
      <c r="D269" s="8"/>
      <c r="E269" s="8"/>
      <c r="F269" s="8"/>
    </row>
    <row r="270">
      <c r="A270" s="8"/>
      <c r="B270" s="8"/>
      <c r="C270" s="8"/>
      <c r="D270" s="8"/>
      <c r="E270" s="8"/>
      <c r="F270" s="8"/>
    </row>
    <row r="271">
      <c r="A271" s="8"/>
      <c r="B271" s="8"/>
      <c r="C271" s="8"/>
      <c r="D271" s="8"/>
      <c r="E271" s="8"/>
      <c r="F271" s="8"/>
    </row>
    <row r="272">
      <c r="A272" s="8"/>
      <c r="B272" s="8"/>
      <c r="C272" s="8"/>
      <c r="D272" s="8"/>
      <c r="E272" s="8"/>
      <c r="F272" s="8"/>
    </row>
    <row r="273">
      <c r="A273" s="8"/>
      <c r="B273" s="8"/>
      <c r="C273" s="8"/>
      <c r="D273" s="8"/>
      <c r="E273" s="8"/>
      <c r="F273" s="8"/>
    </row>
    <row r="274">
      <c r="A274" s="8"/>
      <c r="B274" s="8"/>
      <c r="C274" s="8"/>
      <c r="D274" s="8"/>
      <c r="E274" s="8"/>
      <c r="F274" s="8"/>
    </row>
    <row r="275">
      <c r="A275" s="8"/>
      <c r="B275" s="8"/>
      <c r="C275" s="8"/>
      <c r="D275" s="8"/>
      <c r="E275" s="8"/>
      <c r="F275" s="8"/>
    </row>
    <row r="276">
      <c r="A276" s="8"/>
      <c r="B276" s="8"/>
      <c r="C276" s="8"/>
      <c r="D276" s="8"/>
      <c r="E276" s="8"/>
      <c r="F276" s="8"/>
    </row>
    <row r="277">
      <c r="A277" s="8"/>
      <c r="B277" s="8"/>
      <c r="C277" s="8"/>
      <c r="D277" s="8"/>
      <c r="E277" s="8"/>
      <c r="F277" s="8"/>
    </row>
    <row r="278">
      <c r="A278" s="8"/>
      <c r="B278" s="8"/>
      <c r="C278" s="8"/>
      <c r="D278" s="8"/>
      <c r="E278" s="8"/>
      <c r="F278" s="8"/>
    </row>
    <row r="279">
      <c r="A279" s="8"/>
      <c r="B279" s="8"/>
      <c r="C279" s="8"/>
      <c r="D279" s="8"/>
      <c r="E279" s="8"/>
      <c r="F279" s="8"/>
    </row>
    <row r="280">
      <c r="A280" s="8"/>
      <c r="B280" s="8"/>
      <c r="C280" s="8"/>
      <c r="D280" s="8"/>
      <c r="E280" s="8"/>
      <c r="F280" s="8"/>
    </row>
    <row r="281">
      <c r="A281" s="8"/>
      <c r="B281" s="8"/>
      <c r="C281" s="8"/>
      <c r="D281" s="8"/>
      <c r="E281" s="8"/>
      <c r="F281" s="8"/>
    </row>
    <row r="282">
      <c r="A282" s="8"/>
      <c r="B282" s="8"/>
      <c r="C282" s="8"/>
      <c r="D282" s="8"/>
      <c r="E282" s="8"/>
      <c r="F282" s="8"/>
    </row>
    <row r="283">
      <c r="A283" s="8"/>
      <c r="B283" s="8"/>
      <c r="C283" s="8"/>
      <c r="D283" s="8"/>
      <c r="E283" s="8"/>
      <c r="F283" s="8"/>
    </row>
    <row r="284">
      <c r="A284" s="8"/>
      <c r="B284" s="8"/>
      <c r="C284" s="8"/>
      <c r="D284" s="8"/>
      <c r="E284" s="8"/>
      <c r="F284" s="8"/>
    </row>
    <row r="285">
      <c r="A285" s="8"/>
      <c r="B285" s="8"/>
      <c r="C285" s="8"/>
      <c r="D285" s="8"/>
      <c r="E285" s="8"/>
      <c r="F285" s="8"/>
    </row>
    <row r="286">
      <c r="A286" s="8"/>
      <c r="B286" s="8"/>
      <c r="C286" s="8"/>
      <c r="D286" s="8"/>
      <c r="E286" s="8"/>
      <c r="F286" s="8"/>
    </row>
    <row r="287">
      <c r="A287" s="8"/>
      <c r="B287" s="8"/>
      <c r="C287" s="8"/>
      <c r="D287" s="8"/>
      <c r="E287" s="8"/>
      <c r="F287" s="8"/>
    </row>
    <row r="288">
      <c r="A288" s="8"/>
      <c r="B288" s="8"/>
      <c r="C288" s="8"/>
      <c r="D288" s="8"/>
      <c r="E288" s="8"/>
      <c r="F288" s="8"/>
    </row>
    <row r="289">
      <c r="A289" s="8"/>
      <c r="B289" s="8"/>
      <c r="C289" s="8"/>
      <c r="D289" s="8"/>
      <c r="E289" s="8"/>
      <c r="F289" s="8"/>
    </row>
    <row r="290">
      <c r="A290" s="8"/>
      <c r="B290" s="8"/>
      <c r="C290" s="8"/>
      <c r="D290" s="8"/>
      <c r="E290" s="8"/>
      <c r="F290" s="8"/>
    </row>
    <row r="291">
      <c r="A291" s="8"/>
      <c r="B291" s="8"/>
      <c r="C291" s="8"/>
      <c r="D291" s="8"/>
      <c r="E291" s="8"/>
      <c r="F291" s="8"/>
    </row>
    <row r="292">
      <c r="A292" s="8"/>
      <c r="B292" s="8"/>
      <c r="C292" s="8"/>
      <c r="D292" s="8"/>
      <c r="E292" s="8"/>
      <c r="F292" s="8"/>
    </row>
    <row r="293">
      <c r="A293" s="8"/>
      <c r="B293" s="8"/>
      <c r="C293" s="8"/>
      <c r="D293" s="8"/>
      <c r="E293" s="8"/>
      <c r="F293" s="8"/>
    </row>
    <row r="294">
      <c r="A294" s="8"/>
      <c r="B294" s="8"/>
      <c r="C294" s="8"/>
      <c r="D294" s="8"/>
      <c r="E294" s="8"/>
      <c r="F294" s="8"/>
    </row>
    <row r="295">
      <c r="A295" s="8"/>
      <c r="B295" s="8"/>
      <c r="C295" s="8"/>
      <c r="D295" s="8"/>
      <c r="E295" s="8"/>
      <c r="F295" s="8"/>
    </row>
    <row r="296">
      <c r="A296" s="8"/>
      <c r="B296" s="8"/>
      <c r="C296" s="8"/>
      <c r="D296" s="8"/>
      <c r="E296" s="8"/>
      <c r="F296" s="8"/>
    </row>
    <row r="297">
      <c r="A297" s="8"/>
      <c r="B297" s="8"/>
      <c r="C297" s="8"/>
      <c r="D297" s="8"/>
      <c r="E297" s="8"/>
      <c r="F297" s="8"/>
    </row>
    <row r="298">
      <c r="A298" s="8"/>
      <c r="B298" s="8"/>
      <c r="C298" s="8"/>
      <c r="D298" s="8"/>
      <c r="E298" s="8"/>
      <c r="F298" s="8"/>
    </row>
    <row r="299">
      <c r="A299" s="8"/>
      <c r="B299" s="8"/>
      <c r="C299" s="8"/>
      <c r="D299" s="8"/>
      <c r="E299" s="8"/>
      <c r="F299" s="8"/>
    </row>
    <row r="300">
      <c r="A300" s="8"/>
      <c r="B300" s="8"/>
      <c r="C300" s="8"/>
      <c r="D300" s="8"/>
      <c r="E300" s="8"/>
      <c r="F300" s="8"/>
    </row>
    <row r="301">
      <c r="A301" s="8"/>
      <c r="B301" s="8"/>
      <c r="C301" s="8"/>
      <c r="D301" s="8"/>
      <c r="E301" s="8"/>
      <c r="F301" s="8"/>
    </row>
    <row r="302">
      <c r="A302" s="8"/>
      <c r="B302" s="8"/>
      <c r="C302" s="8"/>
      <c r="D302" s="8"/>
      <c r="E302" s="8"/>
      <c r="F302" s="8"/>
    </row>
    <row r="303">
      <c r="A303" s="8"/>
      <c r="B303" s="8"/>
      <c r="C303" s="8"/>
      <c r="D303" s="8"/>
      <c r="E303" s="8"/>
      <c r="F303" s="8"/>
    </row>
    <row r="304">
      <c r="A304" s="8"/>
      <c r="B304" s="8"/>
      <c r="C304" s="8"/>
      <c r="D304" s="8"/>
      <c r="E304" s="8"/>
      <c r="F304" s="8"/>
    </row>
    <row r="305">
      <c r="A305" s="8"/>
      <c r="B305" s="8"/>
      <c r="C305" s="8"/>
      <c r="D305" s="8"/>
      <c r="E305" s="8"/>
      <c r="F305" s="8"/>
    </row>
    <row r="306">
      <c r="A306" s="8"/>
      <c r="B306" s="8"/>
      <c r="C306" s="8"/>
      <c r="D306" s="8"/>
      <c r="E306" s="8"/>
      <c r="F306" s="8"/>
    </row>
    <row r="307">
      <c r="A307" s="8"/>
      <c r="B307" s="8"/>
      <c r="C307" s="8"/>
      <c r="D307" s="8"/>
      <c r="E307" s="8"/>
      <c r="F307" s="8"/>
    </row>
    <row r="308">
      <c r="A308" s="8"/>
      <c r="B308" s="8"/>
      <c r="C308" s="8"/>
      <c r="D308" s="8"/>
      <c r="E308" s="8"/>
      <c r="F308" s="8"/>
    </row>
    <row r="309">
      <c r="A309" s="8"/>
      <c r="B309" s="8"/>
      <c r="C309" s="8"/>
      <c r="D309" s="8"/>
      <c r="E309" s="8"/>
      <c r="F309" s="8"/>
    </row>
    <row r="310">
      <c r="A310" s="8"/>
      <c r="B310" s="8"/>
      <c r="C310" s="8"/>
      <c r="D310" s="8"/>
      <c r="E310" s="8"/>
      <c r="F310" s="8"/>
    </row>
    <row r="311">
      <c r="A311" s="8"/>
      <c r="B311" s="8"/>
      <c r="C311" s="8"/>
      <c r="D311" s="8"/>
      <c r="E311" s="8"/>
      <c r="F311" s="8"/>
    </row>
    <row r="312">
      <c r="A312" s="8"/>
      <c r="B312" s="8"/>
      <c r="C312" s="8"/>
      <c r="D312" s="8"/>
      <c r="E312" s="8"/>
      <c r="F312" s="8"/>
    </row>
    <row r="313">
      <c r="A313" s="8"/>
      <c r="B313" s="8"/>
      <c r="C313" s="8"/>
      <c r="D313" s="8"/>
      <c r="E313" s="8"/>
      <c r="F313" s="8"/>
    </row>
    <row r="314">
      <c r="A314" s="8"/>
      <c r="B314" s="8"/>
      <c r="C314" s="8"/>
      <c r="D314" s="8"/>
      <c r="E314" s="8"/>
      <c r="F314" s="8"/>
    </row>
    <row r="315">
      <c r="A315" s="8"/>
      <c r="B315" s="8"/>
      <c r="C315" s="8"/>
      <c r="D315" s="8"/>
      <c r="E315" s="8"/>
      <c r="F315" s="8"/>
    </row>
    <row r="316">
      <c r="A316" s="8"/>
      <c r="B316" s="8"/>
      <c r="C316" s="8"/>
      <c r="D316" s="8"/>
      <c r="E316" s="8"/>
      <c r="F316" s="8"/>
    </row>
    <row r="317">
      <c r="A317" s="8"/>
      <c r="B317" s="8"/>
      <c r="C317" s="8"/>
      <c r="D317" s="8"/>
      <c r="E317" s="8"/>
      <c r="F317" s="8"/>
    </row>
    <row r="318">
      <c r="A318" s="8"/>
      <c r="B318" s="8"/>
      <c r="C318" s="8"/>
      <c r="D318" s="8"/>
      <c r="E318" s="8"/>
      <c r="F318" s="8"/>
    </row>
    <row r="319">
      <c r="A319" s="8"/>
      <c r="B319" s="8"/>
      <c r="C319" s="8"/>
      <c r="D319" s="8"/>
      <c r="E319" s="8"/>
      <c r="F319" s="8"/>
    </row>
    <row r="320">
      <c r="A320" s="8"/>
      <c r="B320" s="8"/>
      <c r="C320" s="8"/>
      <c r="D320" s="8"/>
      <c r="E320" s="8"/>
      <c r="F320" s="8"/>
    </row>
    <row r="321">
      <c r="A321" s="8"/>
      <c r="B321" s="8"/>
      <c r="C321" s="8"/>
      <c r="D321" s="8"/>
      <c r="E321" s="8"/>
      <c r="F321" s="8"/>
    </row>
    <row r="322">
      <c r="A322" s="8"/>
      <c r="B322" s="8"/>
      <c r="C322" s="8"/>
      <c r="D322" s="8"/>
      <c r="E322" s="8"/>
      <c r="F322" s="8"/>
    </row>
    <row r="323">
      <c r="A323" s="8"/>
      <c r="B323" s="8"/>
      <c r="C323" s="8"/>
      <c r="D323" s="8"/>
      <c r="E323" s="8"/>
      <c r="F323" s="8"/>
    </row>
    <row r="324">
      <c r="A324" s="8"/>
      <c r="B324" s="8"/>
      <c r="C324" s="8"/>
      <c r="D324" s="8"/>
      <c r="E324" s="8"/>
      <c r="F324" s="8"/>
    </row>
    <row r="325">
      <c r="A325" s="8"/>
      <c r="B325" s="8"/>
      <c r="C325" s="8"/>
      <c r="D325" s="8"/>
      <c r="E325" s="8"/>
      <c r="F325" s="8"/>
    </row>
    <row r="326">
      <c r="A326" s="8"/>
      <c r="B326" s="8"/>
      <c r="C326" s="8"/>
      <c r="D326" s="8"/>
      <c r="E326" s="8"/>
      <c r="F326" s="8"/>
    </row>
    <row r="327">
      <c r="A327" s="8"/>
      <c r="B327" s="8"/>
      <c r="C327" s="8"/>
      <c r="D327" s="8"/>
      <c r="E327" s="8"/>
      <c r="F327" s="8"/>
    </row>
    <row r="328">
      <c r="A328" s="8"/>
      <c r="B328" s="8"/>
      <c r="C328" s="8"/>
      <c r="D328" s="8"/>
      <c r="E328" s="8"/>
      <c r="F328" s="8"/>
    </row>
    <row r="329">
      <c r="A329" s="8"/>
      <c r="B329" s="8"/>
      <c r="C329" s="8"/>
      <c r="D329" s="8"/>
      <c r="E329" s="8"/>
      <c r="F329" s="8"/>
    </row>
    <row r="330">
      <c r="A330" s="8"/>
      <c r="B330" s="8"/>
      <c r="C330" s="8"/>
      <c r="D330" s="8"/>
      <c r="E330" s="8"/>
      <c r="F330" s="8"/>
    </row>
    <row r="331">
      <c r="A331" s="8"/>
      <c r="B331" s="8"/>
      <c r="C331" s="8"/>
      <c r="D331" s="8"/>
      <c r="E331" s="8"/>
      <c r="F331" s="8"/>
    </row>
    <row r="332">
      <c r="A332" s="8"/>
      <c r="B332" s="8"/>
      <c r="C332" s="8"/>
      <c r="D332" s="8"/>
      <c r="E332" s="8"/>
      <c r="F332" s="8"/>
    </row>
    <row r="333">
      <c r="A333" s="8"/>
      <c r="B333" s="8"/>
      <c r="C333" s="8"/>
      <c r="D333" s="8"/>
      <c r="E333" s="8"/>
      <c r="F333" s="8"/>
    </row>
    <row r="334">
      <c r="A334" s="8"/>
      <c r="B334" s="8"/>
      <c r="C334" s="8"/>
      <c r="D334" s="8"/>
      <c r="E334" s="8"/>
      <c r="F334" s="8"/>
    </row>
    <row r="335">
      <c r="A335" s="8"/>
      <c r="B335" s="8"/>
      <c r="C335" s="8"/>
      <c r="D335" s="8"/>
      <c r="E335" s="8"/>
      <c r="F335" s="8"/>
    </row>
    <row r="336">
      <c r="A336" s="8"/>
      <c r="B336" s="8"/>
      <c r="C336" s="8"/>
      <c r="D336" s="8"/>
      <c r="E336" s="8"/>
      <c r="F336" s="8"/>
    </row>
    <row r="337">
      <c r="A337" s="8"/>
      <c r="B337" s="8"/>
      <c r="C337" s="8"/>
      <c r="D337" s="8"/>
      <c r="E337" s="8"/>
      <c r="F337" s="8"/>
    </row>
    <row r="338">
      <c r="A338" s="8"/>
      <c r="B338" s="8"/>
      <c r="C338" s="8"/>
      <c r="D338" s="8"/>
      <c r="E338" s="8"/>
      <c r="F338" s="8"/>
    </row>
    <row r="339">
      <c r="A339" s="8"/>
      <c r="B339" s="8"/>
      <c r="C339" s="8"/>
      <c r="D339" s="8"/>
      <c r="E339" s="8"/>
      <c r="F339" s="8"/>
    </row>
    <row r="340">
      <c r="A340" s="8"/>
      <c r="B340" s="8"/>
      <c r="C340" s="8"/>
      <c r="D340" s="8"/>
      <c r="E340" s="8"/>
      <c r="F340" s="8"/>
    </row>
    <row r="341">
      <c r="A341" s="8"/>
      <c r="B341" s="8"/>
      <c r="C341" s="8"/>
      <c r="D341" s="8"/>
      <c r="E341" s="8"/>
      <c r="F341" s="8"/>
    </row>
    <row r="342">
      <c r="A342" s="8"/>
      <c r="B342" s="8"/>
      <c r="C342" s="8"/>
      <c r="D342" s="8"/>
      <c r="E342" s="8"/>
      <c r="F342" s="8"/>
    </row>
    <row r="343">
      <c r="A343" s="8"/>
      <c r="B343" s="8"/>
      <c r="C343" s="8"/>
      <c r="D343" s="8"/>
      <c r="E343" s="8"/>
      <c r="F343" s="8"/>
    </row>
    <row r="344">
      <c r="A344" s="8"/>
      <c r="B344" s="8"/>
      <c r="C344" s="8"/>
      <c r="D344" s="8"/>
      <c r="E344" s="8"/>
      <c r="F344" s="8"/>
    </row>
    <row r="345">
      <c r="A345" s="8"/>
      <c r="B345" s="8"/>
      <c r="C345" s="8"/>
      <c r="D345" s="8"/>
      <c r="E345" s="8"/>
      <c r="F345" s="8"/>
    </row>
    <row r="346">
      <c r="A346" s="8"/>
      <c r="B346" s="8"/>
      <c r="C346" s="8"/>
      <c r="D346" s="8"/>
      <c r="E346" s="8"/>
      <c r="F346" s="8"/>
    </row>
    <row r="347">
      <c r="A347" s="8"/>
      <c r="B347" s="8"/>
      <c r="C347" s="8"/>
      <c r="D347" s="8"/>
      <c r="E347" s="8"/>
      <c r="F347" s="8"/>
    </row>
    <row r="348">
      <c r="A348" s="8"/>
      <c r="B348" s="8"/>
      <c r="C348" s="8"/>
      <c r="D348" s="8"/>
      <c r="E348" s="8"/>
      <c r="F348" s="8"/>
    </row>
    <row r="349">
      <c r="A349" s="8"/>
      <c r="B349" s="8"/>
      <c r="C349" s="8"/>
      <c r="D349" s="8"/>
      <c r="E349" s="8"/>
      <c r="F349" s="8"/>
    </row>
    <row r="350">
      <c r="A350" s="8"/>
      <c r="B350" s="8"/>
      <c r="C350" s="8"/>
      <c r="D350" s="8"/>
      <c r="E350" s="8"/>
      <c r="F350" s="8"/>
    </row>
    <row r="351">
      <c r="A351" s="8"/>
      <c r="B351" s="8"/>
      <c r="C351" s="8"/>
      <c r="D351" s="8"/>
      <c r="E351" s="8"/>
      <c r="F351" s="8"/>
    </row>
    <row r="352">
      <c r="A352" s="8"/>
      <c r="B352" s="8"/>
      <c r="C352" s="8"/>
      <c r="D352" s="8"/>
      <c r="E352" s="8"/>
      <c r="F352" s="8"/>
    </row>
    <row r="353">
      <c r="A353" s="8"/>
      <c r="B353" s="8"/>
      <c r="C353" s="8"/>
      <c r="D353" s="8"/>
      <c r="E353" s="8"/>
      <c r="F353" s="8"/>
    </row>
    <row r="354">
      <c r="A354" s="8"/>
      <c r="B354" s="8"/>
      <c r="C354" s="8"/>
      <c r="D354" s="8"/>
      <c r="E354" s="8"/>
      <c r="F354" s="8"/>
    </row>
    <row r="355">
      <c r="A355" s="8"/>
      <c r="B355" s="8"/>
      <c r="C355" s="8"/>
      <c r="D355" s="8"/>
      <c r="E355" s="8"/>
      <c r="F355" s="8"/>
    </row>
    <row r="356">
      <c r="A356" s="8"/>
      <c r="B356" s="8"/>
      <c r="C356" s="8"/>
      <c r="D356" s="8"/>
      <c r="E356" s="8"/>
      <c r="F356" s="8"/>
    </row>
    <row r="357">
      <c r="A357" s="8"/>
      <c r="B357" s="8"/>
      <c r="C357" s="8"/>
      <c r="D357" s="8"/>
      <c r="E357" s="8"/>
      <c r="F357" s="8"/>
    </row>
    <row r="358">
      <c r="A358" s="8"/>
      <c r="B358" s="8"/>
      <c r="C358" s="8"/>
      <c r="D358" s="8"/>
      <c r="E358" s="8"/>
      <c r="F358" s="8"/>
    </row>
    <row r="359">
      <c r="A359" s="8"/>
      <c r="B359" s="8"/>
      <c r="C359" s="8"/>
      <c r="D359" s="8"/>
      <c r="E359" s="8"/>
      <c r="F359" s="8"/>
    </row>
    <row r="360">
      <c r="A360" s="8"/>
      <c r="B360" s="8"/>
      <c r="C360" s="8"/>
      <c r="D360" s="8"/>
      <c r="E360" s="8"/>
      <c r="F360" s="8"/>
    </row>
    <row r="361">
      <c r="A361" s="8"/>
      <c r="B361" s="8"/>
      <c r="C361" s="8"/>
      <c r="D361" s="8"/>
      <c r="E361" s="8"/>
      <c r="F361" s="8"/>
    </row>
    <row r="362">
      <c r="A362" s="8"/>
      <c r="B362" s="8"/>
      <c r="C362" s="8"/>
      <c r="D362" s="8"/>
      <c r="E362" s="8"/>
      <c r="F362" s="8"/>
    </row>
    <row r="363">
      <c r="A363" s="8"/>
      <c r="B363" s="8"/>
      <c r="C363" s="8"/>
      <c r="D363" s="8"/>
      <c r="E363" s="8"/>
      <c r="F363" s="8"/>
    </row>
    <row r="364">
      <c r="A364" s="8"/>
      <c r="B364" s="8"/>
      <c r="C364" s="8"/>
      <c r="D364" s="8"/>
      <c r="E364" s="8"/>
      <c r="F364" s="8"/>
    </row>
    <row r="365">
      <c r="A365" s="8"/>
      <c r="B365" s="8"/>
      <c r="C365" s="8"/>
      <c r="D365" s="8"/>
      <c r="E365" s="8"/>
      <c r="F365" s="8"/>
    </row>
    <row r="366">
      <c r="A366" s="8"/>
      <c r="B366" s="8"/>
      <c r="C366" s="8"/>
      <c r="D366" s="8"/>
      <c r="E366" s="8"/>
      <c r="F366" s="8"/>
    </row>
    <row r="367">
      <c r="A367" s="8"/>
      <c r="B367" s="8"/>
      <c r="C367" s="8"/>
      <c r="D367" s="8"/>
      <c r="E367" s="8"/>
      <c r="F367" s="8"/>
    </row>
    <row r="368">
      <c r="A368" s="8"/>
      <c r="B368" s="8"/>
      <c r="C368" s="8"/>
      <c r="D368" s="8"/>
      <c r="E368" s="8"/>
      <c r="F368" s="8"/>
    </row>
    <row r="369">
      <c r="A369" s="8"/>
      <c r="B369" s="8"/>
      <c r="C369" s="8"/>
      <c r="D369" s="8"/>
      <c r="E369" s="8"/>
      <c r="F369" s="8"/>
    </row>
    <row r="370">
      <c r="A370" s="8"/>
      <c r="B370" s="8"/>
      <c r="C370" s="8"/>
      <c r="D370" s="8"/>
      <c r="E370" s="8"/>
      <c r="F370" s="8"/>
    </row>
    <row r="371">
      <c r="A371" s="8"/>
      <c r="B371" s="8"/>
      <c r="C371" s="8"/>
      <c r="D371" s="8"/>
      <c r="E371" s="8"/>
      <c r="F371" s="8"/>
    </row>
    <row r="372">
      <c r="A372" s="8"/>
      <c r="B372" s="8"/>
      <c r="C372" s="8"/>
      <c r="D372" s="8"/>
      <c r="E372" s="8"/>
      <c r="F372" s="8"/>
    </row>
    <row r="373">
      <c r="A373" s="8"/>
      <c r="B373" s="8"/>
      <c r="C373" s="8"/>
      <c r="D373" s="8"/>
      <c r="E373" s="8"/>
      <c r="F373" s="8"/>
    </row>
    <row r="374">
      <c r="A374" s="8"/>
      <c r="B374" s="8"/>
      <c r="C374" s="8"/>
      <c r="D374" s="8"/>
      <c r="E374" s="8"/>
      <c r="F374" s="8"/>
    </row>
    <row r="375">
      <c r="A375" s="8"/>
      <c r="B375" s="8"/>
      <c r="C375" s="8"/>
      <c r="D375" s="8"/>
      <c r="E375" s="8"/>
      <c r="F375" s="8"/>
    </row>
    <row r="376">
      <c r="A376" s="8"/>
      <c r="B376" s="8"/>
      <c r="C376" s="8"/>
      <c r="D376" s="8"/>
      <c r="E376" s="8"/>
      <c r="F376" s="8"/>
    </row>
    <row r="377">
      <c r="A377" s="8"/>
      <c r="B377" s="8"/>
      <c r="C377" s="8"/>
      <c r="D377" s="8"/>
      <c r="E377" s="8"/>
      <c r="F377" s="8"/>
    </row>
    <row r="378">
      <c r="A378" s="8"/>
      <c r="B378" s="8"/>
      <c r="C378" s="8"/>
      <c r="D378" s="8"/>
      <c r="E378" s="8"/>
      <c r="F378" s="8"/>
    </row>
    <row r="379">
      <c r="A379" s="8"/>
      <c r="B379" s="8"/>
      <c r="C379" s="8"/>
      <c r="D379" s="8"/>
      <c r="E379" s="8"/>
      <c r="F379" s="8"/>
    </row>
    <row r="380">
      <c r="A380" s="8"/>
      <c r="B380" s="8"/>
      <c r="C380" s="8"/>
      <c r="D380" s="8"/>
      <c r="E380" s="8"/>
      <c r="F380" s="8"/>
    </row>
    <row r="381">
      <c r="A381" s="8"/>
      <c r="B381" s="8"/>
      <c r="C381" s="8"/>
      <c r="D381" s="8"/>
      <c r="E381" s="8"/>
      <c r="F381" s="8"/>
    </row>
    <row r="382">
      <c r="A382" s="8"/>
      <c r="B382" s="8"/>
      <c r="C382" s="8"/>
      <c r="D382" s="8"/>
      <c r="E382" s="8"/>
      <c r="F382" s="8"/>
    </row>
    <row r="383">
      <c r="A383" s="8"/>
      <c r="B383" s="8"/>
      <c r="C383" s="8"/>
      <c r="D383" s="8"/>
      <c r="E383" s="8"/>
      <c r="F383" s="8"/>
    </row>
    <row r="384">
      <c r="A384" s="8"/>
      <c r="B384" s="8"/>
      <c r="C384" s="8"/>
      <c r="D384" s="8"/>
      <c r="E384" s="8"/>
      <c r="F384" s="8"/>
    </row>
    <row r="385">
      <c r="A385" s="8"/>
      <c r="B385" s="8"/>
      <c r="C385" s="8"/>
      <c r="D385" s="8"/>
      <c r="E385" s="8"/>
      <c r="F385" s="8"/>
    </row>
    <row r="386">
      <c r="A386" s="8"/>
      <c r="B386" s="8"/>
      <c r="C386" s="8"/>
      <c r="D386" s="8"/>
      <c r="E386" s="8"/>
      <c r="F386" s="8"/>
    </row>
    <row r="387">
      <c r="A387" s="8"/>
      <c r="B387" s="8"/>
      <c r="C387" s="8"/>
      <c r="D387" s="8"/>
      <c r="E387" s="8"/>
      <c r="F387" s="8"/>
    </row>
    <row r="388">
      <c r="A388" s="8"/>
      <c r="B388" s="8"/>
      <c r="C388" s="8"/>
      <c r="D388" s="8"/>
      <c r="E388" s="8"/>
      <c r="F388" s="8"/>
    </row>
    <row r="389">
      <c r="A389" s="8"/>
      <c r="B389" s="8"/>
      <c r="C389" s="8"/>
      <c r="D389" s="8"/>
      <c r="E389" s="8"/>
      <c r="F389" s="8"/>
    </row>
    <row r="390">
      <c r="A390" s="8"/>
      <c r="B390" s="8"/>
      <c r="C390" s="8"/>
      <c r="D390" s="8"/>
      <c r="E390" s="8"/>
      <c r="F390" s="8"/>
    </row>
    <row r="391">
      <c r="A391" s="8"/>
      <c r="B391" s="8"/>
      <c r="C391" s="8"/>
      <c r="D391" s="8"/>
      <c r="E391" s="8"/>
      <c r="F391" s="8"/>
    </row>
    <row r="392">
      <c r="A392" s="8"/>
      <c r="B392" s="8"/>
      <c r="C392" s="8"/>
      <c r="D392" s="8"/>
      <c r="E392" s="8"/>
      <c r="F392" s="8"/>
    </row>
    <row r="393">
      <c r="A393" s="8"/>
      <c r="B393" s="8"/>
      <c r="C393" s="8"/>
      <c r="D393" s="8"/>
      <c r="E393" s="8"/>
      <c r="F393" s="8"/>
    </row>
    <row r="394">
      <c r="A394" s="8"/>
      <c r="B394" s="8"/>
      <c r="C394" s="8"/>
      <c r="D394" s="8"/>
      <c r="E394" s="8"/>
      <c r="F394" s="8"/>
    </row>
    <row r="395">
      <c r="A395" s="8"/>
      <c r="B395" s="8"/>
      <c r="C395" s="8"/>
      <c r="D395" s="8"/>
      <c r="E395" s="8"/>
      <c r="F395" s="8"/>
    </row>
    <row r="396">
      <c r="A396" s="8"/>
      <c r="B396" s="8"/>
      <c r="C396" s="8"/>
      <c r="D396" s="8"/>
      <c r="E396" s="8"/>
      <c r="F396" s="8"/>
    </row>
    <row r="397">
      <c r="A397" s="8"/>
      <c r="B397" s="8"/>
      <c r="C397" s="8"/>
      <c r="D397" s="8"/>
      <c r="E397" s="8"/>
      <c r="F397" s="8"/>
    </row>
    <row r="398">
      <c r="A398" s="8"/>
      <c r="B398" s="8"/>
      <c r="C398" s="8"/>
      <c r="D398" s="8"/>
      <c r="E398" s="8"/>
      <c r="F398" s="8"/>
    </row>
    <row r="399">
      <c r="A399" s="8"/>
      <c r="B399" s="8"/>
      <c r="C399" s="8"/>
      <c r="D399" s="8"/>
      <c r="E399" s="8"/>
      <c r="F399" s="8"/>
    </row>
    <row r="400">
      <c r="A400" s="8"/>
      <c r="B400" s="8"/>
      <c r="C400" s="8"/>
      <c r="D400" s="8"/>
      <c r="E400" s="8"/>
      <c r="F400" s="8"/>
    </row>
    <row r="401">
      <c r="A401" s="8"/>
      <c r="B401" s="8"/>
      <c r="C401" s="8"/>
      <c r="D401" s="8"/>
      <c r="E401" s="8"/>
      <c r="F401" s="8"/>
    </row>
    <row r="402">
      <c r="A402" s="8"/>
      <c r="B402" s="8"/>
      <c r="C402" s="8"/>
      <c r="D402" s="8"/>
      <c r="E402" s="8"/>
      <c r="F402" s="8"/>
    </row>
    <row r="403">
      <c r="A403" s="8"/>
      <c r="B403" s="8"/>
      <c r="C403" s="8"/>
      <c r="D403" s="8"/>
      <c r="E403" s="8"/>
      <c r="F403" s="8"/>
    </row>
    <row r="404">
      <c r="A404" s="8"/>
      <c r="B404" s="8"/>
      <c r="C404" s="8"/>
      <c r="D404" s="8"/>
      <c r="E404" s="8"/>
      <c r="F404" s="8"/>
    </row>
    <row r="405">
      <c r="A405" s="8"/>
      <c r="B405" s="8"/>
      <c r="C405" s="8"/>
      <c r="D405" s="8"/>
      <c r="E405" s="8"/>
      <c r="F405" s="8"/>
    </row>
    <row r="406">
      <c r="A406" s="8"/>
      <c r="B406" s="8"/>
      <c r="C406" s="8"/>
      <c r="D406" s="8"/>
      <c r="E406" s="8"/>
      <c r="F406" s="8"/>
    </row>
    <row r="407">
      <c r="A407" s="8"/>
      <c r="B407" s="8"/>
      <c r="C407" s="8"/>
      <c r="D407" s="8"/>
      <c r="E407" s="8"/>
      <c r="F407" s="8"/>
    </row>
    <row r="408">
      <c r="A408" s="8"/>
      <c r="B408" s="8"/>
      <c r="C408" s="8"/>
      <c r="D408" s="8"/>
      <c r="E408" s="8"/>
      <c r="F408" s="8"/>
    </row>
    <row r="409">
      <c r="A409" s="8"/>
      <c r="B409" s="8"/>
      <c r="C409" s="8"/>
      <c r="D409" s="8"/>
      <c r="E409" s="8"/>
      <c r="F409" s="8"/>
    </row>
    <row r="410">
      <c r="A410" s="8"/>
      <c r="B410" s="8"/>
      <c r="C410" s="8"/>
      <c r="D410" s="8"/>
      <c r="E410" s="8"/>
      <c r="F410" s="8"/>
    </row>
    <row r="411">
      <c r="A411" s="8"/>
      <c r="B411" s="8"/>
      <c r="C411" s="8"/>
      <c r="D411" s="8"/>
      <c r="E411" s="8"/>
      <c r="F411" s="8"/>
    </row>
    <row r="412">
      <c r="A412" s="8"/>
      <c r="B412" s="8"/>
      <c r="C412" s="8"/>
      <c r="D412" s="8"/>
      <c r="E412" s="8"/>
      <c r="F412" s="8"/>
    </row>
    <row r="413">
      <c r="A413" s="8"/>
      <c r="B413" s="8"/>
      <c r="C413" s="8"/>
      <c r="D413" s="8"/>
      <c r="E413" s="8"/>
      <c r="F413" s="8"/>
    </row>
    <row r="414">
      <c r="A414" s="8"/>
      <c r="B414" s="8"/>
      <c r="C414" s="8"/>
      <c r="D414" s="8"/>
      <c r="E414" s="8"/>
      <c r="F414" s="8"/>
    </row>
    <row r="415">
      <c r="A415" s="8"/>
      <c r="B415" s="8"/>
      <c r="C415" s="8"/>
      <c r="D415" s="8"/>
      <c r="E415" s="8"/>
      <c r="F415" s="8"/>
    </row>
    <row r="416">
      <c r="A416" s="8"/>
      <c r="B416" s="8"/>
      <c r="C416" s="8"/>
      <c r="D416" s="8"/>
      <c r="E416" s="8"/>
      <c r="F416" s="8"/>
    </row>
    <row r="417">
      <c r="A417" s="8"/>
      <c r="B417" s="8"/>
      <c r="C417" s="8"/>
      <c r="D417" s="8"/>
      <c r="E417" s="8"/>
      <c r="F417" s="8"/>
    </row>
    <row r="418">
      <c r="A418" s="8"/>
      <c r="B418" s="8"/>
      <c r="C418" s="8"/>
      <c r="D418" s="8"/>
      <c r="E418" s="8"/>
      <c r="F418" s="8"/>
    </row>
    <row r="419">
      <c r="A419" s="8"/>
      <c r="B419" s="8"/>
      <c r="C419" s="8"/>
      <c r="D419" s="8"/>
      <c r="E419" s="8"/>
      <c r="F419" s="8"/>
    </row>
    <row r="420">
      <c r="A420" s="8"/>
      <c r="B420" s="8"/>
      <c r="C420" s="8"/>
      <c r="D420" s="8"/>
      <c r="E420" s="8"/>
      <c r="F420" s="8"/>
    </row>
    <row r="421">
      <c r="A421" s="8"/>
      <c r="B421" s="8"/>
      <c r="C421" s="8"/>
      <c r="D421" s="8"/>
      <c r="E421" s="8"/>
      <c r="F421" s="8"/>
    </row>
    <row r="422">
      <c r="A422" s="8"/>
      <c r="B422" s="8"/>
      <c r="C422" s="8"/>
      <c r="D422" s="8"/>
      <c r="E422" s="8"/>
      <c r="F422" s="8"/>
    </row>
    <row r="423">
      <c r="A423" s="8"/>
      <c r="B423" s="8"/>
      <c r="C423" s="8"/>
      <c r="D423" s="8"/>
      <c r="E423" s="8"/>
      <c r="F423" s="8"/>
    </row>
    <row r="424">
      <c r="A424" s="8"/>
      <c r="B424" s="8"/>
      <c r="C424" s="8"/>
      <c r="D424" s="8"/>
      <c r="E424" s="8"/>
      <c r="F424" s="8"/>
    </row>
    <row r="425">
      <c r="A425" s="8"/>
      <c r="B425" s="8"/>
      <c r="C425" s="8"/>
      <c r="D425" s="8"/>
      <c r="E425" s="8"/>
      <c r="F425" s="8"/>
    </row>
    <row r="426">
      <c r="A426" s="8"/>
      <c r="B426" s="8"/>
      <c r="C426" s="8"/>
      <c r="D426" s="8"/>
      <c r="E426" s="8"/>
      <c r="F426" s="8"/>
    </row>
    <row r="427">
      <c r="A427" s="8"/>
      <c r="B427" s="8"/>
      <c r="C427" s="8"/>
      <c r="D427" s="8"/>
      <c r="E427" s="8"/>
      <c r="F427" s="8"/>
    </row>
    <row r="428">
      <c r="A428" s="8"/>
      <c r="B428" s="8"/>
      <c r="C428" s="8"/>
      <c r="D428" s="8"/>
      <c r="E428" s="8"/>
      <c r="F428" s="8"/>
    </row>
    <row r="429">
      <c r="A429" s="8"/>
      <c r="B429" s="8"/>
      <c r="C429" s="8"/>
      <c r="D429" s="8"/>
      <c r="E429" s="8"/>
      <c r="F429" s="8"/>
    </row>
    <row r="430">
      <c r="A430" s="8"/>
      <c r="B430" s="8"/>
      <c r="C430" s="8"/>
      <c r="D430" s="8"/>
      <c r="E430" s="8"/>
      <c r="F430" s="8"/>
    </row>
    <row r="431">
      <c r="A431" s="8"/>
      <c r="B431" s="8"/>
      <c r="C431" s="8"/>
      <c r="D431" s="8"/>
      <c r="E431" s="8"/>
      <c r="F431" s="8"/>
    </row>
    <row r="432">
      <c r="A432" s="8"/>
      <c r="B432" s="8"/>
      <c r="C432" s="8"/>
      <c r="D432" s="8"/>
      <c r="E432" s="8"/>
      <c r="F432" s="8"/>
    </row>
    <row r="433">
      <c r="A433" s="8"/>
      <c r="B433" s="8"/>
      <c r="C433" s="8"/>
      <c r="D433" s="8"/>
      <c r="E433" s="8"/>
      <c r="F433" s="8"/>
    </row>
    <row r="434">
      <c r="A434" s="8"/>
      <c r="B434" s="8"/>
      <c r="C434" s="8"/>
      <c r="D434" s="8"/>
      <c r="E434" s="8"/>
      <c r="F434" s="8"/>
    </row>
    <row r="435">
      <c r="A435" s="8"/>
      <c r="B435" s="8"/>
      <c r="C435" s="8"/>
      <c r="D435" s="8"/>
      <c r="E435" s="8"/>
      <c r="F435" s="8"/>
    </row>
    <row r="436">
      <c r="A436" s="8"/>
      <c r="B436" s="8"/>
      <c r="C436" s="8"/>
      <c r="D436" s="8"/>
      <c r="E436" s="8"/>
      <c r="F436" s="8"/>
    </row>
    <row r="437">
      <c r="A437" s="8"/>
      <c r="B437" s="8"/>
      <c r="C437" s="8"/>
      <c r="D437" s="8"/>
      <c r="E437" s="8"/>
      <c r="F437" s="8"/>
    </row>
    <row r="438">
      <c r="A438" s="8"/>
      <c r="B438" s="8"/>
      <c r="C438" s="8"/>
      <c r="D438" s="8"/>
      <c r="E438" s="8"/>
      <c r="F438" s="8"/>
    </row>
    <row r="439">
      <c r="A439" s="8"/>
      <c r="B439" s="8"/>
      <c r="C439" s="8"/>
      <c r="D439" s="8"/>
      <c r="E439" s="8"/>
      <c r="F439" s="8"/>
    </row>
    <row r="440">
      <c r="A440" s="8"/>
      <c r="B440" s="8"/>
      <c r="C440" s="8"/>
      <c r="D440" s="8"/>
      <c r="E440" s="8"/>
      <c r="F440" s="8"/>
    </row>
    <row r="441">
      <c r="A441" s="8"/>
      <c r="B441" s="8"/>
      <c r="C441" s="8"/>
      <c r="D441" s="8"/>
      <c r="E441" s="8"/>
      <c r="F441" s="8"/>
    </row>
    <row r="442">
      <c r="A442" s="8"/>
      <c r="B442" s="8"/>
      <c r="C442" s="8"/>
      <c r="D442" s="8"/>
      <c r="E442" s="8"/>
      <c r="F442" s="8"/>
    </row>
    <row r="443">
      <c r="A443" s="8"/>
      <c r="B443" s="8"/>
      <c r="C443" s="8"/>
      <c r="D443" s="8"/>
      <c r="E443" s="8"/>
      <c r="F443" s="8"/>
    </row>
    <row r="444">
      <c r="A444" s="8"/>
      <c r="B444" s="8"/>
      <c r="C444" s="8"/>
      <c r="D444" s="8"/>
      <c r="E444" s="8"/>
      <c r="F444" s="8"/>
    </row>
    <row r="445">
      <c r="A445" s="8"/>
      <c r="B445" s="8"/>
      <c r="C445" s="8"/>
      <c r="D445" s="8"/>
      <c r="E445" s="8"/>
      <c r="F445" s="8"/>
    </row>
    <row r="446">
      <c r="A446" s="8"/>
      <c r="B446" s="8"/>
      <c r="C446" s="8"/>
      <c r="D446" s="8"/>
      <c r="E446" s="8"/>
      <c r="F446" s="8"/>
    </row>
    <row r="447">
      <c r="A447" s="8"/>
      <c r="B447" s="8"/>
      <c r="C447" s="8"/>
      <c r="D447" s="8"/>
      <c r="E447" s="8"/>
      <c r="F447" s="8"/>
    </row>
    <row r="448">
      <c r="A448" s="8"/>
      <c r="B448" s="8"/>
      <c r="C448" s="8"/>
      <c r="D448" s="8"/>
      <c r="E448" s="8"/>
      <c r="F448" s="8"/>
    </row>
    <row r="449">
      <c r="A449" s="8"/>
      <c r="B449" s="8"/>
      <c r="C449" s="8"/>
      <c r="D449" s="8"/>
      <c r="E449" s="8"/>
      <c r="F449" s="8"/>
    </row>
    <row r="450">
      <c r="A450" s="8"/>
      <c r="B450" s="8"/>
      <c r="C450" s="8"/>
      <c r="D450" s="8"/>
      <c r="E450" s="8"/>
      <c r="F450" s="8"/>
    </row>
    <row r="451">
      <c r="A451" s="8"/>
      <c r="B451" s="8"/>
      <c r="C451" s="8"/>
      <c r="D451" s="8"/>
      <c r="E451" s="8"/>
      <c r="F451" s="8"/>
    </row>
    <row r="452">
      <c r="A452" s="8"/>
      <c r="B452" s="8"/>
      <c r="C452" s="8"/>
      <c r="D452" s="8"/>
      <c r="E452" s="8"/>
      <c r="F452" s="8"/>
    </row>
    <row r="453">
      <c r="A453" s="8"/>
      <c r="B453" s="8"/>
      <c r="C453" s="8"/>
      <c r="D453" s="8"/>
      <c r="E453" s="8"/>
      <c r="F453" s="8"/>
    </row>
    <row r="454">
      <c r="A454" s="8"/>
      <c r="B454" s="8"/>
      <c r="C454" s="8"/>
      <c r="D454" s="8"/>
      <c r="E454" s="8"/>
      <c r="F454" s="8"/>
    </row>
    <row r="455">
      <c r="A455" s="8"/>
      <c r="B455" s="8"/>
      <c r="C455" s="8"/>
      <c r="D455" s="8"/>
      <c r="E455" s="8"/>
      <c r="F455" s="8"/>
    </row>
    <row r="456">
      <c r="A456" s="8"/>
      <c r="B456" s="8"/>
      <c r="C456" s="8"/>
      <c r="D456" s="8"/>
      <c r="E456" s="8"/>
      <c r="F456" s="8"/>
    </row>
    <row r="457">
      <c r="A457" s="8"/>
      <c r="B457" s="8"/>
      <c r="C457" s="8"/>
      <c r="D457" s="8"/>
      <c r="E457" s="8"/>
      <c r="F457" s="8"/>
    </row>
    <row r="458">
      <c r="A458" s="8"/>
      <c r="B458" s="8"/>
      <c r="C458" s="8"/>
      <c r="D458" s="8"/>
      <c r="E458" s="8"/>
      <c r="F458" s="8"/>
    </row>
    <row r="459">
      <c r="A459" s="8"/>
      <c r="B459" s="8"/>
      <c r="C459" s="8"/>
      <c r="D459" s="8"/>
      <c r="E459" s="8"/>
      <c r="F459" s="8"/>
    </row>
    <row r="460">
      <c r="A460" s="8"/>
      <c r="B460" s="8"/>
      <c r="C460" s="8"/>
      <c r="D460" s="8"/>
      <c r="E460" s="8"/>
      <c r="F460" s="8"/>
    </row>
    <row r="461">
      <c r="A461" s="8"/>
      <c r="B461" s="8"/>
      <c r="C461" s="8"/>
      <c r="D461" s="8"/>
      <c r="E461" s="8"/>
      <c r="F461" s="8"/>
    </row>
    <row r="462">
      <c r="A462" s="8"/>
      <c r="B462" s="8"/>
      <c r="C462" s="8"/>
      <c r="D462" s="8"/>
      <c r="E462" s="8"/>
      <c r="F462" s="8"/>
    </row>
    <row r="463">
      <c r="A463" s="8"/>
      <c r="B463" s="8"/>
      <c r="C463" s="8"/>
      <c r="D463" s="8"/>
      <c r="E463" s="8"/>
      <c r="F463" s="8"/>
    </row>
    <row r="464">
      <c r="A464" s="8"/>
      <c r="B464" s="8"/>
      <c r="C464" s="8"/>
      <c r="D464" s="8"/>
      <c r="E464" s="8"/>
      <c r="F464" s="8"/>
    </row>
    <row r="465">
      <c r="A465" s="8"/>
      <c r="B465" s="8"/>
      <c r="C465" s="8"/>
      <c r="D465" s="8"/>
      <c r="E465" s="8"/>
      <c r="F465" s="8"/>
    </row>
    <row r="466">
      <c r="A466" s="8"/>
      <c r="B466" s="8"/>
      <c r="C466" s="8"/>
      <c r="D466" s="8"/>
      <c r="E466" s="8"/>
      <c r="F466" s="8"/>
    </row>
    <row r="467">
      <c r="A467" s="8"/>
      <c r="B467" s="8"/>
      <c r="C467" s="8"/>
      <c r="D467" s="8"/>
      <c r="E467" s="8"/>
      <c r="F467" s="8"/>
    </row>
    <row r="468">
      <c r="A468" s="8"/>
      <c r="B468" s="8"/>
      <c r="C468" s="8"/>
      <c r="D468" s="8"/>
      <c r="E468" s="8"/>
      <c r="F468" s="8"/>
    </row>
    <row r="469">
      <c r="A469" s="8"/>
      <c r="B469" s="8"/>
      <c r="C469" s="8"/>
      <c r="D469" s="8"/>
      <c r="E469" s="8"/>
      <c r="F469" s="8"/>
    </row>
    <row r="470">
      <c r="A470" s="8"/>
      <c r="B470" s="8"/>
      <c r="C470" s="8"/>
      <c r="D470" s="8"/>
      <c r="E470" s="8"/>
      <c r="F470" s="8"/>
    </row>
    <row r="471">
      <c r="A471" s="8"/>
      <c r="B471" s="8"/>
      <c r="C471" s="8"/>
      <c r="D471" s="8"/>
      <c r="E471" s="8"/>
      <c r="F471" s="8"/>
    </row>
    <row r="472">
      <c r="A472" s="8"/>
      <c r="B472" s="8"/>
      <c r="C472" s="8"/>
      <c r="D472" s="8"/>
      <c r="E472" s="8"/>
      <c r="F472" s="8"/>
    </row>
    <row r="473">
      <c r="A473" s="8"/>
      <c r="B473" s="8"/>
      <c r="C473" s="8"/>
      <c r="D473" s="8"/>
      <c r="E473" s="8"/>
      <c r="F473" s="8"/>
    </row>
    <row r="474">
      <c r="A474" s="8"/>
      <c r="B474" s="8"/>
      <c r="C474" s="8"/>
      <c r="D474" s="8"/>
      <c r="E474" s="8"/>
      <c r="F474" s="8"/>
    </row>
    <row r="475">
      <c r="A475" s="8"/>
      <c r="B475" s="8"/>
      <c r="C475" s="8"/>
      <c r="D475" s="8"/>
      <c r="E475" s="8"/>
      <c r="F475" s="8"/>
    </row>
    <row r="476">
      <c r="A476" s="8"/>
      <c r="B476" s="8"/>
      <c r="C476" s="8"/>
      <c r="D476" s="8"/>
      <c r="E476" s="8"/>
      <c r="F476" s="8"/>
    </row>
    <row r="477">
      <c r="A477" s="8"/>
      <c r="B477" s="8"/>
      <c r="C477" s="8"/>
      <c r="D477" s="8"/>
      <c r="E477" s="8"/>
      <c r="F477" s="8"/>
    </row>
    <row r="478">
      <c r="A478" s="8"/>
      <c r="B478" s="8"/>
      <c r="C478" s="8"/>
      <c r="D478" s="8"/>
      <c r="E478" s="8"/>
      <c r="F478" s="8"/>
    </row>
    <row r="479">
      <c r="A479" s="8"/>
      <c r="B479" s="8"/>
      <c r="C479" s="8"/>
      <c r="D479" s="8"/>
      <c r="E479" s="8"/>
      <c r="F479" s="8"/>
    </row>
    <row r="480">
      <c r="A480" s="8"/>
      <c r="B480" s="8"/>
      <c r="C480" s="8"/>
      <c r="D480" s="8"/>
      <c r="E480" s="8"/>
      <c r="F480" s="8"/>
    </row>
    <row r="481">
      <c r="A481" s="8"/>
      <c r="B481" s="8"/>
      <c r="C481" s="8"/>
      <c r="D481" s="8"/>
      <c r="E481" s="8"/>
      <c r="F481" s="8"/>
    </row>
    <row r="482">
      <c r="A482" s="8"/>
      <c r="B482" s="8"/>
      <c r="C482" s="8"/>
      <c r="D482" s="8"/>
      <c r="E482" s="8"/>
      <c r="F482" s="8"/>
    </row>
    <row r="483">
      <c r="A483" s="8"/>
      <c r="B483" s="8"/>
      <c r="C483" s="8"/>
      <c r="D483" s="8"/>
      <c r="E483" s="8"/>
      <c r="F483" s="8"/>
    </row>
    <row r="484">
      <c r="A484" s="8"/>
      <c r="B484" s="8"/>
      <c r="C484" s="8"/>
      <c r="D484" s="8"/>
      <c r="E484" s="8"/>
      <c r="F484" s="8"/>
    </row>
    <row r="485">
      <c r="A485" s="8"/>
      <c r="B485" s="8"/>
      <c r="C485" s="8"/>
      <c r="D485" s="8"/>
      <c r="E485" s="8"/>
      <c r="F485" s="8"/>
    </row>
    <row r="486">
      <c r="A486" s="8"/>
      <c r="B486" s="8"/>
      <c r="C486" s="8"/>
      <c r="D486" s="8"/>
      <c r="E486" s="8"/>
      <c r="F486" s="8"/>
    </row>
    <row r="487">
      <c r="A487" s="8"/>
      <c r="B487" s="8"/>
      <c r="C487" s="8"/>
      <c r="D487" s="8"/>
      <c r="E487" s="8"/>
      <c r="F487" s="8"/>
    </row>
    <row r="488">
      <c r="A488" s="8"/>
      <c r="B488" s="8"/>
      <c r="C488" s="8"/>
      <c r="D488" s="8"/>
      <c r="E488" s="8"/>
      <c r="F488" s="8"/>
    </row>
    <row r="489">
      <c r="A489" s="8"/>
      <c r="B489" s="8"/>
      <c r="C489" s="8"/>
      <c r="D489" s="8"/>
      <c r="E489" s="8"/>
      <c r="F489" s="8"/>
    </row>
    <row r="490">
      <c r="A490" s="8"/>
      <c r="B490" s="8"/>
      <c r="C490" s="8"/>
      <c r="D490" s="8"/>
      <c r="E490" s="8"/>
      <c r="F490" s="8"/>
    </row>
    <row r="491">
      <c r="A491" s="8"/>
      <c r="B491" s="8"/>
      <c r="C491" s="8"/>
      <c r="D491" s="8"/>
      <c r="E491" s="8"/>
      <c r="F491" s="8"/>
    </row>
    <row r="492">
      <c r="A492" s="8"/>
      <c r="B492" s="8"/>
      <c r="C492" s="8"/>
      <c r="D492" s="8"/>
      <c r="E492" s="8"/>
      <c r="F492" s="8"/>
    </row>
    <row r="493">
      <c r="A493" s="8"/>
      <c r="B493" s="8"/>
      <c r="C493" s="8"/>
      <c r="D493" s="8"/>
      <c r="E493" s="8"/>
      <c r="F493" s="8"/>
    </row>
    <row r="494">
      <c r="A494" s="8"/>
      <c r="B494" s="8"/>
      <c r="C494" s="8"/>
      <c r="D494" s="8"/>
      <c r="E494" s="8"/>
      <c r="F494" s="8"/>
    </row>
    <row r="495">
      <c r="A495" s="8"/>
      <c r="B495" s="8"/>
      <c r="C495" s="8"/>
      <c r="D495" s="8"/>
      <c r="E495" s="8"/>
      <c r="F495" s="8"/>
    </row>
    <row r="496">
      <c r="A496" s="8"/>
      <c r="B496" s="8"/>
      <c r="C496" s="8"/>
      <c r="D496" s="8"/>
      <c r="E496" s="8"/>
      <c r="F496" s="8"/>
    </row>
    <row r="497">
      <c r="A497" s="8"/>
      <c r="B497" s="8"/>
      <c r="C497" s="8"/>
      <c r="D497" s="8"/>
      <c r="E497" s="8"/>
      <c r="F497" s="8"/>
    </row>
    <row r="498">
      <c r="A498" s="8"/>
      <c r="B498" s="8"/>
      <c r="C498" s="8"/>
      <c r="D498" s="8"/>
      <c r="E498" s="8"/>
      <c r="F498" s="8"/>
    </row>
    <row r="499">
      <c r="A499" s="8"/>
      <c r="B499" s="8"/>
      <c r="C499" s="8"/>
      <c r="D499" s="8"/>
      <c r="E499" s="8"/>
      <c r="F499" s="8"/>
    </row>
    <row r="500">
      <c r="A500" s="8"/>
      <c r="B500" s="8"/>
      <c r="C500" s="8"/>
      <c r="D500" s="8"/>
      <c r="E500" s="8"/>
      <c r="F500" s="8"/>
    </row>
    <row r="501">
      <c r="A501" s="8"/>
      <c r="B501" s="8"/>
      <c r="C501" s="8"/>
      <c r="D501" s="8"/>
      <c r="E501" s="8"/>
      <c r="F501" s="8"/>
    </row>
    <row r="502">
      <c r="A502" s="8"/>
      <c r="B502" s="8"/>
      <c r="C502" s="8"/>
      <c r="D502" s="8"/>
      <c r="E502" s="8"/>
      <c r="F502" s="8"/>
    </row>
    <row r="503">
      <c r="A503" s="8"/>
      <c r="B503" s="8"/>
      <c r="C503" s="8"/>
      <c r="D503" s="8"/>
      <c r="E503" s="8"/>
      <c r="F503" s="8"/>
    </row>
    <row r="504">
      <c r="A504" s="8"/>
      <c r="B504" s="8"/>
      <c r="C504" s="8"/>
      <c r="D504" s="8"/>
      <c r="E504" s="8"/>
      <c r="F504" s="8"/>
    </row>
    <row r="505">
      <c r="A505" s="8"/>
      <c r="B505" s="8"/>
      <c r="C505" s="8"/>
      <c r="D505" s="8"/>
      <c r="E505" s="8"/>
      <c r="F505" s="8"/>
    </row>
    <row r="506">
      <c r="A506" s="8"/>
      <c r="B506" s="8"/>
      <c r="C506" s="8"/>
      <c r="D506" s="8"/>
      <c r="E506" s="8"/>
      <c r="F506" s="8"/>
    </row>
    <row r="507">
      <c r="A507" s="8"/>
      <c r="B507" s="8"/>
      <c r="C507" s="8"/>
      <c r="D507" s="8"/>
      <c r="E507" s="8"/>
      <c r="F507" s="8"/>
    </row>
    <row r="508">
      <c r="A508" s="8"/>
      <c r="B508" s="8"/>
      <c r="C508" s="8"/>
      <c r="D508" s="8"/>
      <c r="E508" s="8"/>
      <c r="F508" s="8"/>
    </row>
    <row r="509">
      <c r="A509" s="8"/>
      <c r="B509" s="8"/>
      <c r="C509" s="8"/>
      <c r="D509" s="8"/>
      <c r="E509" s="8"/>
      <c r="F509" s="8"/>
    </row>
    <row r="510">
      <c r="A510" s="8"/>
      <c r="B510" s="8"/>
      <c r="C510" s="8"/>
      <c r="D510" s="8"/>
      <c r="E510" s="8"/>
      <c r="F510" s="8"/>
    </row>
    <row r="511">
      <c r="A511" s="8"/>
      <c r="B511" s="8"/>
      <c r="C511" s="8"/>
      <c r="D511" s="8"/>
      <c r="E511" s="8"/>
      <c r="F511" s="8"/>
    </row>
    <row r="512">
      <c r="A512" s="8"/>
      <c r="B512" s="8"/>
      <c r="C512" s="8"/>
      <c r="D512" s="8"/>
      <c r="E512" s="8"/>
      <c r="F512" s="8"/>
    </row>
    <row r="513">
      <c r="A513" s="8"/>
      <c r="B513" s="8"/>
      <c r="C513" s="8"/>
      <c r="D513" s="8"/>
      <c r="E513" s="8"/>
      <c r="F513" s="8"/>
    </row>
    <row r="514">
      <c r="A514" s="8"/>
      <c r="B514" s="8"/>
      <c r="C514" s="8"/>
      <c r="D514" s="8"/>
      <c r="E514" s="8"/>
      <c r="F514" s="8"/>
    </row>
    <row r="515">
      <c r="A515" s="8"/>
      <c r="B515" s="8"/>
      <c r="C515" s="8"/>
      <c r="D515" s="8"/>
      <c r="E515" s="8"/>
      <c r="F515" s="8"/>
    </row>
    <row r="516">
      <c r="A516" s="8"/>
      <c r="B516" s="8"/>
      <c r="C516" s="8"/>
      <c r="D516" s="8"/>
      <c r="E516" s="8"/>
      <c r="F516" s="8"/>
    </row>
    <row r="517">
      <c r="A517" s="8"/>
      <c r="B517" s="8"/>
      <c r="C517" s="8"/>
      <c r="D517" s="8"/>
      <c r="E517" s="8"/>
      <c r="F517" s="8"/>
    </row>
    <row r="518">
      <c r="A518" s="8"/>
      <c r="B518" s="8"/>
      <c r="C518" s="8"/>
      <c r="D518" s="8"/>
      <c r="E518" s="8"/>
      <c r="F518" s="8"/>
    </row>
    <row r="519">
      <c r="A519" s="8"/>
      <c r="B519" s="8"/>
      <c r="C519" s="8"/>
      <c r="D519" s="8"/>
      <c r="E519" s="8"/>
      <c r="F519" s="8"/>
    </row>
    <row r="520">
      <c r="A520" s="8"/>
      <c r="B520" s="8"/>
      <c r="C520" s="8"/>
      <c r="D520" s="8"/>
      <c r="E520" s="8"/>
      <c r="F520" s="8"/>
    </row>
    <row r="521">
      <c r="A521" s="8"/>
      <c r="B521" s="8"/>
      <c r="C521" s="8"/>
      <c r="D521" s="8"/>
      <c r="E521" s="8"/>
      <c r="F521" s="8"/>
    </row>
    <row r="522">
      <c r="A522" s="8"/>
      <c r="B522" s="8"/>
      <c r="C522" s="8"/>
      <c r="D522" s="8"/>
      <c r="E522" s="8"/>
      <c r="F522" s="8"/>
    </row>
    <row r="523">
      <c r="A523" s="8"/>
      <c r="B523" s="8"/>
      <c r="C523" s="8"/>
      <c r="D523" s="8"/>
      <c r="E523" s="8"/>
      <c r="F523" s="8"/>
    </row>
    <row r="524">
      <c r="A524" s="8"/>
      <c r="B524" s="8"/>
      <c r="C524" s="8"/>
      <c r="D524" s="8"/>
      <c r="E524" s="8"/>
      <c r="F524" s="8"/>
    </row>
    <row r="525">
      <c r="A525" s="8"/>
      <c r="B525" s="8"/>
      <c r="C525" s="8"/>
      <c r="D525" s="8"/>
      <c r="E525" s="8"/>
      <c r="F525" s="8"/>
    </row>
    <row r="526">
      <c r="A526" s="8"/>
      <c r="B526" s="8"/>
      <c r="C526" s="8"/>
      <c r="D526" s="8"/>
      <c r="E526" s="8"/>
      <c r="F526" s="8"/>
    </row>
    <row r="527">
      <c r="A527" s="8"/>
      <c r="B527" s="8"/>
      <c r="C527" s="8"/>
      <c r="D527" s="8"/>
      <c r="E527" s="8"/>
      <c r="F527" s="8"/>
    </row>
    <row r="528">
      <c r="A528" s="8"/>
      <c r="B528" s="8"/>
      <c r="C528" s="8"/>
      <c r="D528" s="8"/>
      <c r="E528" s="8"/>
      <c r="F528" s="8"/>
    </row>
    <row r="529">
      <c r="A529" s="8"/>
      <c r="B529" s="8"/>
      <c r="C529" s="8"/>
      <c r="D529" s="8"/>
      <c r="E529" s="8"/>
      <c r="F529" s="8"/>
    </row>
    <row r="530">
      <c r="A530" s="8"/>
      <c r="B530" s="8"/>
      <c r="C530" s="8"/>
      <c r="D530" s="8"/>
      <c r="E530" s="8"/>
      <c r="F530" s="8"/>
    </row>
    <row r="531">
      <c r="A531" s="8"/>
      <c r="B531" s="8"/>
      <c r="C531" s="8"/>
      <c r="D531" s="8"/>
      <c r="E531" s="8"/>
      <c r="F531" s="8"/>
    </row>
    <row r="532">
      <c r="A532" s="8"/>
      <c r="B532" s="8"/>
      <c r="C532" s="8"/>
      <c r="D532" s="8"/>
      <c r="E532" s="8"/>
      <c r="F532" s="8"/>
    </row>
    <row r="533">
      <c r="A533" s="8"/>
      <c r="B533" s="8"/>
      <c r="C533" s="8"/>
      <c r="D533" s="8"/>
      <c r="E533" s="8"/>
      <c r="F533" s="8"/>
    </row>
    <row r="534">
      <c r="A534" s="8"/>
      <c r="B534" s="8"/>
      <c r="C534" s="8"/>
      <c r="D534" s="8"/>
      <c r="E534" s="8"/>
      <c r="F534" s="8"/>
    </row>
    <row r="535">
      <c r="A535" s="8"/>
      <c r="B535" s="8"/>
      <c r="C535" s="8"/>
      <c r="D535" s="8"/>
      <c r="E535" s="8"/>
      <c r="F535" s="8"/>
    </row>
    <row r="536">
      <c r="A536" s="8"/>
      <c r="B536" s="8"/>
      <c r="C536" s="8"/>
      <c r="D536" s="8"/>
      <c r="E536" s="8"/>
      <c r="F536" s="8"/>
    </row>
    <row r="537">
      <c r="A537" s="8"/>
      <c r="B537" s="8"/>
      <c r="C537" s="8"/>
      <c r="D537" s="8"/>
      <c r="E537" s="8"/>
      <c r="F537" s="8"/>
    </row>
    <row r="538">
      <c r="A538" s="8"/>
      <c r="B538" s="8"/>
      <c r="C538" s="8"/>
      <c r="D538" s="8"/>
      <c r="E538" s="8"/>
      <c r="F538" s="8"/>
    </row>
    <row r="539">
      <c r="A539" s="8"/>
      <c r="B539" s="8"/>
      <c r="C539" s="8"/>
      <c r="D539" s="8"/>
      <c r="E539" s="8"/>
      <c r="F539" s="8"/>
    </row>
    <row r="540">
      <c r="A540" s="8"/>
      <c r="B540" s="8"/>
      <c r="C540" s="8"/>
      <c r="D540" s="8"/>
      <c r="E540" s="8"/>
      <c r="F540" s="8"/>
    </row>
    <row r="541">
      <c r="A541" s="8"/>
      <c r="B541" s="8"/>
      <c r="C541" s="8"/>
      <c r="D541" s="8"/>
      <c r="E541" s="8"/>
      <c r="F541" s="8"/>
    </row>
    <row r="542">
      <c r="A542" s="8"/>
      <c r="B542" s="8"/>
      <c r="C542" s="8"/>
      <c r="D542" s="8"/>
      <c r="E542" s="8"/>
      <c r="F542" s="8"/>
    </row>
    <row r="543">
      <c r="A543" s="8"/>
      <c r="B543" s="8"/>
      <c r="C543" s="8"/>
      <c r="D543" s="8"/>
      <c r="E543" s="8"/>
      <c r="F543" s="8"/>
    </row>
    <row r="544">
      <c r="A544" s="8"/>
      <c r="B544" s="8"/>
      <c r="C544" s="8"/>
      <c r="D544" s="8"/>
      <c r="E544" s="8"/>
      <c r="F544" s="8"/>
    </row>
    <row r="545">
      <c r="A545" s="8"/>
      <c r="B545" s="8"/>
      <c r="C545" s="8"/>
      <c r="D545" s="8"/>
      <c r="E545" s="8"/>
      <c r="F545" s="8"/>
    </row>
    <row r="546">
      <c r="A546" s="8"/>
      <c r="B546" s="8"/>
      <c r="C546" s="8"/>
      <c r="D546" s="8"/>
      <c r="E546" s="8"/>
      <c r="F546" s="8"/>
    </row>
    <row r="547">
      <c r="A547" s="8"/>
      <c r="B547" s="8"/>
      <c r="C547" s="8"/>
      <c r="D547" s="8"/>
      <c r="E547" s="8"/>
      <c r="F547" s="8"/>
    </row>
    <row r="548">
      <c r="A548" s="8"/>
      <c r="B548" s="8"/>
      <c r="C548" s="8"/>
      <c r="D548" s="8"/>
      <c r="E548" s="8"/>
      <c r="F548" s="8"/>
    </row>
    <row r="549">
      <c r="A549" s="8"/>
      <c r="B549" s="8"/>
      <c r="C549" s="8"/>
      <c r="D549" s="8"/>
      <c r="E549" s="8"/>
      <c r="F549" s="8"/>
    </row>
    <row r="550">
      <c r="A550" s="8"/>
      <c r="B550" s="8"/>
      <c r="C550" s="8"/>
      <c r="D550" s="8"/>
      <c r="E550" s="8"/>
      <c r="F550" s="8"/>
    </row>
    <row r="551">
      <c r="A551" s="8"/>
      <c r="B551" s="8"/>
      <c r="C551" s="8"/>
      <c r="D551" s="8"/>
      <c r="E551" s="8"/>
      <c r="F551" s="8"/>
    </row>
    <row r="552">
      <c r="A552" s="8"/>
      <c r="B552" s="8"/>
      <c r="C552" s="8"/>
      <c r="D552" s="8"/>
      <c r="E552" s="8"/>
      <c r="F552" s="8"/>
    </row>
    <row r="553">
      <c r="A553" s="8"/>
      <c r="B553" s="8"/>
      <c r="C553" s="8"/>
      <c r="D553" s="8"/>
      <c r="E553" s="8"/>
      <c r="F553" s="8"/>
    </row>
    <row r="554">
      <c r="A554" s="8"/>
      <c r="B554" s="8"/>
      <c r="C554" s="8"/>
      <c r="D554" s="8"/>
      <c r="E554" s="8"/>
      <c r="F554" s="8"/>
    </row>
    <row r="555">
      <c r="A555" s="8"/>
      <c r="B555" s="8"/>
      <c r="C555" s="8"/>
      <c r="D555" s="8"/>
      <c r="E555" s="8"/>
      <c r="F555" s="8"/>
    </row>
    <row r="556">
      <c r="A556" s="8"/>
      <c r="B556" s="8"/>
      <c r="C556" s="8"/>
      <c r="D556" s="8"/>
      <c r="E556" s="8"/>
      <c r="F556" s="8"/>
    </row>
    <row r="557">
      <c r="A557" s="8"/>
      <c r="B557" s="8"/>
      <c r="C557" s="8"/>
      <c r="D557" s="8"/>
      <c r="E557" s="8"/>
      <c r="F557" s="8"/>
    </row>
    <row r="558">
      <c r="A558" s="8"/>
      <c r="B558" s="8"/>
      <c r="C558" s="8"/>
      <c r="D558" s="8"/>
      <c r="E558" s="8"/>
      <c r="F558" s="8"/>
    </row>
    <row r="559">
      <c r="A559" s="8"/>
      <c r="B559" s="8"/>
      <c r="C559" s="8"/>
      <c r="D559" s="8"/>
      <c r="E559" s="8"/>
      <c r="F559" s="8"/>
    </row>
    <row r="560">
      <c r="A560" s="8"/>
      <c r="B560" s="8"/>
      <c r="C560" s="8"/>
      <c r="D560" s="8"/>
      <c r="E560" s="8"/>
      <c r="F560" s="8"/>
    </row>
    <row r="561">
      <c r="A561" s="8"/>
      <c r="B561" s="8"/>
      <c r="C561" s="8"/>
      <c r="D561" s="8"/>
      <c r="E561" s="8"/>
      <c r="F561" s="8"/>
    </row>
    <row r="562">
      <c r="A562" s="8"/>
      <c r="B562" s="8"/>
      <c r="C562" s="8"/>
      <c r="D562" s="8"/>
      <c r="E562" s="8"/>
      <c r="F562" s="8"/>
    </row>
    <row r="563">
      <c r="A563" s="8"/>
      <c r="B563" s="8"/>
      <c r="C563" s="8"/>
      <c r="D563" s="8"/>
      <c r="E563" s="8"/>
      <c r="F563" s="8"/>
    </row>
    <row r="564">
      <c r="A564" s="8"/>
      <c r="B564" s="8"/>
      <c r="C564" s="8"/>
      <c r="D564" s="8"/>
      <c r="E564" s="8"/>
      <c r="F564" s="8"/>
    </row>
    <row r="565">
      <c r="A565" s="8"/>
      <c r="B565" s="8"/>
      <c r="C565" s="8"/>
      <c r="D565" s="8"/>
      <c r="E565" s="8"/>
      <c r="F565" s="8"/>
    </row>
    <row r="566">
      <c r="A566" s="8"/>
      <c r="B566" s="8"/>
      <c r="C566" s="8"/>
      <c r="D566" s="8"/>
      <c r="E566" s="8"/>
      <c r="F566" s="8"/>
    </row>
    <row r="567">
      <c r="A567" s="8"/>
      <c r="B567" s="8"/>
      <c r="C567" s="8"/>
      <c r="D567" s="8"/>
      <c r="E567" s="8"/>
      <c r="F567" s="8"/>
    </row>
    <row r="568">
      <c r="A568" s="8"/>
      <c r="B568" s="8"/>
      <c r="C568" s="8"/>
      <c r="D568" s="8"/>
      <c r="E568" s="8"/>
      <c r="F568" s="8"/>
    </row>
    <row r="569">
      <c r="A569" s="8"/>
      <c r="B569" s="8"/>
      <c r="C569" s="8"/>
      <c r="D569" s="8"/>
      <c r="E569" s="8"/>
      <c r="F569" s="8"/>
    </row>
    <row r="570">
      <c r="A570" s="8"/>
      <c r="B570" s="8"/>
      <c r="C570" s="8"/>
      <c r="D570" s="8"/>
      <c r="E570" s="8"/>
      <c r="F570" s="8"/>
    </row>
    <row r="571">
      <c r="A571" s="8"/>
      <c r="B571" s="8"/>
      <c r="C571" s="8"/>
      <c r="D571" s="8"/>
      <c r="E571" s="8"/>
      <c r="F571" s="8"/>
    </row>
    <row r="572">
      <c r="A572" s="8"/>
      <c r="B572" s="8"/>
      <c r="C572" s="8"/>
      <c r="D572" s="8"/>
      <c r="E572" s="8"/>
      <c r="F572" s="8"/>
    </row>
    <row r="573">
      <c r="A573" s="8"/>
      <c r="B573" s="8"/>
      <c r="C573" s="8"/>
      <c r="D573" s="8"/>
      <c r="E573" s="8"/>
      <c r="F573" s="8"/>
    </row>
    <row r="574">
      <c r="A574" s="8"/>
      <c r="B574" s="8"/>
      <c r="C574" s="8"/>
      <c r="D574" s="8"/>
      <c r="E574" s="8"/>
      <c r="F574" s="8"/>
    </row>
    <row r="575">
      <c r="A575" s="8"/>
      <c r="B575" s="8"/>
      <c r="C575" s="8"/>
      <c r="D575" s="8"/>
      <c r="E575" s="8"/>
      <c r="F575" s="8"/>
    </row>
    <row r="576">
      <c r="A576" s="8"/>
      <c r="B576" s="8"/>
      <c r="C576" s="8"/>
      <c r="D576" s="8"/>
      <c r="E576" s="8"/>
      <c r="F576" s="8"/>
    </row>
    <row r="577">
      <c r="A577" s="8"/>
      <c r="B577" s="8"/>
      <c r="C577" s="8"/>
      <c r="D577" s="8"/>
      <c r="E577" s="8"/>
      <c r="F577" s="8"/>
    </row>
    <row r="578">
      <c r="A578" s="8"/>
      <c r="B578" s="8"/>
      <c r="C578" s="8"/>
      <c r="D578" s="8"/>
      <c r="E578" s="8"/>
      <c r="F578" s="8"/>
    </row>
    <row r="579">
      <c r="A579" s="8"/>
      <c r="B579" s="8"/>
      <c r="C579" s="8"/>
      <c r="D579" s="8"/>
      <c r="E579" s="8"/>
      <c r="F579" s="8"/>
    </row>
    <row r="580">
      <c r="A580" s="8"/>
      <c r="B580" s="8"/>
      <c r="C580" s="8"/>
      <c r="D580" s="8"/>
      <c r="E580" s="8"/>
      <c r="F580" s="8"/>
    </row>
    <row r="581">
      <c r="A581" s="8"/>
      <c r="B581" s="8"/>
      <c r="C581" s="8"/>
      <c r="D581" s="8"/>
      <c r="E581" s="8"/>
      <c r="F581" s="8"/>
    </row>
    <row r="582">
      <c r="A582" s="8"/>
      <c r="B582" s="8"/>
      <c r="C582" s="8"/>
      <c r="D582" s="8"/>
      <c r="E582" s="8"/>
      <c r="F582" s="8"/>
    </row>
    <row r="583">
      <c r="A583" s="8"/>
      <c r="B583" s="8"/>
      <c r="C583" s="8"/>
      <c r="D583" s="8"/>
      <c r="E583" s="8"/>
      <c r="F583" s="8"/>
    </row>
    <row r="584">
      <c r="A584" s="8"/>
      <c r="B584" s="8"/>
      <c r="C584" s="8"/>
      <c r="D584" s="8"/>
      <c r="E584" s="8"/>
      <c r="F584" s="8"/>
    </row>
    <row r="585">
      <c r="A585" s="8"/>
      <c r="B585" s="8"/>
      <c r="C585" s="8"/>
      <c r="D585" s="8"/>
      <c r="E585" s="8"/>
      <c r="F585" s="8"/>
    </row>
    <row r="586">
      <c r="A586" s="8"/>
      <c r="B586" s="8"/>
      <c r="C586" s="8"/>
      <c r="D586" s="8"/>
      <c r="E586" s="8"/>
      <c r="F586" s="8"/>
    </row>
    <row r="587">
      <c r="A587" s="8"/>
      <c r="B587" s="8"/>
      <c r="C587" s="8"/>
      <c r="D587" s="8"/>
      <c r="E587" s="8"/>
      <c r="F587" s="8"/>
    </row>
    <row r="588">
      <c r="A588" s="8"/>
      <c r="B588" s="8"/>
      <c r="C588" s="8"/>
      <c r="D588" s="8"/>
      <c r="E588" s="8"/>
      <c r="F588" s="8"/>
    </row>
    <row r="589">
      <c r="A589" s="8"/>
      <c r="B589" s="8"/>
      <c r="C589" s="8"/>
      <c r="D589" s="8"/>
      <c r="E589" s="8"/>
      <c r="F589" s="8"/>
    </row>
    <row r="590">
      <c r="A590" s="8"/>
      <c r="B590" s="8"/>
      <c r="C590" s="8"/>
      <c r="D590" s="8"/>
      <c r="E590" s="8"/>
      <c r="F590" s="8"/>
    </row>
    <row r="591">
      <c r="A591" s="8"/>
      <c r="B591" s="8"/>
      <c r="C591" s="8"/>
      <c r="D591" s="8"/>
      <c r="E591" s="8"/>
      <c r="F591" s="8"/>
    </row>
    <row r="592">
      <c r="A592" s="8"/>
      <c r="B592" s="8"/>
      <c r="C592" s="8"/>
      <c r="D592" s="8"/>
      <c r="E592" s="8"/>
      <c r="F592" s="8"/>
    </row>
    <row r="593">
      <c r="A593" s="8"/>
      <c r="B593" s="8"/>
      <c r="C593" s="8"/>
      <c r="D593" s="8"/>
      <c r="E593" s="8"/>
      <c r="F593" s="8"/>
    </row>
    <row r="594">
      <c r="A594" s="8"/>
      <c r="B594" s="8"/>
      <c r="C594" s="8"/>
      <c r="D594" s="8"/>
      <c r="E594" s="8"/>
      <c r="F594" s="8"/>
    </row>
    <row r="595">
      <c r="A595" s="8"/>
      <c r="B595" s="8"/>
      <c r="C595" s="8"/>
      <c r="D595" s="8"/>
      <c r="E595" s="8"/>
      <c r="F595" s="8"/>
    </row>
    <row r="596">
      <c r="A596" s="8"/>
      <c r="B596" s="8"/>
      <c r="C596" s="8"/>
      <c r="D596" s="8"/>
      <c r="E596" s="8"/>
      <c r="F596" s="8"/>
    </row>
    <row r="597">
      <c r="A597" s="8"/>
      <c r="B597" s="8"/>
      <c r="C597" s="8"/>
      <c r="D597" s="8"/>
      <c r="E597" s="8"/>
      <c r="F597" s="8"/>
    </row>
    <row r="598">
      <c r="A598" s="8"/>
      <c r="B598" s="8"/>
      <c r="C598" s="8"/>
      <c r="D598" s="8"/>
      <c r="E598" s="8"/>
      <c r="F598" s="8"/>
    </row>
    <row r="599">
      <c r="A599" s="8"/>
      <c r="B599" s="8"/>
      <c r="C599" s="8"/>
      <c r="D599" s="8"/>
      <c r="E599" s="8"/>
      <c r="F599" s="8"/>
    </row>
    <row r="600">
      <c r="A600" s="8"/>
      <c r="B600" s="8"/>
      <c r="C600" s="8"/>
      <c r="D600" s="8"/>
      <c r="E600" s="8"/>
      <c r="F600" s="8"/>
    </row>
    <row r="601">
      <c r="A601" s="8"/>
      <c r="B601" s="8"/>
      <c r="C601" s="8"/>
      <c r="D601" s="8"/>
      <c r="E601" s="8"/>
      <c r="F601" s="8"/>
    </row>
    <row r="602">
      <c r="A602" s="8"/>
      <c r="B602" s="8"/>
      <c r="C602" s="8"/>
      <c r="D602" s="8"/>
      <c r="E602" s="8"/>
      <c r="F602" s="8"/>
    </row>
    <row r="603">
      <c r="A603" s="8"/>
      <c r="B603" s="8"/>
      <c r="C603" s="8"/>
      <c r="D603" s="8"/>
      <c r="E603" s="8"/>
      <c r="F603" s="8"/>
    </row>
    <row r="604">
      <c r="A604" s="8"/>
      <c r="B604" s="8"/>
      <c r="C604" s="8"/>
      <c r="D604" s="8"/>
      <c r="E604" s="8"/>
      <c r="F604" s="8"/>
    </row>
    <row r="605">
      <c r="A605" s="8"/>
      <c r="B605" s="8"/>
      <c r="C605" s="8"/>
      <c r="D605" s="8"/>
      <c r="E605" s="8"/>
      <c r="F605" s="8"/>
    </row>
    <row r="606">
      <c r="A606" s="8"/>
      <c r="B606" s="8"/>
      <c r="C606" s="8"/>
      <c r="D606" s="8"/>
      <c r="E606" s="8"/>
      <c r="F606" s="8"/>
    </row>
    <row r="607">
      <c r="A607" s="8"/>
      <c r="B607" s="8"/>
      <c r="C607" s="8"/>
      <c r="D607" s="8"/>
      <c r="E607" s="8"/>
      <c r="F607" s="8"/>
    </row>
    <row r="608">
      <c r="A608" s="8"/>
      <c r="B608" s="8"/>
      <c r="C608" s="8"/>
      <c r="D608" s="8"/>
      <c r="E608" s="8"/>
      <c r="F608" s="8"/>
    </row>
    <row r="609">
      <c r="A609" s="8"/>
      <c r="B609" s="8"/>
      <c r="C609" s="8"/>
      <c r="D609" s="8"/>
      <c r="E609" s="8"/>
      <c r="F609" s="8"/>
    </row>
    <row r="610">
      <c r="A610" s="8"/>
      <c r="B610" s="8"/>
      <c r="C610" s="8"/>
      <c r="D610" s="8"/>
      <c r="E610" s="8"/>
      <c r="F610" s="8"/>
    </row>
    <row r="611">
      <c r="A611" s="8"/>
      <c r="B611" s="8"/>
      <c r="C611" s="8"/>
      <c r="D611" s="8"/>
      <c r="E611" s="8"/>
      <c r="F611" s="8"/>
    </row>
    <row r="612">
      <c r="A612" s="8"/>
      <c r="B612" s="8"/>
      <c r="C612" s="8"/>
      <c r="D612" s="8"/>
      <c r="E612" s="8"/>
      <c r="F612" s="8"/>
    </row>
    <row r="613">
      <c r="A613" s="8"/>
      <c r="B613" s="8"/>
      <c r="C613" s="8"/>
      <c r="D613" s="8"/>
      <c r="E613" s="8"/>
      <c r="F613" s="8"/>
    </row>
    <row r="614">
      <c r="A614" s="8"/>
      <c r="B614" s="8"/>
      <c r="C614" s="8"/>
      <c r="D614" s="8"/>
      <c r="E614" s="8"/>
      <c r="F614" s="8"/>
    </row>
    <row r="615">
      <c r="A615" s="8"/>
      <c r="B615" s="8"/>
      <c r="C615" s="8"/>
      <c r="D615" s="8"/>
      <c r="E615" s="8"/>
      <c r="F615" s="8"/>
    </row>
    <row r="616">
      <c r="A616" s="8"/>
      <c r="B616" s="8"/>
      <c r="C616" s="8"/>
      <c r="D616" s="8"/>
      <c r="E616" s="8"/>
      <c r="F616" s="8"/>
    </row>
    <row r="617">
      <c r="A617" s="8"/>
      <c r="B617" s="8"/>
      <c r="C617" s="8"/>
      <c r="D617" s="8"/>
      <c r="E617" s="8"/>
      <c r="F617" s="8"/>
    </row>
    <row r="618">
      <c r="A618" s="8"/>
      <c r="B618" s="8"/>
      <c r="C618" s="8"/>
      <c r="D618" s="8"/>
      <c r="E618" s="8"/>
      <c r="F618" s="8"/>
    </row>
    <row r="619">
      <c r="A619" s="8"/>
      <c r="B619" s="8"/>
      <c r="C619" s="8"/>
      <c r="D619" s="8"/>
      <c r="E619" s="8"/>
      <c r="F619" s="8"/>
    </row>
    <row r="620">
      <c r="A620" s="8"/>
      <c r="B620" s="8"/>
      <c r="C620" s="8"/>
      <c r="D620" s="8"/>
      <c r="E620" s="8"/>
      <c r="F620" s="8"/>
    </row>
    <row r="621">
      <c r="A621" s="8"/>
      <c r="B621" s="8"/>
      <c r="C621" s="8"/>
      <c r="D621" s="8"/>
      <c r="E621" s="8"/>
      <c r="F621" s="8"/>
    </row>
    <row r="622">
      <c r="A622" s="8"/>
      <c r="B622" s="8"/>
      <c r="C622" s="8"/>
      <c r="D622" s="8"/>
      <c r="E622" s="8"/>
      <c r="F622" s="8"/>
    </row>
    <row r="623">
      <c r="A623" s="8"/>
      <c r="B623" s="8"/>
      <c r="C623" s="8"/>
      <c r="D623" s="8"/>
      <c r="E623" s="8"/>
      <c r="F623" s="8"/>
    </row>
    <row r="624">
      <c r="A624" s="8"/>
      <c r="B624" s="8"/>
      <c r="C624" s="8"/>
      <c r="D624" s="8"/>
      <c r="E624" s="8"/>
      <c r="F624" s="8"/>
    </row>
    <row r="625">
      <c r="A625" s="8"/>
      <c r="B625" s="8"/>
      <c r="C625" s="8"/>
      <c r="D625" s="8"/>
      <c r="E625" s="8"/>
      <c r="F625" s="8"/>
    </row>
    <row r="626">
      <c r="A626" s="8"/>
      <c r="B626" s="8"/>
      <c r="C626" s="8"/>
      <c r="D626" s="8"/>
      <c r="E626" s="8"/>
      <c r="F626" s="8"/>
    </row>
    <row r="627">
      <c r="A627" s="8"/>
      <c r="B627" s="8"/>
      <c r="C627" s="8"/>
      <c r="D627" s="8"/>
      <c r="E627" s="8"/>
      <c r="F627" s="8"/>
    </row>
    <row r="628">
      <c r="A628" s="8"/>
      <c r="B628" s="8"/>
      <c r="C628" s="8"/>
      <c r="D628" s="8"/>
      <c r="E628" s="8"/>
      <c r="F628" s="8"/>
    </row>
    <row r="629">
      <c r="A629" s="8"/>
      <c r="B629" s="8"/>
      <c r="C629" s="8"/>
      <c r="D629" s="8"/>
      <c r="E629" s="8"/>
      <c r="F629" s="8"/>
    </row>
    <row r="630">
      <c r="A630" s="8"/>
      <c r="B630" s="8"/>
      <c r="C630" s="8"/>
      <c r="D630" s="8"/>
      <c r="E630" s="8"/>
      <c r="F630" s="8"/>
    </row>
    <row r="631">
      <c r="A631" s="8"/>
      <c r="B631" s="8"/>
      <c r="C631" s="8"/>
      <c r="D631" s="8"/>
      <c r="E631" s="8"/>
      <c r="F631" s="8"/>
    </row>
    <row r="632">
      <c r="A632" s="8"/>
      <c r="B632" s="8"/>
      <c r="C632" s="8"/>
      <c r="D632" s="8"/>
      <c r="E632" s="8"/>
      <c r="F632" s="8"/>
    </row>
    <row r="633">
      <c r="A633" s="8"/>
      <c r="B633" s="8"/>
      <c r="C633" s="8"/>
      <c r="D633" s="8"/>
      <c r="E633" s="8"/>
      <c r="F633" s="8"/>
    </row>
    <row r="634">
      <c r="A634" s="8"/>
      <c r="B634" s="8"/>
      <c r="C634" s="8"/>
      <c r="D634" s="8"/>
      <c r="E634" s="8"/>
      <c r="F634" s="8"/>
    </row>
    <row r="635">
      <c r="A635" s="8"/>
      <c r="B635" s="8"/>
      <c r="C635" s="8"/>
      <c r="D635" s="8"/>
      <c r="E635" s="8"/>
      <c r="F635" s="8"/>
    </row>
    <row r="636">
      <c r="A636" s="8"/>
      <c r="B636" s="8"/>
      <c r="C636" s="8"/>
      <c r="D636" s="8"/>
      <c r="E636" s="8"/>
      <c r="F636" s="8"/>
    </row>
    <row r="637">
      <c r="A637" s="8"/>
      <c r="B637" s="8"/>
      <c r="C637" s="8"/>
      <c r="D637" s="8"/>
      <c r="E637" s="8"/>
      <c r="F637" s="8"/>
    </row>
    <row r="638">
      <c r="A638" s="8"/>
      <c r="B638" s="8"/>
      <c r="C638" s="8"/>
      <c r="D638" s="8"/>
      <c r="E638" s="8"/>
      <c r="F638" s="8"/>
    </row>
    <row r="639">
      <c r="A639" s="8"/>
      <c r="B639" s="8"/>
      <c r="C639" s="8"/>
      <c r="D639" s="8"/>
      <c r="E639" s="8"/>
      <c r="F639" s="8"/>
    </row>
    <row r="640">
      <c r="A640" s="8"/>
      <c r="B640" s="8"/>
      <c r="C640" s="8"/>
      <c r="D640" s="8"/>
      <c r="E640" s="8"/>
      <c r="F640" s="8"/>
    </row>
    <row r="641">
      <c r="A641" s="8"/>
      <c r="B641" s="8"/>
      <c r="C641" s="8"/>
      <c r="D641" s="8"/>
      <c r="E641" s="8"/>
      <c r="F641" s="8"/>
    </row>
    <row r="642">
      <c r="A642" s="8"/>
      <c r="B642" s="8"/>
      <c r="C642" s="8"/>
      <c r="D642" s="8"/>
      <c r="E642" s="8"/>
      <c r="F642" s="8"/>
    </row>
    <row r="643">
      <c r="A643" s="8"/>
      <c r="B643" s="8"/>
      <c r="C643" s="8"/>
      <c r="D643" s="8"/>
      <c r="E643" s="8"/>
      <c r="F643" s="8"/>
    </row>
    <row r="644">
      <c r="A644" s="8"/>
      <c r="B644" s="8"/>
      <c r="C644" s="8"/>
      <c r="D644" s="8"/>
      <c r="E644" s="8"/>
      <c r="F644" s="8"/>
    </row>
    <row r="645">
      <c r="A645" s="8"/>
      <c r="B645" s="8"/>
      <c r="C645" s="8"/>
      <c r="D645" s="8"/>
      <c r="E645" s="8"/>
      <c r="F645" s="8"/>
    </row>
    <row r="646">
      <c r="A646" s="8"/>
      <c r="B646" s="8"/>
      <c r="C646" s="8"/>
      <c r="D646" s="8"/>
      <c r="E646" s="8"/>
      <c r="F646" s="8"/>
    </row>
    <row r="647">
      <c r="A647" s="8"/>
      <c r="B647" s="8"/>
      <c r="C647" s="8"/>
      <c r="D647" s="8"/>
      <c r="E647" s="8"/>
      <c r="F647" s="8"/>
    </row>
    <row r="648">
      <c r="A648" s="8"/>
      <c r="B648" s="8"/>
      <c r="C648" s="8"/>
      <c r="D648" s="8"/>
      <c r="E648" s="8"/>
      <c r="F648" s="8"/>
    </row>
    <row r="649">
      <c r="A649" s="8"/>
      <c r="B649" s="8"/>
      <c r="C649" s="8"/>
      <c r="D649" s="8"/>
      <c r="E649" s="8"/>
      <c r="F649" s="8"/>
    </row>
    <row r="650">
      <c r="A650" s="8"/>
      <c r="B650" s="8"/>
      <c r="C650" s="8"/>
      <c r="D650" s="8"/>
      <c r="E650" s="8"/>
      <c r="F650" s="8"/>
    </row>
    <row r="651">
      <c r="A651" s="8"/>
      <c r="B651" s="8"/>
      <c r="C651" s="8"/>
      <c r="D651" s="8"/>
      <c r="E651" s="8"/>
      <c r="F651" s="8"/>
    </row>
    <row r="652">
      <c r="A652" s="8"/>
      <c r="B652" s="8"/>
      <c r="C652" s="8"/>
      <c r="D652" s="8"/>
      <c r="E652" s="8"/>
      <c r="F652" s="8"/>
    </row>
    <row r="653">
      <c r="A653" s="8"/>
      <c r="B653" s="8"/>
      <c r="C653" s="8"/>
      <c r="D653" s="8"/>
      <c r="E653" s="8"/>
      <c r="F653" s="8"/>
    </row>
    <row r="654">
      <c r="A654" s="8"/>
      <c r="B654" s="8"/>
      <c r="C654" s="8"/>
      <c r="D654" s="8"/>
      <c r="E654" s="8"/>
      <c r="F654" s="8"/>
    </row>
    <row r="655">
      <c r="A655" s="8"/>
      <c r="B655" s="8"/>
      <c r="C655" s="8"/>
      <c r="D655" s="8"/>
      <c r="E655" s="8"/>
      <c r="F655" s="8"/>
    </row>
    <row r="656">
      <c r="A656" s="8"/>
      <c r="B656" s="8"/>
      <c r="C656" s="8"/>
      <c r="D656" s="8"/>
      <c r="E656" s="8"/>
      <c r="F656" s="8"/>
    </row>
    <row r="657">
      <c r="A657" s="8"/>
      <c r="B657" s="8"/>
      <c r="C657" s="8"/>
      <c r="D657" s="8"/>
      <c r="E657" s="8"/>
      <c r="F657" s="8"/>
    </row>
    <row r="658">
      <c r="A658" s="8"/>
      <c r="B658" s="8"/>
      <c r="C658" s="8"/>
      <c r="D658" s="8"/>
      <c r="E658" s="8"/>
      <c r="F658" s="8"/>
    </row>
    <row r="659">
      <c r="A659" s="8"/>
      <c r="B659" s="8"/>
      <c r="C659" s="8"/>
      <c r="D659" s="8"/>
      <c r="E659" s="8"/>
      <c r="F659" s="8"/>
    </row>
    <row r="660">
      <c r="A660" s="8"/>
      <c r="B660" s="8"/>
      <c r="C660" s="8"/>
      <c r="D660" s="8"/>
      <c r="E660" s="8"/>
      <c r="F660" s="8"/>
    </row>
    <row r="661">
      <c r="A661" s="8"/>
      <c r="B661" s="8"/>
      <c r="C661" s="8"/>
      <c r="D661" s="8"/>
      <c r="E661" s="8"/>
      <c r="F661" s="8"/>
    </row>
    <row r="662">
      <c r="A662" s="8"/>
      <c r="B662" s="8"/>
      <c r="C662" s="8"/>
      <c r="D662" s="8"/>
      <c r="E662" s="8"/>
      <c r="F662" s="8"/>
    </row>
    <row r="663">
      <c r="A663" s="8"/>
      <c r="B663" s="8"/>
      <c r="C663" s="8"/>
      <c r="D663" s="8"/>
      <c r="E663" s="8"/>
      <c r="F663" s="8"/>
    </row>
    <row r="664">
      <c r="A664" s="8"/>
      <c r="B664" s="8"/>
      <c r="C664" s="8"/>
      <c r="D664" s="8"/>
      <c r="E664" s="8"/>
      <c r="F664" s="8"/>
    </row>
    <row r="665">
      <c r="A665" s="8"/>
      <c r="B665" s="8"/>
      <c r="C665" s="8"/>
      <c r="D665" s="8"/>
      <c r="E665" s="8"/>
      <c r="F665" s="8"/>
    </row>
    <row r="666">
      <c r="A666" s="8"/>
      <c r="B666" s="8"/>
      <c r="C666" s="8"/>
      <c r="D666" s="8"/>
      <c r="E666" s="8"/>
      <c r="F666" s="8"/>
    </row>
    <row r="667">
      <c r="A667" s="8"/>
      <c r="B667" s="8"/>
      <c r="C667" s="8"/>
      <c r="D667" s="8"/>
      <c r="E667" s="8"/>
      <c r="F667" s="8"/>
    </row>
    <row r="668">
      <c r="A668" s="8"/>
      <c r="B668" s="8"/>
      <c r="C668" s="8"/>
      <c r="D668" s="8"/>
      <c r="E668" s="8"/>
      <c r="F668" s="8"/>
    </row>
    <row r="669">
      <c r="A669" s="8"/>
      <c r="B669" s="8"/>
      <c r="C669" s="8"/>
      <c r="D669" s="8"/>
      <c r="E669" s="8"/>
      <c r="F669" s="8"/>
    </row>
    <row r="670">
      <c r="A670" s="8"/>
      <c r="B670" s="8"/>
      <c r="C670" s="8"/>
      <c r="D670" s="8"/>
      <c r="E670" s="8"/>
      <c r="F670" s="8"/>
    </row>
    <row r="671">
      <c r="A671" s="8"/>
      <c r="B671" s="8"/>
      <c r="C671" s="8"/>
      <c r="D671" s="8"/>
      <c r="E671" s="8"/>
      <c r="F671" s="8"/>
    </row>
    <row r="672">
      <c r="A672" s="8"/>
      <c r="B672" s="8"/>
      <c r="C672" s="8"/>
      <c r="D672" s="8"/>
      <c r="E672" s="8"/>
      <c r="F672" s="8"/>
    </row>
    <row r="673">
      <c r="A673" s="8"/>
      <c r="B673" s="8"/>
      <c r="C673" s="8"/>
      <c r="D673" s="8"/>
      <c r="E673" s="8"/>
      <c r="F673" s="8"/>
    </row>
    <row r="674">
      <c r="A674" s="8"/>
      <c r="B674" s="8"/>
      <c r="C674" s="8"/>
      <c r="D674" s="8"/>
      <c r="E674" s="8"/>
      <c r="F674" s="8"/>
    </row>
    <row r="675">
      <c r="A675" s="8"/>
      <c r="B675" s="8"/>
      <c r="C675" s="8"/>
      <c r="D675" s="8"/>
      <c r="E675" s="8"/>
      <c r="F675" s="8"/>
    </row>
    <row r="676">
      <c r="A676" s="8"/>
      <c r="B676" s="8"/>
      <c r="C676" s="8"/>
      <c r="D676" s="8"/>
      <c r="E676" s="8"/>
      <c r="F676" s="8"/>
    </row>
    <row r="677">
      <c r="A677" s="8"/>
      <c r="B677" s="8"/>
      <c r="C677" s="8"/>
      <c r="D677" s="8"/>
      <c r="E677" s="8"/>
      <c r="F677" s="8"/>
    </row>
    <row r="678">
      <c r="A678" s="8"/>
      <c r="B678" s="8"/>
      <c r="C678" s="8"/>
      <c r="D678" s="8"/>
      <c r="E678" s="8"/>
      <c r="F678" s="8"/>
    </row>
    <row r="679">
      <c r="A679" s="8"/>
      <c r="B679" s="8"/>
      <c r="C679" s="8"/>
      <c r="D679" s="8"/>
      <c r="E679" s="8"/>
      <c r="F679" s="8"/>
    </row>
    <row r="680">
      <c r="A680" s="8"/>
      <c r="B680" s="8"/>
      <c r="C680" s="8"/>
      <c r="D680" s="8"/>
      <c r="E680" s="8"/>
      <c r="F680" s="8"/>
    </row>
    <row r="681">
      <c r="A681" s="8"/>
      <c r="B681" s="8"/>
      <c r="C681" s="8"/>
      <c r="D681" s="8"/>
      <c r="E681" s="8"/>
      <c r="F681" s="8"/>
    </row>
    <row r="682">
      <c r="A682" s="8"/>
      <c r="B682" s="8"/>
      <c r="C682" s="8"/>
      <c r="D682" s="8"/>
      <c r="E682" s="8"/>
      <c r="F682" s="8"/>
    </row>
    <row r="683">
      <c r="A683" s="8"/>
      <c r="B683" s="8"/>
      <c r="C683" s="8"/>
      <c r="D683" s="8"/>
      <c r="E683" s="8"/>
      <c r="F683" s="8"/>
    </row>
    <row r="684">
      <c r="A684" s="8"/>
      <c r="B684" s="8"/>
      <c r="C684" s="8"/>
      <c r="D684" s="8"/>
      <c r="E684" s="8"/>
      <c r="F684" s="8"/>
    </row>
    <row r="685">
      <c r="A685" s="8"/>
      <c r="B685" s="8"/>
      <c r="C685" s="8"/>
      <c r="D685" s="8"/>
      <c r="E685" s="8"/>
      <c r="F685" s="8"/>
    </row>
    <row r="686">
      <c r="A686" s="8"/>
      <c r="B686" s="8"/>
      <c r="C686" s="8"/>
      <c r="D686" s="8"/>
      <c r="E686" s="8"/>
      <c r="F686" s="8"/>
    </row>
    <row r="687">
      <c r="A687" s="8"/>
      <c r="B687" s="8"/>
      <c r="C687" s="8"/>
      <c r="D687" s="8"/>
      <c r="E687" s="8"/>
      <c r="F687" s="8"/>
    </row>
    <row r="688">
      <c r="A688" s="8"/>
      <c r="B688" s="8"/>
      <c r="C688" s="8"/>
      <c r="D688" s="8"/>
      <c r="E688" s="8"/>
      <c r="F688" s="8"/>
    </row>
    <row r="689">
      <c r="A689" s="8"/>
      <c r="B689" s="8"/>
      <c r="C689" s="8"/>
      <c r="D689" s="8"/>
      <c r="E689" s="8"/>
      <c r="F689" s="8"/>
    </row>
    <row r="690">
      <c r="A690" s="8"/>
      <c r="B690" s="8"/>
      <c r="C690" s="8"/>
      <c r="D690" s="8"/>
      <c r="E690" s="8"/>
      <c r="F690" s="8"/>
    </row>
    <row r="691">
      <c r="A691" s="8"/>
      <c r="B691" s="8"/>
      <c r="C691" s="8"/>
      <c r="D691" s="8"/>
      <c r="E691" s="8"/>
      <c r="F691" s="8"/>
    </row>
    <row r="692">
      <c r="A692" s="8"/>
      <c r="B692" s="8"/>
      <c r="C692" s="8"/>
      <c r="D692" s="8"/>
      <c r="E692" s="8"/>
      <c r="F692" s="8"/>
    </row>
    <row r="693">
      <c r="A693" s="8"/>
      <c r="B693" s="8"/>
      <c r="C693" s="8"/>
      <c r="D693" s="8"/>
      <c r="E693" s="8"/>
      <c r="F693" s="8"/>
    </row>
    <row r="694">
      <c r="A694" s="8"/>
      <c r="B694" s="8"/>
      <c r="C694" s="8"/>
      <c r="D694" s="8"/>
      <c r="E694" s="8"/>
      <c r="F694" s="8"/>
    </row>
    <row r="695">
      <c r="A695" s="8"/>
      <c r="B695" s="8"/>
      <c r="C695" s="8"/>
      <c r="D695" s="8"/>
      <c r="E695" s="8"/>
      <c r="F695" s="8"/>
    </row>
    <row r="696">
      <c r="A696" s="8"/>
      <c r="B696" s="8"/>
      <c r="C696" s="8"/>
      <c r="D696" s="8"/>
      <c r="E696" s="8"/>
      <c r="F696" s="8"/>
    </row>
    <row r="697">
      <c r="A697" s="8"/>
      <c r="B697" s="8"/>
      <c r="C697" s="8"/>
      <c r="D697" s="8"/>
      <c r="E697" s="8"/>
      <c r="F697" s="8"/>
    </row>
    <row r="698">
      <c r="A698" s="8"/>
      <c r="B698" s="8"/>
      <c r="C698" s="8"/>
      <c r="D698" s="8"/>
      <c r="E698" s="8"/>
      <c r="F698" s="8"/>
    </row>
    <row r="699">
      <c r="A699" s="8"/>
      <c r="B699" s="8"/>
      <c r="C699" s="8"/>
      <c r="D699" s="8"/>
      <c r="E699" s="8"/>
      <c r="F699" s="8"/>
    </row>
    <row r="700">
      <c r="A700" s="8"/>
      <c r="B700" s="8"/>
      <c r="C700" s="8"/>
      <c r="D700" s="8"/>
      <c r="E700" s="8"/>
      <c r="F700" s="8"/>
    </row>
    <row r="701">
      <c r="A701" s="8"/>
      <c r="B701" s="8"/>
      <c r="C701" s="8"/>
      <c r="D701" s="8"/>
      <c r="E701" s="8"/>
      <c r="F701" s="8"/>
    </row>
    <row r="702">
      <c r="A702" s="8"/>
      <c r="B702" s="8"/>
      <c r="C702" s="8"/>
      <c r="D702" s="8"/>
      <c r="E702" s="8"/>
      <c r="F702" s="8"/>
    </row>
    <row r="703">
      <c r="A703" s="8"/>
      <c r="B703" s="8"/>
      <c r="C703" s="8"/>
      <c r="D703" s="8"/>
      <c r="E703" s="8"/>
      <c r="F703" s="8"/>
    </row>
    <row r="704">
      <c r="A704" s="8"/>
      <c r="B704" s="8"/>
      <c r="C704" s="8"/>
      <c r="D704" s="8"/>
      <c r="E704" s="8"/>
      <c r="F704" s="8"/>
    </row>
    <row r="705">
      <c r="A705" s="8"/>
      <c r="B705" s="8"/>
      <c r="C705" s="8"/>
      <c r="D705" s="8"/>
      <c r="E705" s="8"/>
      <c r="F705" s="8"/>
    </row>
    <row r="706">
      <c r="A706" s="8"/>
      <c r="B706" s="8"/>
      <c r="C706" s="8"/>
      <c r="D706" s="8"/>
      <c r="E706" s="8"/>
      <c r="F706" s="8"/>
    </row>
    <row r="707">
      <c r="A707" s="8"/>
      <c r="B707" s="8"/>
      <c r="C707" s="8"/>
      <c r="D707" s="8"/>
      <c r="E707" s="8"/>
      <c r="F707" s="8"/>
    </row>
    <row r="708">
      <c r="A708" s="8"/>
      <c r="B708" s="8"/>
      <c r="C708" s="8"/>
      <c r="D708" s="8"/>
      <c r="E708" s="8"/>
      <c r="F708" s="8"/>
    </row>
    <row r="709">
      <c r="A709" s="8"/>
      <c r="B709" s="8"/>
      <c r="C709" s="8"/>
      <c r="D709" s="8"/>
      <c r="E709" s="8"/>
      <c r="F709" s="8"/>
    </row>
    <row r="710">
      <c r="A710" s="8"/>
      <c r="B710" s="8"/>
      <c r="C710" s="8"/>
      <c r="D710" s="8"/>
      <c r="E710" s="8"/>
      <c r="F710" s="8"/>
    </row>
    <row r="711">
      <c r="A711" s="8"/>
      <c r="B711" s="8"/>
      <c r="C711" s="8"/>
      <c r="D711" s="8"/>
      <c r="E711" s="8"/>
      <c r="F711" s="8"/>
    </row>
    <row r="712">
      <c r="A712" s="8"/>
      <c r="B712" s="8"/>
      <c r="C712" s="8"/>
      <c r="D712" s="8"/>
      <c r="E712" s="8"/>
      <c r="F712" s="8"/>
    </row>
    <row r="713">
      <c r="A713" s="8"/>
      <c r="B713" s="8"/>
      <c r="C713" s="8"/>
      <c r="D713" s="8"/>
      <c r="E713" s="8"/>
      <c r="F713" s="8"/>
    </row>
    <row r="714">
      <c r="A714" s="8"/>
      <c r="B714" s="8"/>
      <c r="C714" s="8"/>
      <c r="D714" s="8"/>
      <c r="E714" s="8"/>
      <c r="F714" s="8"/>
    </row>
    <row r="715">
      <c r="A715" s="8"/>
      <c r="B715" s="8"/>
      <c r="C715" s="8"/>
      <c r="D715" s="8"/>
      <c r="E715" s="8"/>
      <c r="F715" s="8"/>
    </row>
    <row r="716">
      <c r="A716" s="8"/>
      <c r="B716" s="8"/>
      <c r="C716" s="8"/>
      <c r="D716" s="8"/>
      <c r="E716" s="8"/>
      <c r="F716" s="8"/>
    </row>
    <row r="717">
      <c r="A717" s="8"/>
      <c r="B717" s="8"/>
      <c r="C717" s="8"/>
      <c r="D717" s="8"/>
      <c r="E717" s="8"/>
      <c r="F717" s="8"/>
    </row>
    <row r="718">
      <c r="A718" s="8"/>
      <c r="B718" s="8"/>
      <c r="C718" s="8"/>
      <c r="D718" s="8"/>
      <c r="E718" s="8"/>
      <c r="F718" s="8"/>
    </row>
    <row r="719">
      <c r="A719" s="8"/>
      <c r="B719" s="8"/>
      <c r="C719" s="8"/>
      <c r="D719" s="8"/>
      <c r="E719" s="8"/>
      <c r="F719" s="8"/>
    </row>
    <row r="720">
      <c r="A720" s="8"/>
      <c r="B720" s="8"/>
      <c r="C720" s="8"/>
      <c r="D720" s="8"/>
      <c r="E720" s="8"/>
      <c r="F720" s="8"/>
    </row>
    <row r="721">
      <c r="A721" s="8"/>
      <c r="B721" s="8"/>
      <c r="C721" s="8"/>
      <c r="D721" s="8"/>
      <c r="E721" s="8"/>
      <c r="F721" s="8"/>
    </row>
    <row r="722">
      <c r="A722" s="8"/>
      <c r="B722" s="8"/>
      <c r="C722" s="8"/>
      <c r="D722" s="8"/>
      <c r="E722" s="8"/>
      <c r="F722" s="8"/>
    </row>
    <row r="723">
      <c r="A723" s="8"/>
      <c r="B723" s="8"/>
      <c r="C723" s="8"/>
      <c r="D723" s="8"/>
      <c r="E723" s="8"/>
      <c r="F723" s="8"/>
    </row>
    <row r="724">
      <c r="A724" s="8"/>
      <c r="B724" s="8"/>
      <c r="C724" s="8"/>
      <c r="D724" s="8"/>
      <c r="E724" s="8"/>
      <c r="F724" s="8"/>
    </row>
    <row r="725">
      <c r="A725" s="8"/>
      <c r="B725" s="8"/>
      <c r="C725" s="8"/>
      <c r="D725" s="8"/>
      <c r="E725" s="8"/>
      <c r="F725" s="8"/>
    </row>
    <row r="726">
      <c r="A726" s="8"/>
      <c r="B726" s="8"/>
      <c r="C726" s="8"/>
      <c r="D726" s="8"/>
      <c r="E726" s="8"/>
      <c r="F726" s="8"/>
    </row>
    <row r="727">
      <c r="A727" s="8"/>
      <c r="B727" s="8"/>
      <c r="C727" s="8"/>
      <c r="D727" s="8"/>
      <c r="E727" s="8"/>
      <c r="F727" s="8"/>
    </row>
    <row r="728">
      <c r="A728" s="8"/>
      <c r="B728" s="8"/>
      <c r="C728" s="8"/>
      <c r="D728" s="8"/>
      <c r="E728" s="8"/>
      <c r="F728" s="8"/>
    </row>
    <row r="729">
      <c r="A729" s="8"/>
      <c r="B729" s="8"/>
      <c r="C729" s="8"/>
      <c r="D729" s="8"/>
      <c r="E729" s="8"/>
      <c r="F729" s="8"/>
    </row>
    <row r="730">
      <c r="A730" s="8"/>
      <c r="B730" s="8"/>
      <c r="C730" s="8"/>
      <c r="D730" s="8"/>
      <c r="E730" s="8"/>
      <c r="F730" s="8"/>
    </row>
    <row r="731">
      <c r="A731" s="8"/>
      <c r="B731" s="8"/>
      <c r="C731" s="8"/>
      <c r="D731" s="8"/>
      <c r="E731" s="8"/>
      <c r="F731" s="8"/>
    </row>
    <row r="732">
      <c r="A732" s="8"/>
      <c r="B732" s="8"/>
      <c r="C732" s="8"/>
      <c r="D732" s="8"/>
      <c r="E732" s="8"/>
      <c r="F732" s="8"/>
    </row>
    <row r="733">
      <c r="A733" s="8"/>
      <c r="B733" s="8"/>
      <c r="C733" s="8"/>
      <c r="D733" s="8"/>
      <c r="E733" s="8"/>
      <c r="F733" s="8"/>
    </row>
    <row r="734">
      <c r="A734" s="8"/>
      <c r="B734" s="8"/>
      <c r="C734" s="8"/>
      <c r="D734" s="8"/>
      <c r="E734" s="8"/>
      <c r="F734" s="8"/>
    </row>
    <row r="735">
      <c r="A735" s="8"/>
      <c r="B735" s="8"/>
      <c r="C735" s="8"/>
      <c r="D735" s="8"/>
      <c r="E735" s="8"/>
      <c r="F735" s="8"/>
    </row>
    <row r="736">
      <c r="A736" s="8"/>
      <c r="B736" s="8"/>
      <c r="C736" s="8"/>
      <c r="D736" s="8"/>
      <c r="E736" s="8"/>
      <c r="F736" s="8"/>
    </row>
    <row r="737">
      <c r="A737" s="8"/>
      <c r="B737" s="8"/>
      <c r="C737" s="8"/>
      <c r="D737" s="8"/>
      <c r="E737" s="8"/>
      <c r="F737" s="8"/>
    </row>
    <row r="738">
      <c r="A738" s="8"/>
      <c r="B738" s="8"/>
      <c r="C738" s="8"/>
      <c r="D738" s="8"/>
      <c r="E738" s="8"/>
      <c r="F738" s="8"/>
    </row>
    <row r="739">
      <c r="A739" s="8"/>
      <c r="B739" s="8"/>
      <c r="C739" s="8"/>
      <c r="D739" s="8"/>
      <c r="E739" s="8"/>
      <c r="F739" s="8"/>
    </row>
    <row r="740">
      <c r="A740" s="8"/>
      <c r="B740" s="8"/>
      <c r="C740" s="8"/>
      <c r="D740" s="8"/>
      <c r="E740" s="8"/>
      <c r="F740" s="8"/>
    </row>
    <row r="741">
      <c r="A741" s="8"/>
      <c r="B741" s="8"/>
      <c r="C741" s="8"/>
      <c r="D741" s="8"/>
      <c r="E741" s="8"/>
      <c r="F741" s="8"/>
    </row>
    <row r="742">
      <c r="A742" s="8"/>
      <c r="B742" s="8"/>
      <c r="C742" s="8"/>
      <c r="D742" s="8"/>
      <c r="E742" s="8"/>
      <c r="F742" s="8"/>
    </row>
    <row r="743">
      <c r="A743" s="8"/>
      <c r="B743" s="8"/>
      <c r="C743" s="8"/>
      <c r="D743" s="8"/>
      <c r="E743" s="8"/>
      <c r="F743" s="8"/>
    </row>
    <row r="744">
      <c r="A744" s="8"/>
      <c r="B744" s="8"/>
      <c r="C744" s="8"/>
      <c r="D744" s="8"/>
      <c r="E744" s="8"/>
      <c r="F744" s="8"/>
    </row>
    <row r="745">
      <c r="A745" s="8"/>
      <c r="B745" s="8"/>
      <c r="C745" s="8"/>
      <c r="D745" s="8"/>
      <c r="E745" s="8"/>
      <c r="F745" s="8"/>
    </row>
    <row r="746">
      <c r="A746" s="8"/>
      <c r="B746" s="8"/>
      <c r="C746" s="8"/>
      <c r="D746" s="8"/>
      <c r="E746" s="8"/>
      <c r="F746" s="8"/>
    </row>
    <row r="747">
      <c r="A747" s="8"/>
      <c r="B747" s="8"/>
      <c r="C747" s="8"/>
      <c r="D747" s="8"/>
      <c r="E747" s="8"/>
      <c r="F747" s="8"/>
    </row>
    <row r="748">
      <c r="A748" s="8"/>
      <c r="B748" s="8"/>
      <c r="C748" s="8"/>
      <c r="D748" s="8"/>
      <c r="E748" s="8"/>
      <c r="F748" s="8"/>
    </row>
    <row r="749">
      <c r="A749" s="8"/>
      <c r="B749" s="8"/>
      <c r="C749" s="8"/>
      <c r="D749" s="8"/>
      <c r="E749" s="8"/>
      <c r="F749" s="8"/>
    </row>
    <row r="750">
      <c r="A750" s="8"/>
      <c r="B750" s="8"/>
      <c r="C750" s="8"/>
      <c r="D750" s="8"/>
      <c r="E750" s="8"/>
      <c r="F750" s="8"/>
    </row>
    <row r="751">
      <c r="A751" s="8"/>
      <c r="B751" s="8"/>
      <c r="C751" s="8"/>
      <c r="D751" s="8"/>
      <c r="E751" s="8"/>
      <c r="F751" s="8"/>
    </row>
    <row r="752">
      <c r="A752" s="8"/>
      <c r="B752" s="8"/>
      <c r="C752" s="8"/>
      <c r="D752" s="8"/>
      <c r="E752" s="8"/>
      <c r="F752" s="8"/>
    </row>
    <row r="753">
      <c r="A753" s="8"/>
      <c r="B753" s="8"/>
      <c r="C753" s="8"/>
      <c r="D753" s="8"/>
      <c r="E753" s="8"/>
      <c r="F753" s="8"/>
    </row>
    <row r="754">
      <c r="A754" s="8"/>
      <c r="B754" s="8"/>
      <c r="C754" s="8"/>
      <c r="D754" s="8"/>
      <c r="E754" s="8"/>
      <c r="F754" s="8"/>
    </row>
    <row r="755">
      <c r="A755" s="8"/>
      <c r="B755" s="8"/>
      <c r="C755" s="8"/>
      <c r="D755" s="8"/>
      <c r="E755" s="8"/>
      <c r="F755" s="8"/>
    </row>
    <row r="756">
      <c r="A756" s="8"/>
      <c r="B756" s="8"/>
      <c r="C756" s="8"/>
      <c r="D756" s="8"/>
      <c r="E756" s="8"/>
      <c r="F756" s="8"/>
    </row>
    <row r="757">
      <c r="A757" s="8"/>
      <c r="B757" s="8"/>
      <c r="C757" s="8"/>
      <c r="D757" s="8"/>
      <c r="E757" s="8"/>
      <c r="F757" s="8"/>
    </row>
    <row r="758">
      <c r="A758" s="8"/>
      <c r="B758" s="8"/>
      <c r="C758" s="8"/>
      <c r="D758" s="8"/>
      <c r="E758" s="8"/>
      <c r="F758" s="8"/>
    </row>
    <row r="759">
      <c r="A759" s="8"/>
      <c r="B759" s="8"/>
      <c r="C759" s="8"/>
      <c r="D759" s="8"/>
      <c r="E759" s="8"/>
      <c r="F759" s="8"/>
    </row>
    <row r="760">
      <c r="A760" s="8"/>
      <c r="B760" s="8"/>
      <c r="C760" s="8"/>
      <c r="D760" s="8"/>
      <c r="E760" s="8"/>
      <c r="F760" s="8"/>
    </row>
    <row r="761">
      <c r="A761" s="8"/>
      <c r="B761" s="8"/>
      <c r="C761" s="8"/>
      <c r="D761" s="8"/>
      <c r="E761" s="8"/>
      <c r="F761" s="8"/>
    </row>
    <row r="762">
      <c r="A762" s="8"/>
      <c r="B762" s="8"/>
      <c r="C762" s="8"/>
      <c r="D762" s="8"/>
      <c r="E762" s="8"/>
      <c r="F762" s="8"/>
    </row>
    <row r="763">
      <c r="A763" s="8"/>
      <c r="B763" s="8"/>
      <c r="C763" s="8"/>
      <c r="D763" s="8"/>
      <c r="E763" s="8"/>
      <c r="F763" s="8"/>
    </row>
    <row r="764">
      <c r="A764" s="8"/>
      <c r="B764" s="8"/>
      <c r="C764" s="8"/>
      <c r="D764" s="8"/>
      <c r="E764" s="8"/>
      <c r="F764" s="8"/>
    </row>
    <row r="765">
      <c r="A765" s="8"/>
      <c r="B765" s="8"/>
      <c r="C765" s="8"/>
      <c r="D765" s="8"/>
      <c r="E765" s="8"/>
      <c r="F765" s="8"/>
    </row>
    <row r="766">
      <c r="A766" s="8"/>
      <c r="B766" s="8"/>
      <c r="C766" s="8"/>
      <c r="D766" s="8"/>
      <c r="E766" s="8"/>
      <c r="F766" s="8"/>
    </row>
    <row r="767">
      <c r="A767" s="8"/>
      <c r="B767" s="8"/>
      <c r="C767" s="8"/>
      <c r="D767" s="8"/>
      <c r="E767" s="8"/>
      <c r="F767" s="8"/>
    </row>
    <row r="768">
      <c r="A768" s="8"/>
      <c r="B768" s="8"/>
      <c r="C768" s="8"/>
      <c r="D768" s="8"/>
      <c r="E768" s="8"/>
      <c r="F768" s="8"/>
    </row>
    <row r="769">
      <c r="A769" s="8"/>
      <c r="B769" s="8"/>
      <c r="C769" s="8"/>
      <c r="D769" s="8"/>
      <c r="E769" s="8"/>
      <c r="F769" s="8"/>
    </row>
    <row r="770">
      <c r="A770" s="8"/>
      <c r="B770" s="8"/>
      <c r="C770" s="8"/>
      <c r="D770" s="8"/>
      <c r="E770" s="8"/>
      <c r="F770" s="8"/>
    </row>
    <row r="771">
      <c r="A771" s="8"/>
      <c r="B771" s="8"/>
      <c r="C771" s="8"/>
      <c r="D771" s="8"/>
      <c r="E771" s="8"/>
      <c r="F771" s="8"/>
    </row>
    <row r="772">
      <c r="A772" s="8"/>
      <c r="B772" s="8"/>
      <c r="C772" s="8"/>
      <c r="D772" s="8"/>
      <c r="E772" s="8"/>
      <c r="F772" s="8"/>
    </row>
    <row r="773">
      <c r="A773" s="8"/>
      <c r="B773" s="8"/>
      <c r="C773" s="8"/>
      <c r="D773" s="8"/>
      <c r="E773" s="8"/>
      <c r="F773" s="8"/>
    </row>
    <row r="774">
      <c r="A774" s="8"/>
      <c r="B774" s="8"/>
      <c r="C774" s="8"/>
      <c r="D774" s="8"/>
      <c r="E774" s="8"/>
      <c r="F774" s="8"/>
    </row>
    <row r="775">
      <c r="A775" s="8"/>
      <c r="B775" s="8"/>
      <c r="C775" s="8"/>
      <c r="D775" s="8"/>
      <c r="E775" s="8"/>
      <c r="F775" s="8"/>
    </row>
    <row r="776">
      <c r="A776" s="8"/>
      <c r="B776" s="8"/>
      <c r="C776" s="8"/>
      <c r="D776" s="8"/>
      <c r="E776" s="8"/>
      <c r="F776" s="8"/>
    </row>
    <row r="777">
      <c r="A777" s="8"/>
      <c r="B777" s="8"/>
      <c r="C777" s="8"/>
      <c r="D777" s="8"/>
      <c r="E777" s="8"/>
      <c r="F777" s="8"/>
    </row>
    <row r="778">
      <c r="A778" s="8"/>
      <c r="B778" s="8"/>
      <c r="C778" s="8"/>
      <c r="D778" s="8"/>
      <c r="E778" s="8"/>
      <c r="F778" s="8"/>
    </row>
    <row r="779">
      <c r="A779" s="8"/>
      <c r="B779" s="8"/>
      <c r="C779" s="8"/>
      <c r="D779" s="8"/>
      <c r="E779" s="8"/>
      <c r="F779" s="8"/>
    </row>
    <row r="780">
      <c r="A780" s="8"/>
      <c r="B780" s="8"/>
      <c r="C780" s="8"/>
      <c r="D780" s="8"/>
      <c r="E780" s="8"/>
      <c r="F780" s="8"/>
    </row>
    <row r="781">
      <c r="A781" s="8"/>
      <c r="B781" s="8"/>
      <c r="C781" s="8"/>
      <c r="D781" s="8"/>
      <c r="E781" s="8"/>
      <c r="F781" s="8"/>
    </row>
    <row r="782">
      <c r="A782" s="8"/>
      <c r="B782" s="8"/>
      <c r="C782" s="8"/>
      <c r="D782" s="8"/>
      <c r="E782" s="8"/>
      <c r="F782" s="8"/>
    </row>
    <row r="783">
      <c r="A783" s="8"/>
      <c r="B783" s="8"/>
      <c r="C783" s="8"/>
      <c r="D783" s="8"/>
      <c r="E783" s="8"/>
      <c r="F783" s="8"/>
    </row>
    <row r="784">
      <c r="A784" s="8"/>
      <c r="B784" s="8"/>
      <c r="C784" s="8"/>
      <c r="D784" s="8"/>
      <c r="E784" s="8"/>
      <c r="F784" s="8"/>
    </row>
    <row r="785">
      <c r="A785" s="8"/>
      <c r="B785" s="8"/>
      <c r="C785" s="8"/>
      <c r="D785" s="8"/>
      <c r="E785" s="8"/>
      <c r="F785" s="8"/>
    </row>
    <row r="786">
      <c r="A786" s="8"/>
      <c r="B786" s="8"/>
      <c r="C786" s="8"/>
      <c r="D786" s="8"/>
      <c r="E786" s="8"/>
      <c r="F786" s="8"/>
    </row>
    <row r="787">
      <c r="A787" s="8"/>
      <c r="B787" s="8"/>
      <c r="C787" s="8"/>
      <c r="D787" s="8"/>
      <c r="E787" s="8"/>
      <c r="F787" s="8"/>
    </row>
    <row r="788">
      <c r="A788" s="8"/>
      <c r="B788" s="8"/>
      <c r="C788" s="8"/>
      <c r="D788" s="8"/>
      <c r="E788" s="8"/>
      <c r="F788" s="8"/>
    </row>
    <row r="789">
      <c r="A789" s="8"/>
      <c r="B789" s="8"/>
      <c r="C789" s="8"/>
      <c r="D789" s="8"/>
      <c r="E789" s="8"/>
      <c r="F789" s="8"/>
    </row>
    <row r="790">
      <c r="A790" s="8"/>
      <c r="B790" s="8"/>
      <c r="C790" s="8"/>
      <c r="D790" s="8"/>
      <c r="E790" s="8"/>
      <c r="F790" s="8"/>
    </row>
    <row r="791">
      <c r="A791" s="8"/>
      <c r="B791" s="8"/>
      <c r="C791" s="8"/>
      <c r="D791" s="8"/>
      <c r="E791" s="8"/>
      <c r="F791" s="8"/>
    </row>
    <row r="792">
      <c r="A792" s="8"/>
      <c r="B792" s="8"/>
      <c r="C792" s="8"/>
      <c r="D792" s="8"/>
      <c r="E792" s="8"/>
      <c r="F792" s="8"/>
    </row>
    <row r="793">
      <c r="A793" s="8"/>
      <c r="B793" s="8"/>
      <c r="C793" s="8"/>
      <c r="D793" s="8"/>
      <c r="E793" s="8"/>
      <c r="F793" s="8"/>
    </row>
    <row r="794">
      <c r="A794" s="8"/>
      <c r="B794" s="8"/>
      <c r="C794" s="8"/>
      <c r="D794" s="8"/>
      <c r="E794" s="8"/>
      <c r="F794" s="8"/>
    </row>
    <row r="795">
      <c r="A795" s="8"/>
      <c r="B795" s="8"/>
      <c r="C795" s="8"/>
      <c r="D795" s="8"/>
      <c r="E795" s="8"/>
      <c r="F795" s="8"/>
    </row>
    <row r="796">
      <c r="A796" s="8"/>
      <c r="B796" s="8"/>
      <c r="C796" s="8"/>
      <c r="D796" s="8"/>
      <c r="E796" s="8"/>
      <c r="F796" s="8"/>
    </row>
    <row r="797">
      <c r="A797" s="8"/>
      <c r="B797" s="8"/>
      <c r="C797" s="8"/>
      <c r="D797" s="8"/>
      <c r="E797" s="8"/>
      <c r="F797" s="8"/>
    </row>
    <row r="798">
      <c r="A798" s="8"/>
      <c r="B798" s="8"/>
      <c r="C798" s="8"/>
      <c r="D798" s="8"/>
      <c r="E798" s="8"/>
      <c r="F798" s="8"/>
    </row>
    <row r="799">
      <c r="A799" s="8"/>
      <c r="B799" s="8"/>
      <c r="C799" s="8"/>
      <c r="D799" s="8"/>
      <c r="E799" s="8"/>
      <c r="F799" s="8"/>
    </row>
    <row r="800">
      <c r="A800" s="8"/>
      <c r="B800" s="8"/>
      <c r="C800" s="8"/>
      <c r="D800" s="8"/>
      <c r="E800" s="8"/>
      <c r="F800" s="8"/>
    </row>
    <row r="801">
      <c r="A801" s="8"/>
      <c r="B801" s="8"/>
      <c r="C801" s="8"/>
      <c r="D801" s="8"/>
      <c r="E801" s="8"/>
      <c r="F801" s="8"/>
    </row>
    <row r="802">
      <c r="A802" s="8"/>
      <c r="B802" s="8"/>
      <c r="C802" s="8"/>
      <c r="D802" s="8"/>
      <c r="E802" s="8"/>
      <c r="F802" s="8"/>
    </row>
    <row r="803">
      <c r="A803" s="8"/>
      <c r="B803" s="8"/>
      <c r="C803" s="8"/>
      <c r="D803" s="8"/>
      <c r="E803" s="8"/>
      <c r="F803" s="8"/>
    </row>
    <row r="804">
      <c r="A804" s="8"/>
      <c r="B804" s="8"/>
      <c r="C804" s="8"/>
      <c r="D804" s="8"/>
      <c r="E804" s="8"/>
      <c r="F804" s="8"/>
    </row>
    <row r="805">
      <c r="A805" s="8"/>
      <c r="B805" s="8"/>
      <c r="C805" s="8"/>
      <c r="D805" s="8"/>
      <c r="E805" s="8"/>
      <c r="F805" s="8"/>
    </row>
    <row r="806">
      <c r="A806" s="8"/>
      <c r="B806" s="8"/>
      <c r="C806" s="8"/>
      <c r="D806" s="8"/>
      <c r="E806" s="8"/>
      <c r="F806" s="8"/>
    </row>
    <row r="807">
      <c r="A807" s="8"/>
      <c r="B807" s="8"/>
      <c r="C807" s="8"/>
      <c r="D807" s="8"/>
      <c r="E807" s="8"/>
      <c r="F807" s="8"/>
    </row>
    <row r="808">
      <c r="A808" s="8"/>
      <c r="B808" s="8"/>
      <c r="C808" s="8"/>
      <c r="D808" s="8"/>
      <c r="E808" s="8"/>
      <c r="F808" s="8"/>
    </row>
    <row r="809">
      <c r="A809" s="8"/>
      <c r="B809" s="8"/>
      <c r="C809" s="8"/>
      <c r="D809" s="8"/>
      <c r="E809" s="8"/>
      <c r="F809" s="8"/>
    </row>
    <row r="810">
      <c r="A810" s="8"/>
      <c r="B810" s="8"/>
      <c r="C810" s="8"/>
      <c r="D810" s="8"/>
      <c r="E810" s="8"/>
      <c r="F810" s="8"/>
    </row>
    <row r="811">
      <c r="A811" s="8"/>
      <c r="B811" s="8"/>
      <c r="C811" s="8"/>
      <c r="D811" s="8"/>
      <c r="E811" s="8"/>
      <c r="F811" s="8"/>
    </row>
    <row r="812">
      <c r="A812" s="8"/>
      <c r="B812" s="8"/>
      <c r="C812" s="8"/>
      <c r="D812" s="8"/>
      <c r="E812" s="8"/>
      <c r="F812" s="8"/>
    </row>
    <row r="813">
      <c r="A813" s="8"/>
      <c r="B813" s="8"/>
      <c r="C813" s="8"/>
      <c r="D813" s="8"/>
      <c r="E813" s="8"/>
      <c r="F813" s="8"/>
    </row>
    <row r="814">
      <c r="A814" s="8"/>
      <c r="B814" s="8"/>
      <c r="C814" s="8"/>
      <c r="D814" s="8"/>
      <c r="E814" s="8"/>
      <c r="F814" s="8"/>
    </row>
    <row r="815">
      <c r="A815" s="8"/>
      <c r="B815" s="8"/>
      <c r="C815" s="8"/>
      <c r="D815" s="8"/>
      <c r="E815" s="8"/>
      <c r="F815" s="8"/>
    </row>
    <row r="816">
      <c r="A816" s="8"/>
      <c r="B816" s="8"/>
      <c r="C816" s="8"/>
      <c r="D816" s="8"/>
      <c r="E816" s="8"/>
      <c r="F816" s="8"/>
    </row>
    <row r="817">
      <c r="A817" s="8"/>
      <c r="B817" s="8"/>
      <c r="C817" s="8"/>
      <c r="D817" s="8"/>
      <c r="E817" s="8"/>
      <c r="F817" s="8"/>
    </row>
    <row r="818">
      <c r="A818" s="8"/>
      <c r="B818" s="8"/>
      <c r="C818" s="8"/>
      <c r="D818" s="8"/>
      <c r="E818" s="8"/>
      <c r="F818" s="8"/>
    </row>
    <row r="819">
      <c r="A819" s="8"/>
      <c r="B819" s="8"/>
      <c r="C819" s="8"/>
      <c r="D819" s="8"/>
      <c r="E819" s="8"/>
      <c r="F819" s="8"/>
    </row>
    <row r="820">
      <c r="A820" s="8"/>
      <c r="B820" s="8"/>
      <c r="C820" s="8"/>
      <c r="D820" s="8"/>
      <c r="E820" s="8"/>
      <c r="F820" s="8"/>
    </row>
    <row r="821">
      <c r="A821" s="8"/>
      <c r="B821" s="8"/>
      <c r="C821" s="8"/>
      <c r="D821" s="8"/>
      <c r="E821" s="8"/>
      <c r="F821" s="8"/>
    </row>
    <row r="822">
      <c r="A822" s="8"/>
      <c r="B822" s="8"/>
      <c r="C822" s="8"/>
      <c r="D822" s="8"/>
      <c r="E822" s="8"/>
      <c r="F822" s="8"/>
    </row>
    <row r="823">
      <c r="A823" s="8"/>
      <c r="B823" s="8"/>
      <c r="C823" s="8"/>
      <c r="D823" s="8"/>
      <c r="E823" s="8"/>
      <c r="F823" s="8"/>
    </row>
    <row r="824">
      <c r="A824" s="8"/>
      <c r="B824" s="8"/>
      <c r="C824" s="8"/>
      <c r="D824" s="8"/>
      <c r="E824" s="8"/>
      <c r="F824" s="8"/>
    </row>
    <row r="825">
      <c r="A825" s="8"/>
      <c r="B825" s="8"/>
      <c r="C825" s="8"/>
      <c r="D825" s="8"/>
      <c r="E825" s="8"/>
      <c r="F825" s="8"/>
    </row>
    <row r="826">
      <c r="A826" s="8"/>
      <c r="B826" s="8"/>
      <c r="C826" s="8"/>
      <c r="D826" s="8"/>
      <c r="E826" s="8"/>
      <c r="F826" s="8"/>
    </row>
    <row r="827">
      <c r="A827" s="8"/>
      <c r="B827" s="8"/>
      <c r="C827" s="8"/>
      <c r="D827" s="8"/>
      <c r="E827" s="8"/>
      <c r="F827" s="8"/>
    </row>
    <row r="828">
      <c r="A828" s="8"/>
      <c r="B828" s="8"/>
      <c r="C828" s="8"/>
      <c r="D828" s="8"/>
      <c r="E828" s="8"/>
      <c r="F828" s="8"/>
    </row>
    <row r="829">
      <c r="A829" s="8"/>
      <c r="B829" s="8"/>
      <c r="C829" s="8"/>
      <c r="D829" s="8"/>
      <c r="E829" s="8"/>
      <c r="F829" s="8"/>
    </row>
    <row r="830">
      <c r="A830" s="8"/>
      <c r="B830" s="8"/>
      <c r="C830" s="8"/>
      <c r="D830" s="8"/>
      <c r="E830" s="8"/>
      <c r="F830" s="8"/>
    </row>
    <row r="831">
      <c r="A831" s="8"/>
      <c r="B831" s="8"/>
      <c r="C831" s="8"/>
      <c r="D831" s="8"/>
      <c r="E831" s="8"/>
      <c r="F831" s="8"/>
    </row>
    <row r="832">
      <c r="A832" s="8"/>
      <c r="B832" s="8"/>
      <c r="C832" s="8"/>
      <c r="D832" s="8"/>
      <c r="E832" s="8"/>
      <c r="F832" s="8"/>
    </row>
    <row r="833">
      <c r="A833" s="8"/>
      <c r="B833" s="8"/>
      <c r="C833" s="8"/>
      <c r="D833" s="8"/>
      <c r="E833" s="8"/>
      <c r="F833" s="8"/>
    </row>
    <row r="834">
      <c r="A834" s="8"/>
      <c r="B834" s="8"/>
      <c r="C834" s="8"/>
      <c r="D834" s="8"/>
      <c r="E834" s="8"/>
      <c r="F834" s="8"/>
    </row>
    <row r="835">
      <c r="A835" s="8"/>
      <c r="B835" s="8"/>
      <c r="C835" s="8"/>
      <c r="D835" s="8"/>
      <c r="E835" s="8"/>
      <c r="F835" s="8"/>
    </row>
    <row r="836">
      <c r="A836" s="8"/>
      <c r="B836" s="8"/>
      <c r="C836" s="8"/>
      <c r="D836" s="8"/>
      <c r="E836" s="8"/>
      <c r="F836" s="8"/>
    </row>
    <row r="837">
      <c r="A837" s="8"/>
      <c r="B837" s="8"/>
      <c r="C837" s="8"/>
      <c r="D837" s="8"/>
      <c r="E837" s="8"/>
      <c r="F837" s="8"/>
    </row>
    <row r="838">
      <c r="A838" s="8"/>
      <c r="B838" s="8"/>
      <c r="C838" s="8"/>
      <c r="D838" s="8"/>
      <c r="E838" s="8"/>
      <c r="F838" s="8"/>
    </row>
    <row r="839">
      <c r="A839" s="8"/>
      <c r="B839" s="8"/>
      <c r="C839" s="8"/>
      <c r="D839" s="8"/>
      <c r="E839" s="8"/>
      <c r="F839" s="8"/>
    </row>
    <row r="840">
      <c r="A840" s="8"/>
      <c r="B840" s="8"/>
      <c r="C840" s="8"/>
      <c r="D840" s="8"/>
      <c r="E840" s="8"/>
      <c r="F840" s="8"/>
    </row>
    <row r="841">
      <c r="A841" s="8"/>
      <c r="B841" s="8"/>
      <c r="C841" s="8"/>
      <c r="D841" s="8"/>
      <c r="E841" s="8"/>
      <c r="F841" s="8"/>
    </row>
    <row r="842">
      <c r="A842" s="8"/>
      <c r="B842" s="8"/>
      <c r="C842" s="8"/>
      <c r="D842" s="8"/>
      <c r="E842" s="8"/>
      <c r="F842" s="8"/>
    </row>
    <row r="843">
      <c r="A843" s="8"/>
      <c r="B843" s="8"/>
      <c r="C843" s="8"/>
      <c r="D843" s="8"/>
      <c r="E843" s="8"/>
      <c r="F843" s="8"/>
    </row>
    <row r="844">
      <c r="A844" s="8"/>
      <c r="B844" s="8"/>
      <c r="C844" s="8"/>
      <c r="D844" s="8"/>
      <c r="E844" s="8"/>
      <c r="F844" s="8"/>
    </row>
    <row r="845">
      <c r="A845" s="8"/>
      <c r="B845" s="8"/>
      <c r="C845" s="8"/>
      <c r="D845" s="8"/>
      <c r="E845" s="8"/>
      <c r="F845" s="8"/>
    </row>
    <row r="846">
      <c r="A846" s="8"/>
      <c r="B846" s="8"/>
      <c r="C846" s="8"/>
      <c r="D846" s="8"/>
      <c r="E846" s="8"/>
      <c r="F846" s="8"/>
    </row>
    <row r="847">
      <c r="A847" s="8"/>
      <c r="B847" s="8"/>
      <c r="C847" s="8"/>
      <c r="D847" s="8"/>
      <c r="E847" s="8"/>
      <c r="F847" s="8"/>
    </row>
    <row r="848">
      <c r="A848" s="8"/>
      <c r="B848" s="8"/>
      <c r="C848" s="8"/>
      <c r="D848" s="8"/>
      <c r="E848" s="8"/>
      <c r="F848" s="8"/>
    </row>
    <row r="849">
      <c r="A849" s="8"/>
      <c r="B849" s="8"/>
      <c r="C849" s="8"/>
      <c r="D849" s="8"/>
      <c r="E849" s="8"/>
      <c r="F849" s="8"/>
    </row>
    <row r="850">
      <c r="A850" s="8"/>
      <c r="B850" s="8"/>
      <c r="C850" s="8"/>
      <c r="D850" s="8"/>
      <c r="E850" s="8"/>
      <c r="F850" s="8"/>
    </row>
    <row r="851">
      <c r="A851" s="8"/>
      <c r="B851" s="8"/>
      <c r="C851" s="8"/>
      <c r="D851" s="8"/>
      <c r="E851" s="8"/>
      <c r="F851" s="8"/>
    </row>
    <row r="852">
      <c r="A852" s="8"/>
      <c r="B852" s="8"/>
      <c r="C852" s="8"/>
      <c r="D852" s="8"/>
      <c r="E852" s="8"/>
      <c r="F852" s="8"/>
    </row>
    <row r="853">
      <c r="A853" s="8"/>
      <c r="B853" s="8"/>
      <c r="C853" s="8"/>
      <c r="D853" s="8"/>
      <c r="E853" s="8"/>
      <c r="F853" s="8"/>
    </row>
    <row r="854">
      <c r="A854" s="8"/>
      <c r="B854" s="8"/>
      <c r="C854" s="8"/>
      <c r="D854" s="8"/>
      <c r="E854" s="8"/>
      <c r="F854" s="8"/>
    </row>
    <row r="855">
      <c r="A855" s="8"/>
      <c r="B855" s="8"/>
      <c r="C855" s="8"/>
      <c r="D855" s="8"/>
      <c r="E855" s="8"/>
      <c r="F855" s="8"/>
    </row>
    <row r="856">
      <c r="A856" s="8"/>
      <c r="B856" s="8"/>
      <c r="C856" s="8"/>
      <c r="D856" s="8"/>
      <c r="E856" s="8"/>
      <c r="F856" s="8"/>
    </row>
    <row r="857">
      <c r="A857" s="8"/>
      <c r="B857" s="8"/>
      <c r="C857" s="8"/>
      <c r="D857" s="8"/>
      <c r="E857" s="8"/>
      <c r="F857" s="8"/>
    </row>
    <row r="858">
      <c r="A858" s="8"/>
      <c r="B858" s="8"/>
      <c r="C858" s="8"/>
      <c r="D858" s="8"/>
      <c r="E858" s="8"/>
      <c r="F858" s="8"/>
    </row>
    <row r="859">
      <c r="A859" s="8"/>
      <c r="B859" s="8"/>
      <c r="C859" s="8"/>
      <c r="D859" s="8"/>
      <c r="E859" s="8"/>
      <c r="F859" s="8"/>
    </row>
    <row r="860">
      <c r="A860" s="8"/>
      <c r="B860" s="8"/>
      <c r="C860" s="8"/>
      <c r="D860" s="8"/>
      <c r="E860" s="8"/>
      <c r="F860" s="8"/>
    </row>
    <row r="861">
      <c r="A861" s="8"/>
      <c r="B861" s="8"/>
      <c r="C861" s="8"/>
      <c r="D861" s="8"/>
      <c r="E861" s="8"/>
      <c r="F861" s="8"/>
    </row>
    <row r="862">
      <c r="A862" s="8"/>
      <c r="B862" s="8"/>
      <c r="C862" s="8"/>
      <c r="D862" s="8"/>
      <c r="E862" s="8"/>
      <c r="F862" s="8"/>
    </row>
    <row r="863">
      <c r="A863" s="8"/>
      <c r="B863" s="8"/>
      <c r="C863" s="8"/>
      <c r="D863" s="8"/>
      <c r="E863" s="8"/>
      <c r="F863" s="8"/>
    </row>
    <row r="864">
      <c r="A864" s="8"/>
      <c r="B864" s="8"/>
      <c r="C864" s="8"/>
      <c r="D864" s="8"/>
      <c r="E864" s="8"/>
      <c r="F864" s="8"/>
    </row>
    <row r="865">
      <c r="A865" s="8"/>
      <c r="B865" s="8"/>
      <c r="C865" s="8"/>
      <c r="D865" s="8"/>
      <c r="E865" s="8"/>
      <c r="F865" s="8"/>
    </row>
    <row r="866">
      <c r="A866" s="8"/>
      <c r="B866" s="8"/>
      <c r="C866" s="8"/>
      <c r="D866" s="8"/>
      <c r="E866" s="8"/>
      <c r="F866" s="8"/>
    </row>
    <row r="867">
      <c r="A867" s="8"/>
      <c r="B867" s="8"/>
      <c r="C867" s="8"/>
      <c r="D867" s="8"/>
      <c r="E867" s="8"/>
      <c r="F867" s="8"/>
    </row>
    <row r="868">
      <c r="A868" s="8"/>
      <c r="B868" s="8"/>
      <c r="C868" s="8"/>
      <c r="D868" s="8"/>
      <c r="E868" s="8"/>
      <c r="F868" s="8"/>
    </row>
    <row r="869">
      <c r="A869" s="8"/>
      <c r="B869" s="8"/>
      <c r="C869" s="8"/>
      <c r="D869" s="8"/>
      <c r="E869" s="8"/>
      <c r="F869" s="8"/>
    </row>
    <row r="870">
      <c r="A870" s="8"/>
      <c r="B870" s="8"/>
      <c r="C870" s="8"/>
      <c r="D870" s="8"/>
      <c r="E870" s="8"/>
      <c r="F870" s="8"/>
    </row>
    <row r="871">
      <c r="A871" s="8"/>
      <c r="B871" s="8"/>
      <c r="C871" s="8"/>
      <c r="D871" s="8"/>
      <c r="E871" s="8"/>
      <c r="F871" s="8"/>
    </row>
    <row r="872">
      <c r="A872" s="8"/>
      <c r="B872" s="8"/>
      <c r="C872" s="8"/>
      <c r="D872" s="8"/>
      <c r="E872" s="8"/>
      <c r="F872" s="8"/>
    </row>
    <row r="873">
      <c r="A873" s="8"/>
      <c r="B873" s="8"/>
      <c r="C873" s="8"/>
      <c r="D873" s="8"/>
      <c r="E873" s="8"/>
      <c r="F873" s="8"/>
    </row>
    <row r="874">
      <c r="A874" s="8"/>
      <c r="B874" s="8"/>
      <c r="C874" s="8"/>
      <c r="D874" s="8"/>
      <c r="E874" s="8"/>
      <c r="F874" s="8"/>
    </row>
    <row r="875">
      <c r="A875" s="8"/>
      <c r="B875" s="8"/>
      <c r="C875" s="8"/>
      <c r="D875" s="8"/>
      <c r="E875" s="8"/>
      <c r="F875" s="8"/>
    </row>
    <row r="876">
      <c r="A876" s="8"/>
      <c r="B876" s="8"/>
      <c r="C876" s="8"/>
      <c r="D876" s="8"/>
      <c r="E876" s="8"/>
      <c r="F876" s="8"/>
    </row>
    <row r="877">
      <c r="A877" s="8"/>
      <c r="B877" s="8"/>
      <c r="C877" s="8"/>
      <c r="D877" s="8"/>
      <c r="E877" s="8"/>
      <c r="F877" s="8"/>
    </row>
    <row r="878">
      <c r="A878" s="8"/>
      <c r="B878" s="8"/>
      <c r="C878" s="8"/>
      <c r="D878" s="8"/>
      <c r="E878" s="8"/>
      <c r="F878" s="8"/>
    </row>
    <row r="879">
      <c r="A879" s="8"/>
      <c r="B879" s="8"/>
      <c r="C879" s="8"/>
      <c r="D879" s="8"/>
      <c r="E879" s="8"/>
      <c r="F879" s="8"/>
    </row>
    <row r="880">
      <c r="A880" s="8"/>
      <c r="B880" s="8"/>
      <c r="C880" s="8"/>
      <c r="D880" s="8"/>
      <c r="E880" s="8"/>
      <c r="F880" s="8"/>
    </row>
    <row r="881">
      <c r="A881" s="8"/>
      <c r="B881" s="8"/>
      <c r="C881" s="8"/>
      <c r="D881" s="8"/>
      <c r="E881" s="8"/>
      <c r="F881" s="8"/>
    </row>
    <row r="882">
      <c r="A882" s="8"/>
      <c r="B882" s="8"/>
      <c r="C882" s="8"/>
      <c r="D882" s="8"/>
      <c r="E882" s="8"/>
      <c r="F882" s="8"/>
    </row>
    <row r="883">
      <c r="A883" s="8"/>
      <c r="B883" s="8"/>
      <c r="C883" s="8"/>
      <c r="D883" s="8"/>
      <c r="E883" s="8"/>
      <c r="F883" s="8"/>
    </row>
    <row r="884">
      <c r="A884" s="8"/>
      <c r="B884" s="8"/>
      <c r="C884" s="8"/>
      <c r="D884" s="8"/>
      <c r="E884" s="8"/>
      <c r="F884" s="8"/>
    </row>
    <row r="885">
      <c r="A885" s="8"/>
      <c r="B885" s="8"/>
      <c r="C885" s="8"/>
      <c r="D885" s="8"/>
      <c r="E885" s="8"/>
      <c r="F885" s="8"/>
    </row>
    <row r="886">
      <c r="A886" s="8"/>
      <c r="B886" s="8"/>
      <c r="C886" s="8"/>
      <c r="D886" s="8"/>
      <c r="E886" s="8"/>
      <c r="F886" s="8"/>
    </row>
    <row r="887">
      <c r="A887" s="8"/>
      <c r="B887" s="8"/>
      <c r="C887" s="8"/>
      <c r="D887" s="8"/>
      <c r="E887" s="8"/>
      <c r="F887" s="8"/>
    </row>
    <row r="888">
      <c r="A888" s="8"/>
      <c r="B888" s="8"/>
      <c r="C888" s="8"/>
      <c r="D888" s="8"/>
      <c r="E888" s="8"/>
      <c r="F888" s="8"/>
    </row>
    <row r="889">
      <c r="A889" s="8"/>
      <c r="B889" s="8"/>
      <c r="C889" s="8"/>
      <c r="D889" s="8"/>
      <c r="E889" s="8"/>
      <c r="F889" s="8"/>
    </row>
    <row r="890">
      <c r="A890" s="8"/>
      <c r="B890" s="8"/>
      <c r="C890" s="8"/>
      <c r="D890" s="8"/>
      <c r="E890" s="8"/>
      <c r="F890" s="8"/>
    </row>
    <row r="891">
      <c r="A891" s="8"/>
      <c r="B891" s="8"/>
      <c r="C891" s="8"/>
      <c r="D891" s="8"/>
      <c r="E891" s="8"/>
      <c r="F891" s="8"/>
    </row>
    <row r="892">
      <c r="A892" s="8"/>
      <c r="B892" s="8"/>
      <c r="C892" s="8"/>
      <c r="D892" s="8"/>
      <c r="E892" s="8"/>
      <c r="F892" s="8"/>
    </row>
    <row r="893">
      <c r="A893" s="8"/>
      <c r="B893" s="8"/>
      <c r="C893" s="8"/>
      <c r="D893" s="8"/>
      <c r="E893" s="8"/>
      <c r="F893" s="8"/>
    </row>
    <row r="894">
      <c r="A894" s="8"/>
      <c r="B894" s="8"/>
      <c r="C894" s="8"/>
      <c r="D894" s="8"/>
      <c r="E894" s="8"/>
      <c r="F894" s="8"/>
    </row>
    <row r="895">
      <c r="A895" s="8"/>
      <c r="B895" s="8"/>
      <c r="C895" s="8"/>
      <c r="D895" s="8"/>
      <c r="E895" s="8"/>
      <c r="F895" s="8"/>
    </row>
    <row r="896">
      <c r="A896" s="8"/>
      <c r="B896" s="8"/>
      <c r="C896" s="8"/>
      <c r="D896" s="8"/>
      <c r="E896" s="8"/>
      <c r="F896" s="8"/>
    </row>
    <row r="897">
      <c r="A897" s="8"/>
      <c r="B897" s="8"/>
      <c r="C897" s="8"/>
      <c r="D897" s="8"/>
      <c r="E897" s="8"/>
      <c r="F897" s="8"/>
    </row>
    <row r="898">
      <c r="A898" s="8"/>
      <c r="B898" s="8"/>
      <c r="C898" s="8"/>
      <c r="D898" s="8"/>
      <c r="E898" s="8"/>
      <c r="F898" s="8"/>
    </row>
    <row r="899">
      <c r="A899" s="8"/>
      <c r="B899" s="8"/>
      <c r="C899" s="8"/>
      <c r="D899" s="8"/>
      <c r="E899" s="8"/>
      <c r="F899" s="8"/>
    </row>
    <row r="900">
      <c r="A900" s="8"/>
      <c r="B900" s="8"/>
      <c r="C900" s="8"/>
      <c r="D900" s="8"/>
      <c r="E900" s="8"/>
      <c r="F900" s="8"/>
    </row>
    <row r="901">
      <c r="A901" s="8"/>
      <c r="B901" s="8"/>
      <c r="C901" s="8"/>
      <c r="D901" s="8"/>
      <c r="E901" s="8"/>
      <c r="F901" s="8"/>
    </row>
    <row r="902">
      <c r="A902" s="8"/>
      <c r="B902" s="8"/>
      <c r="C902" s="8"/>
      <c r="D902" s="8"/>
      <c r="E902" s="8"/>
      <c r="F902" s="8"/>
    </row>
    <row r="903">
      <c r="A903" s="8"/>
      <c r="B903" s="8"/>
      <c r="C903" s="8"/>
      <c r="D903" s="8"/>
      <c r="E903" s="8"/>
      <c r="F903" s="8"/>
    </row>
    <row r="904">
      <c r="A904" s="8"/>
      <c r="B904" s="8"/>
      <c r="C904" s="8"/>
      <c r="D904" s="8"/>
      <c r="E904" s="8"/>
      <c r="F904" s="8"/>
    </row>
    <row r="905">
      <c r="A905" s="8"/>
      <c r="B905" s="8"/>
      <c r="C905" s="8"/>
      <c r="D905" s="8"/>
      <c r="E905" s="8"/>
      <c r="F905" s="8"/>
    </row>
    <row r="906">
      <c r="A906" s="8"/>
      <c r="B906" s="8"/>
      <c r="C906" s="8"/>
      <c r="D906" s="8"/>
      <c r="E906" s="8"/>
      <c r="F906" s="8"/>
    </row>
    <row r="907">
      <c r="A907" s="8"/>
      <c r="B907" s="8"/>
      <c r="C907" s="8"/>
      <c r="D907" s="8"/>
      <c r="E907" s="8"/>
      <c r="F907" s="8"/>
    </row>
    <row r="908">
      <c r="A908" s="8"/>
      <c r="B908" s="8"/>
      <c r="C908" s="8"/>
      <c r="D908" s="8"/>
      <c r="E908" s="8"/>
      <c r="F908" s="8"/>
    </row>
    <row r="909">
      <c r="A909" s="8"/>
      <c r="B909" s="8"/>
      <c r="C909" s="8"/>
      <c r="D909" s="8"/>
      <c r="E909" s="8"/>
      <c r="F909" s="8"/>
    </row>
    <row r="910">
      <c r="A910" s="8"/>
      <c r="B910" s="8"/>
      <c r="C910" s="8"/>
      <c r="D910" s="8"/>
      <c r="E910" s="8"/>
      <c r="F910" s="8"/>
    </row>
    <row r="911">
      <c r="A911" s="8"/>
      <c r="B911" s="8"/>
      <c r="C911" s="8"/>
      <c r="D911" s="8"/>
      <c r="E911" s="8"/>
      <c r="F911" s="8"/>
    </row>
    <row r="912">
      <c r="A912" s="8"/>
      <c r="B912" s="8"/>
      <c r="C912" s="8"/>
      <c r="D912" s="8"/>
      <c r="E912" s="8"/>
      <c r="F912" s="8"/>
    </row>
    <row r="913">
      <c r="A913" s="8"/>
      <c r="B913" s="8"/>
      <c r="C913" s="8"/>
      <c r="D913" s="8"/>
      <c r="E913" s="8"/>
      <c r="F913" s="8"/>
    </row>
    <row r="914">
      <c r="A914" s="8"/>
      <c r="B914" s="8"/>
      <c r="C914" s="8"/>
      <c r="D914" s="8"/>
      <c r="E914" s="8"/>
      <c r="F914" s="8"/>
    </row>
    <row r="915">
      <c r="A915" s="8"/>
      <c r="B915" s="8"/>
      <c r="C915" s="8"/>
      <c r="D915" s="8"/>
      <c r="E915" s="8"/>
      <c r="F915" s="8"/>
    </row>
    <row r="916">
      <c r="A916" s="8"/>
      <c r="B916" s="8"/>
      <c r="C916" s="8"/>
      <c r="D916" s="8"/>
      <c r="E916" s="8"/>
      <c r="F916" s="8"/>
    </row>
    <row r="917">
      <c r="A917" s="8"/>
      <c r="B917" s="8"/>
      <c r="C917" s="8"/>
      <c r="D917" s="8"/>
      <c r="E917" s="8"/>
      <c r="F917" s="8"/>
    </row>
    <row r="918">
      <c r="A918" s="8"/>
      <c r="B918" s="8"/>
      <c r="C918" s="8"/>
      <c r="D918" s="8"/>
      <c r="E918" s="8"/>
      <c r="F918" s="8"/>
    </row>
    <row r="919">
      <c r="A919" s="8"/>
      <c r="B919" s="8"/>
      <c r="C919" s="8"/>
      <c r="D919" s="8"/>
      <c r="E919" s="8"/>
      <c r="F919" s="8"/>
    </row>
    <row r="920">
      <c r="A920" s="8"/>
      <c r="B920" s="8"/>
      <c r="C920" s="8"/>
      <c r="D920" s="8"/>
      <c r="E920" s="8"/>
      <c r="F920" s="8"/>
    </row>
    <row r="921">
      <c r="A921" s="8"/>
      <c r="B921" s="8"/>
      <c r="C921" s="8"/>
      <c r="D921" s="8"/>
      <c r="E921" s="8"/>
      <c r="F921" s="8"/>
    </row>
    <row r="922">
      <c r="A922" s="8"/>
      <c r="B922" s="8"/>
      <c r="C922" s="8"/>
      <c r="D922" s="8"/>
      <c r="E922" s="8"/>
      <c r="F922" s="8"/>
    </row>
    <row r="923">
      <c r="A923" s="8"/>
      <c r="B923" s="8"/>
      <c r="C923" s="8"/>
      <c r="D923" s="8"/>
      <c r="E923" s="8"/>
      <c r="F923" s="8"/>
    </row>
    <row r="924">
      <c r="A924" s="8"/>
      <c r="B924" s="8"/>
      <c r="C924" s="8"/>
      <c r="D924" s="8"/>
      <c r="E924" s="8"/>
      <c r="F924" s="8"/>
    </row>
    <row r="925">
      <c r="A925" s="8"/>
      <c r="B925" s="8"/>
      <c r="C925" s="8"/>
      <c r="D925" s="8"/>
      <c r="E925" s="8"/>
      <c r="F925" s="8"/>
    </row>
    <row r="926">
      <c r="A926" s="8"/>
      <c r="B926" s="8"/>
      <c r="C926" s="8"/>
      <c r="D926" s="8"/>
      <c r="E926" s="8"/>
      <c r="F926" s="8"/>
    </row>
    <row r="927">
      <c r="A927" s="8"/>
      <c r="B927" s="8"/>
      <c r="C927" s="8"/>
      <c r="D927" s="8"/>
      <c r="E927" s="8"/>
      <c r="F927" s="8"/>
    </row>
    <row r="928">
      <c r="A928" s="8"/>
      <c r="B928" s="8"/>
      <c r="C928" s="8"/>
      <c r="D928" s="8"/>
      <c r="E928" s="8"/>
      <c r="F928" s="8"/>
    </row>
    <row r="929">
      <c r="A929" s="8"/>
      <c r="B929" s="8"/>
      <c r="C929" s="8"/>
      <c r="D929" s="8"/>
      <c r="E929" s="8"/>
      <c r="F929" s="8"/>
    </row>
    <row r="930">
      <c r="A930" s="8"/>
      <c r="B930" s="8"/>
      <c r="C930" s="8"/>
      <c r="D930" s="8"/>
      <c r="E930" s="8"/>
      <c r="F930" s="8"/>
    </row>
    <row r="931">
      <c r="A931" s="8"/>
      <c r="B931" s="8"/>
      <c r="C931" s="8"/>
      <c r="D931" s="8"/>
      <c r="E931" s="8"/>
      <c r="F931" s="8"/>
    </row>
    <row r="932">
      <c r="A932" s="8"/>
      <c r="B932" s="8"/>
      <c r="C932" s="8"/>
      <c r="D932" s="8"/>
      <c r="E932" s="8"/>
      <c r="F932" s="8"/>
    </row>
    <row r="933">
      <c r="A933" s="8"/>
      <c r="B933" s="8"/>
      <c r="C933" s="8"/>
      <c r="D933" s="8"/>
      <c r="E933" s="8"/>
      <c r="F933" s="8"/>
    </row>
    <row r="934">
      <c r="A934" s="8"/>
      <c r="B934" s="8"/>
      <c r="C934" s="8"/>
      <c r="D934" s="8"/>
      <c r="E934" s="8"/>
      <c r="F934" s="8"/>
    </row>
    <row r="935">
      <c r="A935" s="8"/>
      <c r="B935" s="8"/>
      <c r="C935" s="8"/>
      <c r="D935" s="8"/>
      <c r="E935" s="8"/>
      <c r="F935" s="8"/>
    </row>
    <row r="936">
      <c r="A936" s="8"/>
      <c r="B936" s="8"/>
      <c r="C936" s="8"/>
      <c r="D936" s="8"/>
      <c r="E936" s="8"/>
      <c r="F936" s="8"/>
    </row>
    <row r="937">
      <c r="A937" s="8"/>
      <c r="B937" s="8"/>
      <c r="C937" s="8"/>
      <c r="D937" s="8"/>
      <c r="E937" s="8"/>
      <c r="F937" s="8"/>
    </row>
    <row r="938">
      <c r="A938" s="8"/>
      <c r="B938" s="8"/>
      <c r="C938" s="8"/>
      <c r="D938" s="8"/>
      <c r="E938" s="8"/>
      <c r="F938" s="8"/>
    </row>
    <row r="939">
      <c r="A939" s="8"/>
      <c r="B939" s="8"/>
      <c r="C939" s="8"/>
      <c r="D939" s="8"/>
      <c r="E939" s="8"/>
      <c r="F939" s="8"/>
    </row>
    <row r="940">
      <c r="A940" s="8"/>
      <c r="B940" s="8"/>
      <c r="C940" s="8"/>
      <c r="D940" s="8"/>
      <c r="E940" s="8"/>
      <c r="F940" s="8"/>
    </row>
    <row r="941">
      <c r="A941" s="8"/>
      <c r="B941" s="8"/>
      <c r="C941" s="8"/>
      <c r="D941" s="8"/>
      <c r="E941" s="8"/>
      <c r="F941" s="8"/>
    </row>
    <row r="942">
      <c r="A942" s="8"/>
      <c r="B942" s="8"/>
      <c r="C942" s="8"/>
      <c r="D942" s="8"/>
      <c r="E942" s="8"/>
      <c r="F942" s="8"/>
    </row>
    <row r="943">
      <c r="A943" s="8"/>
      <c r="B943" s="8"/>
      <c r="C943" s="8"/>
      <c r="D943" s="8"/>
      <c r="E943" s="8"/>
      <c r="F943" s="8"/>
    </row>
    <row r="944">
      <c r="A944" s="8"/>
      <c r="B944" s="8"/>
      <c r="C944" s="8"/>
      <c r="D944" s="8"/>
      <c r="E944" s="8"/>
      <c r="F944" s="8"/>
    </row>
    <row r="945">
      <c r="A945" s="8"/>
      <c r="B945" s="8"/>
      <c r="C945" s="8"/>
      <c r="D945" s="8"/>
      <c r="E945" s="8"/>
      <c r="F945" s="8"/>
    </row>
    <row r="946">
      <c r="A946" s="8"/>
      <c r="B946" s="8"/>
      <c r="C946" s="8"/>
      <c r="D946" s="8"/>
      <c r="E946" s="8"/>
      <c r="F946" s="8"/>
    </row>
    <row r="947">
      <c r="A947" s="8"/>
      <c r="B947" s="8"/>
      <c r="C947" s="8"/>
      <c r="D947" s="8"/>
      <c r="E947" s="8"/>
      <c r="F947" s="8"/>
    </row>
    <row r="948">
      <c r="A948" s="8"/>
      <c r="B948" s="8"/>
      <c r="C948" s="8"/>
      <c r="D948" s="8"/>
      <c r="E948" s="8"/>
      <c r="F948" s="8"/>
    </row>
    <row r="949">
      <c r="A949" s="8"/>
      <c r="B949" s="8"/>
      <c r="C949" s="8"/>
      <c r="D949" s="8"/>
      <c r="E949" s="8"/>
      <c r="F949" s="8"/>
    </row>
    <row r="950">
      <c r="A950" s="8"/>
      <c r="B950" s="8"/>
      <c r="C950" s="8"/>
      <c r="D950" s="8"/>
      <c r="E950" s="8"/>
      <c r="F950" s="8"/>
    </row>
    <row r="951">
      <c r="A951" s="8"/>
      <c r="B951" s="8"/>
      <c r="C951" s="8"/>
      <c r="D951" s="8"/>
      <c r="E951" s="8"/>
      <c r="F951" s="8"/>
    </row>
    <row r="952">
      <c r="A952" s="8"/>
      <c r="B952" s="8"/>
      <c r="C952" s="8"/>
      <c r="D952" s="8"/>
      <c r="E952" s="8"/>
      <c r="F952" s="8"/>
    </row>
    <row r="953">
      <c r="A953" s="8"/>
      <c r="B953" s="8"/>
      <c r="C953" s="8"/>
      <c r="D953" s="8"/>
      <c r="E953" s="8"/>
      <c r="F953" s="8"/>
    </row>
    <row r="954">
      <c r="A954" s="8"/>
      <c r="B954" s="8"/>
      <c r="C954" s="8"/>
      <c r="D954" s="8"/>
      <c r="E954" s="8"/>
      <c r="F954" s="8"/>
    </row>
    <row r="955">
      <c r="A955" s="8"/>
      <c r="B955" s="8"/>
      <c r="C955" s="8"/>
      <c r="D955" s="8"/>
      <c r="E955" s="8"/>
      <c r="F955" s="8"/>
    </row>
    <row r="956">
      <c r="A956" s="8"/>
      <c r="B956" s="8"/>
      <c r="C956" s="8"/>
      <c r="D956" s="8"/>
      <c r="E956" s="8"/>
      <c r="F956" s="8"/>
    </row>
    <row r="957">
      <c r="A957" s="8"/>
      <c r="B957" s="8"/>
      <c r="C957" s="8"/>
      <c r="D957" s="8"/>
      <c r="E957" s="8"/>
      <c r="F957" s="8"/>
    </row>
    <row r="958">
      <c r="A958" s="8"/>
      <c r="B958" s="8"/>
      <c r="C958" s="8"/>
      <c r="D958" s="8"/>
      <c r="E958" s="8"/>
      <c r="F958" s="8"/>
    </row>
    <row r="959">
      <c r="A959" s="8"/>
      <c r="B959" s="8"/>
      <c r="C959" s="8"/>
      <c r="D959" s="8"/>
      <c r="E959" s="8"/>
      <c r="F959" s="8"/>
    </row>
    <row r="960">
      <c r="A960" s="8"/>
      <c r="B960" s="8"/>
      <c r="C960" s="8"/>
      <c r="D960" s="8"/>
      <c r="E960" s="8"/>
      <c r="F960" s="8"/>
    </row>
    <row r="961">
      <c r="A961" s="8"/>
      <c r="B961" s="8"/>
      <c r="C961" s="8"/>
      <c r="D961" s="8"/>
      <c r="E961" s="8"/>
      <c r="F961" s="8"/>
    </row>
    <row r="962">
      <c r="A962" s="8"/>
      <c r="B962" s="8"/>
      <c r="C962" s="8"/>
      <c r="D962" s="8"/>
      <c r="E962" s="8"/>
      <c r="F962" s="8"/>
    </row>
    <row r="963">
      <c r="A963" s="8"/>
      <c r="B963" s="8"/>
      <c r="C963" s="8"/>
      <c r="D963" s="8"/>
      <c r="E963" s="8"/>
      <c r="F963" s="8"/>
    </row>
    <row r="964">
      <c r="A964" s="8"/>
      <c r="B964" s="8"/>
      <c r="C964" s="8"/>
      <c r="D964" s="8"/>
      <c r="E964" s="8"/>
      <c r="F964" s="8"/>
    </row>
    <row r="965">
      <c r="A965" s="8"/>
      <c r="B965" s="8"/>
      <c r="C965" s="8"/>
      <c r="D965" s="8"/>
      <c r="E965" s="8"/>
      <c r="F965" s="8"/>
    </row>
    <row r="966">
      <c r="A966" s="8"/>
      <c r="B966" s="8"/>
      <c r="C966" s="8"/>
      <c r="D966" s="8"/>
      <c r="E966" s="8"/>
      <c r="F966" s="8"/>
    </row>
    <row r="967">
      <c r="A967" s="8"/>
      <c r="B967" s="8"/>
      <c r="C967" s="8"/>
      <c r="D967" s="8"/>
      <c r="E967" s="8"/>
      <c r="F967" s="8"/>
    </row>
    <row r="968">
      <c r="A968" s="8"/>
      <c r="B968" s="8"/>
      <c r="C968" s="8"/>
      <c r="D968" s="8"/>
      <c r="E968" s="8"/>
      <c r="F968" s="8"/>
    </row>
    <row r="969">
      <c r="A969" s="8"/>
      <c r="B969" s="8"/>
      <c r="C969" s="8"/>
      <c r="D969" s="8"/>
      <c r="E969" s="8"/>
      <c r="F969" s="8"/>
    </row>
    <row r="970">
      <c r="A970" s="8"/>
      <c r="B970" s="8"/>
      <c r="C970" s="8"/>
      <c r="D970" s="8"/>
      <c r="E970" s="8"/>
      <c r="F970" s="8"/>
    </row>
    <row r="971">
      <c r="A971" s="8"/>
      <c r="B971" s="8"/>
      <c r="C971" s="8"/>
      <c r="D971" s="8"/>
      <c r="E971" s="8"/>
      <c r="F971" s="8"/>
    </row>
    <row r="972">
      <c r="A972" s="8"/>
      <c r="B972" s="8"/>
      <c r="C972" s="8"/>
      <c r="D972" s="8"/>
      <c r="E972" s="8"/>
      <c r="F972" s="8"/>
    </row>
    <row r="973">
      <c r="A973" s="8"/>
      <c r="B973" s="8"/>
      <c r="C973" s="8"/>
      <c r="D973" s="8"/>
      <c r="E973" s="8"/>
      <c r="F973" s="8"/>
    </row>
    <row r="974">
      <c r="A974" s="8"/>
      <c r="B974" s="8"/>
      <c r="C974" s="8"/>
      <c r="D974" s="8"/>
      <c r="E974" s="8"/>
      <c r="F974" s="8"/>
    </row>
    <row r="975">
      <c r="A975" s="8"/>
      <c r="B975" s="8"/>
      <c r="C975" s="8"/>
      <c r="D975" s="8"/>
      <c r="E975" s="8"/>
      <c r="F975" s="8"/>
    </row>
    <row r="976">
      <c r="A976" s="8"/>
      <c r="B976" s="8"/>
      <c r="C976" s="8"/>
      <c r="D976" s="8"/>
      <c r="E976" s="8"/>
      <c r="F976" s="8"/>
    </row>
    <row r="977">
      <c r="A977" s="8"/>
      <c r="B977" s="8"/>
      <c r="C977" s="8"/>
      <c r="D977" s="8"/>
      <c r="E977" s="8"/>
      <c r="F977" s="8"/>
    </row>
    <row r="978">
      <c r="A978" s="8"/>
      <c r="B978" s="8"/>
      <c r="C978" s="8"/>
      <c r="D978" s="8"/>
      <c r="E978" s="8"/>
      <c r="F978" s="8"/>
    </row>
    <row r="979">
      <c r="A979" s="8"/>
      <c r="B979" s="8"/>
      <c r="C979" s="8"/>
      <c r="D979" s="8"/>
      <c r="E979" s="8"/>
      <c r="F979" s="8"/>
    </row>
    <row r="980">
      <c r="A980" s="8"/>
      <c r="B980" s="8"/>
      <c r="C980" s="8"/>
      <c r="D980" s="8"/>
      <c r="E980" s="8"/>
      <c r="F980" s="8"/>
    </row>
    <row r="981">
      <c r="A981" s="8"/>
      <c r="B981" s="8"/>
      <c r="C981" s="8"/>
      <c r="D981" s="8"/>
      <c r="E981" s="8"/>
      <c r="F981" s="8"/>
    </row>
    <row r="982">
      <c r="A982" s="8"/>
      <c r="B982" s="8"/>
      <c r="C982" s="8"/>
      <c r="D982" s="8"/>
      <c r="E982" s="8"/>
      <c r="F982" s="8"/>
    </row>
    <row r="983">
      <c r="A983" s="8"/>
      <c r="B983" s="8"/>
      <c r="C983" s="8"/>
      <c r="D983" s="8"/>
      <c r="E983" s="8"/>
      <c r="F983" s="8"/>
    </row>
    <row r="984">
      <c r="A984" s="8"/>
      <c r="B984" s="8"/>
      <c r="C984" s="8"/>
      <c r="D984" s="8"/>
      <c r="E984" s="8"/>
      <c r="F984" s="8"/>
    </row>
    <row r="985">
      <c r="A985" s="8"/>
      <c r="B985" s="8"/>
      <c r="C985" s="8"/>
      <c r="D985" s="8"/>
      <c r="E985" s="8"/>
      <c r="F985" s="8"/>
    </row>
    <row r="986">
      <c r="A986" s="8"/>
      <c r="B986" s="8"/>
      <c r="C986" s="8"/>
      <c r="D986" s="8"/>
      <c r="E986" s="8"/>
      <c r="F986" s="8"/>
    </row>
    <row r="987">
      <c r="A987" s="8"/>
      <c r="B987" s="8"/>
      <c r="C987" s="8"/>
      <c r="D987" s="8"/>
      <c r="E987" s="8"/>
      <c r="F987" s="8"/>
    </row>
    <row r="988">
      <c r="A988" s="8"/>
      <c r="B988" s="8"/>
      <c r="C988" s="8"/>
      <c r="D988" s="8"/>
      <c r="E988" s="8"/>
      <c r="F988" s="8"/>
    </row>
    <row r="989">
      <c r="A989" s="8"/>
      <c r="B989" s="8"/>
      <c r="C989" s="8"/>
      <c r="D989" s="8"/>
      <c r="E989" s="8"/>
      <c r="F989" s="8"/>
    </row>
    <row r="990">
      <c r="A990" s="8"/>
      <c r="B990" s="8"/>
      <c r="C990" s="8"/>
      <c r="D990" s="8"/>
      <c r="E990" s="8"/>
      <c r="F990" s="8"/>
    </row>
    <row r="991">
      <c r="A991" s="8"/>
      <c r="B991" s="8"/>
      <c r="C991" s="8"/>
      <c r="D991" s="8"/>
      <c r="E991" s="8"/>
      <c r="F991" s="8"/>
    </row>
    <row r="992">
      <c r="A992" s="8"/>
      <c r="B992" s="8"/>
      <c r="C992" s="8"/>
      <c r="D992" s="8"/>
      <c r="E992" s="8"/>
      <c r="F992" s="8"/>
    </row>
    <row r="993">
      <c r="A993" s="8"/>
      <c r="B993" s="8"/>
      <c r="C993" s="8"/>
      <c r="D993" s="8"/>
      <c r="E993" s="8"/>
      <c r="F993" s="8"/>
    </row>
    <row r="994">
      <c r="A994" s="8"/>
      <c r="B994" s="8"/>
      <c r="C994" s="8"/>
      <c r="D994" s="8"/>
      <c r="E994" s="8"/>
      <c r="F994" s="8"/>
    </row>
  </sheetData>
  <mergeCells count="1">
    <mergeCell ref="B4:C4"/>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4.0" topLeftCell="A5" activePane="bottomLeft" state="frozen"/>
      <selection activeCell="B6" sqref="B6" pane="bottomLeft"/>
    </sheetView>
  </sheetViews>
  <sheetFormatPr customHeight="1" defaultColWidth="12.63" defaultRowHeight="15.75"/>
  <cols>
    <col customWidth="1" min="1" max="1" width="4.38"/>
    <col customWidth="1" min="3" max="3" width="3.5"/>
    <col customWidth="1" min="5" max="5" width="5.13"/>
    <col customWidth="1" min="7" max="7" width="2.13"/>
    <col customWidth="1" min="9" max="9" width="3.88"/>
    <col customWidth="1" min="11" max="11" width="3.0"/>
    <col customWidth="1" min="13" max="13" width="4.25"/>
    <col customWidth="1" min="14" max="14" width="13.88"/>
  </cols>
  <sheetData>
    <row r="1">
      <c r="A1" s="184" t="s">
        <v>969</v>
      </c>
      <c r="B1" s="95"/>
      <c r="C1" s="185"/>
      <c r="D1" s="1"/>
    </row>
    <row r="2" ht="49.5" customHeight="1">
      <c r="A2" s="186" t="s">
        <v>970</v>
      </c>
    </row>
    <row r="3">
      <c r="A3" s="187"/>
    </row>
    <row r="4">
      <c r="A4" s="187"/>
      <c r="B4" s="95" t="s">
        <v>971</v>
      </c>
      <c r="C4" s="185"/>
      <c r="D4" s="1"/>
      <c r="F4" s="95" t="s">
        <v>972</v>
      </c>
      <c r="J4" s="95" t="s">
        <v>973</v>
      </c>
      <c r="N4" s="95" t="s">
        <v>974</v>
      </c>
    </row>
    <row r="5" ht="14.25" customHeight="1">
      <c r="A5" s="188"/>
      <c r="B5" s="189" t="s">
        <v>393</v>
      </c>
      <c r="C5" s="190" t="s">
        <v>975</v>
      </c>
      <c r="D5" s="191" t="str">
        <f>'schema-frequency'!$B$5</f>
        <v>quarterly</v>
      </c>
      <c r="E5" s="192"/>
      <c r="F5" s="193" t="str">
        <f>'schema-yn'!B2</f>
        <v>Yes</v>
      </c>
      <c r="G5" s="190" t="s">
        <v>975</v>
      </c>
      <c r="H5" s="191" t="str">
        <f>'schema-yn'!A2</f>
        <v>yes</v>
      </c>
      <c r="I5" s="192"/>
      <c r="J5" s="193" t="str">
        <f>'schema-resilience-options'!B2</f>
        <v>Alternative supplier</v>
      </c>
      <c r="K5" s="190" t="s">
        <v>975</v>
      </c>
      <c r="L5" s="191" t="str">
        <f>'schema-resilience-options'!A2</f>
        <v>alternative-supplier</v>
      </c>
      <c r="M5" s="192"/>
      <c r="N5" s="194" t="s">
        <v>219</v>
      </c>
      <c r="O5" s="190" t="s">
        <v>975</v>
      </c>
      <c r="P5" s="191" t="str">
        <f>'schema-resilience-options'!E2</f>
        <v/>
      </c>
      <c r="Q5" s="192"/>
      <c r="R5" s="192"/>
      <c r="S5" s="192"/>
      <c r="T5" s="192"/>
      <c r="U5" s="192"/>
      <c r="V5" s="192"/>
      <c r="W5" s="192"/>
      <c r="X5" s="192"/>
      <c r="Y5" s="192"/>
      <c r="Z5" s="192"/>
      <c r="AA5" s="192"/>
      <c r="AB5" s="192"/>
      <c r="AC5" s="192"/>
    </row>
    <row r="6">
      <c r="A6" s="195"/>
      <c r="B6" s="196" t="s">
        <v>390</v>
      </c>
      <c r="C6" s="197" t="s">
        <v>975</v>
      </c>
      <c r="D6" s="198" t="str">
        <f>'schema-frequency'!$B$7</f>
        <v>biannual</v>
      </c>
      <c r="E6" s="192"/>
      <c r="F6" s="199" t="str">
        <f>'schema-yn'!B3</f>
        <v>No</v>
      </c>
      <c r="G6" s="197" t="s">
        <v>975</v>
      </c>
      <c r="H6" s="198" t="str">
        <f>'schema-yn'!A3</f>
        <v>no</v>
      </c>
      <c r="I6" s="192"/>
      <c r="J6" s="199" t="str">
        <f>'schema-resilience-options'!B3</f>
        <v>BC Strategy</v>
      </c>
      <c r="K6" s="197" t="s">
        <v>975</v>
      </c>
      <c r="L6" s="198" t="str">
        <f>'schema-resilience-options'!A3</f>
        <v>bc-strategy</v>
      </c>
      <c r="M6" s="192"/>
      <c r="N6" s="200" t="s">
        <v>34</v>
      </c>
      <c r="O6" s="197" t="s">
        <v>975</v>
      </c>
      <c r="P6" s="198" t="str">
        <f>'schema-resilience-options'!E3</f>
        <v/>
      </c>
      <c r="Q6" s="192"/>
      <c r="R6" s="192"/>
      <c r="S6" s="192"/>
      <c r="T6" s="192"/>
      <c r="U6" s="192"/>
      <c r="V6" s="192"/>
      <c r="W6" s="192"/>
      <c r="X6" s="192"/>
      <c r="Y6" s="192"/>
      <c r="Z6" s="192"/>
      <c r="AA6" s="192"/>
      <c r="AB6" s="192"/>
      <c r="AC6" s="192"/>
    </row>
    <row r="7">
      <c r="A7" s="188"/>
      <c r="B7" s="196" t="s">
        <v>403</v>
      </c>
      <c r="C7" s="197" t="s">
        <v>975</v>
      </c>
      <c r="D7" s="198" t="str">
        <f>'schema-frequency'!$B$7</f>
        <v>biannual</v>
      </c>
      <c r="E7" s="192"/>
      <c r="F7" s="199" t="str">
        <f>'schema-yn'!B4</f>
        <v>Partially</v>
      </c>
      <c r="G7" s="197" t="s">
        <v>975</v>
      </c>
      <c r="H7" s="198" t="str">
        <f>'schema-yn'!A4</f>
        <v>partially</v>
      </c>
      <c r="I7" s="192"/>
      <c r="J7" s="199" t="str">
        <f>'schema-resilience-options'!B4</f>
        <v>Generator</v>
      </c>
      <c r="K7" s="197" t="s">
        <v>975</v>
      </c>
      <c r="L7" s="198" t="str">
        <f>'schema-resilience-options'!A4</f>
        <v>generator</v>
      </c>
      <c r="M7" s="192"/>
      <c r="N7" s="201"/>
      <c r="O7" s="197" t="s">
        <v>975</v>
      </c>
      <c r="P7" s="198" t="str">
        <f>'schema-resilience-options'!E4</f>
        <v/>
      </c>
      <c r="Q7" s="192"/>
      <c r="R7" s="192"/>
      <c r="S7" s="192"/>
      <c r="T7" s="192"/>
      <c r="U7" s="192"/>
      <c r="V7" s="192"/>
      <c r="W7" s="192"/>
      <c r="X7" s="192"/>
      <c r="Y7" s="192"/>
      <c r="Z7" s="192"/>
      <c r="AA7" s="192"/>
      <c r="AB7" s="192"/>
      <c r="AC7" s="192"/>
    </row>
    <row r="8">
      <c r="A8" s="188"/>
      <c r="B8" s="196" t="s">
        <v>165</v>
      </c>
      <c r="C8" s="197" t="s">
        <v>975</v>
      </c>
      <c r="D8" s="198" t="str">
        <f>'schema-frequency'!$B$9</f>
        <v>ad-hoc</v>
      </c>
      <c r="E8" s="192"/>
      <c r="F8" s="199" t="str">
        <f>'schema-yn'!B5</f>
        <v>Not provided</v>
      </c>
      <c r="G8" s="197" t="s">
        <v>975</v>
      </c>
      <c r="H8" s="198" t="str">
        <f>'schema-yn'!A5</f>
        <v>not-provided</v>
      </c>
      <c r="I8" s="192"/>
      <c r="J8" s="199" t="str">
        <f>'schema-resilience-options'!B5</f>
        <v>Manual processes</v>
      </c>
      <c r="K8" s="197" t="s">
        <v>975</v>
      </c>
      <c r="L8" s="198" t="str">
        <f>'schema-resilience-options'!A5</f>
        <v>manual-processes</v>
      </c>
      <c r="M8" s="192"/>
      <c r="N8" s="201"/>
      <c r="O8" s="197" t="s">
        <v>975</v>
      </c>
      <c r="P8" s="198" t="str">
        <f>'schema-resilience-options'!E5</f>
        <v/>
      </c>
      <c r="Q8" s="192"/>
      <c r="R8" s="192"/>
      <c r="S8" s="192"/>
      <c r="T8" s="192"/>
      <c r="U8" s="192"/>
      <c r="V8" s="192"/>
      <c r="W8" s="192"/>
      <c r="X8" s="192"/>
      <c r="Y8" s="192"/>
      <c r="Z8" s="192"/>
      <c r="AA8" s="192"/>
      <c r="AB8" s="192"/>
      <c r="AC8" s="192"/>
    </row>
    <row r="9">
      <c r="A9" s="202"/>
      <c r="B9" s="196" t="s">
        <v>143</v>
      </c>
      <c r="C9" s="197" t="s">
        <v>975</v>
      </c>
      <c r="D9" s="198" t="str">
        <f>'schema-frequency'!$B$8</f>
        <v>annual</v>
      </c>
      <c r="E9" s="192"/>
      <c r="F9" s="199"/>
      <c r="G9" s="197"/>
      <c r="H9" s="198"/>
      <c r="I9" s="192"/>
      <c r="J9" s="199" t="str">
        <f>'schema-resilience-options'!B6</f>
        <v>Stockpiling</v>
      </c>
      <c r="K9" s="197" t="s">
        <v>975</v>
      </c>
      <c r="L9" s="198" t="str">
        <f>'schema-resilience-options'!A6</f>
        <v>stockpiling</v>
      </c>
      <c r="M9" s="192"/>
      <c r="N9" s="200"/>
      <c r="O9" s="197" t="s">
        <v>975</v>
      </c>
      <c r="P9" s="198" t="str">
        <f>'schema-resilience-options'!E6</f>
        <v/>
      </c>
      <c r="Q9" s="192"/>
      <c r="R9" s="192"/>
      <c r="S9" s="192"/>
      <c r="T9" s="192"/>
      <c r="U9" s="192"/>
      <c r="V9" s="192"/>
      <c r="W9" s="192"/>
      <c r="X9" s="192"/>
      <c r="Y9" s="192"/>
      <c r="Z9" s="192"/>
      <c r="AA9" s="192"/>
      <c r="AB9" s="192"/>
      <c r="AC9" s="192"/>
    </row>
    <row r="10">
      <c r="A10" s="188"/>
      <c r="B10" s="196" t="s">
        <v>92</v>
      </c>
      <c r="C10" s="197" t="s">
        <v>975</v>
      </c>
      <c r="D10" s="198" t="str">
        <f>'schema-frequency'!$B$9</f>
        <v>ad-hoc</v>
      </c>
      <c r="E10" s="192"/>
      <c r="F10" s="203"/>
      <c r="G10" s="204"/>
      <c r="H10" s="205"/>
      <c r="I10" s="192"/>
      <c r="J10" s="203" t="str">
        <f>'schema-resilience-options'!B7</f>
        <v>Not provided</v>
      </c>
      <c r="K10" s="204" t="s">
        <v>975</v>
      </c>
      <c r="L10" s="205" t="str">
        <f>'schema-resilience-options'!A7</f>
        <v>not-provided</v>
      </c>
      <c r="M10" s="192"/>
      <c r="N10" s="206"/>
      <c r="O10" s="204" t="s">
        <v>975</v>
      </c>
      <c r="P10" s="205" t="str">
        <f>'schema-resilience-options'!E7</f>
        <v/>
      </c>
      <c r="Q10" s="192"/>
      <c r="R10" s="192"/>
      <c r="S10" s="192"/>
      <c r="T10" s="192"/>
      <c r="U10" s="192"/>
      <c r="V10" s="192"/>
      <c r="W10" s="192"/>
      <c r="X10" s="192"/>
      <c r="Y10" s="192"/>
      <c r="Z10" s="192"/>
      <c r="AA10" s="192"/>
      <c r="AB10" s="192"/>
      <c r="AC10" s="192"/>
    </row>
    <row r="11">
      <c r="A11" s="188"/>
      <c r="B11" s="207" t="s">
        <v>420</v>
      </c>
      <c r="C11" s="197" t="s">
        <v>975</v>
      </c>
      <c r="D11" s="198" t="str">
        <f>'schema-frequency'!$B$9</f>
        <v>ad-hoc</v>
      </c>
      <c r="E11" s="192"/>
      <c r="F11" s="192"/>
      <c r="G11" s="192"/>
      <c r="H11" s="192"/>
      <c r="I11" s="192"/>
      <c r="J11" s="192"/>
      <c r="K11" s="192"/>
      <c r="L11" s="192"/>
      <c r="M11" s="192"/>
      <c r="N11" s="192"/>
      <c r="O11" s="192"/>
      <c r="P11" s="192"/>
      <c r="Q11" s="192"/>
      <c r="R11" s="192"/>
      <c r="S11" s="192"/>
      <c r="T11" s="192"/>
      <c r="U11" s="192"/>
      <c r="V11" s="192"/>
      <c r="W11" s="192"/>
      <c r="X11" s="192"/>
      <c r="Y11" s="192"/>
      <c r="Z11" s="192"/>
      <c r="AA11" s="192"/>
      <c r="AB11" s="192"/>
      <c r="AC11" s="192"/>
    </row>
    <row r="12">
      <c r="A12" s="202"/>
      <c r="B12" s="196" t="s">
        <v>255</v>
      </c>
      <c r="C12" s="197" t="s">
        <v>975</v>
      </c>
      <c r="D12" s="198" t="str">
        <f>'schema-frequency'!$B$12</f>
        <v>ceased</v>
      </c>
      <c r="E12" s="192"/>
      <c r="F12" s="192"/>
      <c r="G12" s="192"/>
      <c r="H12" s="192"/>
      <c r="I12" s="192"/>
      <c r="J12" s="192"/>
      <c r="K12" s="192"/>
      <c r="L12" s="192"/>
      <c r="M12" s="192"/>
      <c r="N12" s="192"/>
      <c r="O12" s="192"/>
      <c r="P12" s="192"/>
      <c r="Q12" s="192"/>
      <c r="R12" s="192"/>
      <c r="S12" s="192"/>
      <c r="T12" s="192"/>
      <c r="U12" s="192"/>
      <c r="V12" s="192"/>
      <c r="W12" s="192"/>
      <c r="X12" s="192"/>
      <c r="Y12" s="192"/>
      <c r="Z12" s="192"/>
      <c r="AA12" s="192"/>
      <c r="AB12" s="192"/>
      <c r="AC12" s="192"/>
    </row>
    <row r="13">
      <c r="A13" s="188"/>
      <c r="B13" s="208" t="s">
        <v>84</v>
      </c>
      <c r="C13" s="197" t="s">
        <v>975</v>
      </c>
      <c r="D13" s="198" t="str">
        <f>'schema-frequency'!$B$2</f>
        <v>daily</v>
      </c>
      <c r="E13" s="192"/>
      <c r="F13" s="192"/>
      <c r="G13" s="192"/>
      <c r="H13" s="192"/>
      <c r="I13" s="192"/>
      <c r="J13" s="192"/>
      <c r="K13" s="192"/>
      <c r="L13" s="192"/>
      <c r="M13" s="192"/>
      <c r="N13" s="192"/>
      <c r="O13" s="192"/>
      <c r="P13" s="192"/>
      <c r="Q13" s="192"/>
      <c r="R13" s="192"/>
      <c r="S13" s="192"/>
      <c r="T13" s="192"/>
      <c r="U13" s="192"/>
      <c r="V13" s="192"/>
      <c r="W13" s="192"/>
      <c r="X13" s="192"/>
      <c r="Y13" s="192"/>
      <c r="Z13" s="192"/>
      <c r="AA13" s="192"/>
      <c r="AB13" s="192"/>
      <c r="AC13" s="192"/>
    </row>
    <row r="14">
      <c r="A14" s="202"/>
      <c r="B14" s="196" t="s">
        <v>158</v>
      </c>
      <c r="C14" s="197" t="s">
        <v>975</v>
      </c>
      <c r="D14" s="198" t="str">
        <f>'schema-frequency'!$B$4</f>
        <v>monthly</v>
      </c>
      <c r="E14" s="192"/>
      <c r="F14" s="192"/>
      <c r="G14" s="192"/>
      <c r="H14" s="192"/>
      <c r="I14" s="192"/>
      <c r="J14" s="192"/>
      <c r="K14" s="192"/>
      <c r="L14" s="192"/>
      <c r="M14" s="192"/>
      <c r="N14" s="192"/>
      <c r="O14" s="192"/>
      <c r="P14" s="192"/>
      <c r="Q14" s="192"/>
      <c r="R14" s="192"/>
      <c r="S14" s="192"/>
      <c r="T14" s="192"/>
      <c r="U14" s="192"/>
      <c r="V14" s="192"/>
      <c r="W14" s="192"/>
      <c r="X14" s="192"/>
      <c r="Y14" s="192"/>
      <c r="Z14" s="192"/>
      <c r="AA14" s="192"/>
      <c r="AB14" s="192"/>
      <c r="AC14" s="192"/>
    </row>
    <row r="15">
      <c r="A15" s="188"/>
      <c r="B15" s="196" t="s">
        <v>386</v>
      </c>
      <c r="C15" s="197" t="s">
        <v>975</v>
      </c>
      <c r="D15" s="198" t="str">
        <f>'schema-frequency'!$B$4</f>
        <v>monthly</v>
      </c>
      <c r="E15" s="192"/>
      <c r="F15" s="192"/>
      <c r="G15" s="192"/>
      <c r="H15" s="192"/>
      <c r="I15" s="192"/>
      <c r="J15" s="192"/>
      <c r="K15" s="192"/>
      <c r="L15" s="192"/>
      <c r="M15" s="192"/>
      <c r="N15" s="192"/>
      <c r="O15" s="192"/>
      <c r="P15" s="192"/>
      <c r="Q15" s="192"/>
      <c r="R15" s="192"/>
      <c r="S15" s="192"/>
      <c r="T15" s="192"/>
      <c r="U15" s="192"/>
      <c r="V15" s="192"/>
      <c r="W15" s="192"/>
      <c r="X15" s="192"/>
      <c r="Y15" s="192"/>
      <c r="Z15" s="192"/>
      <c r="AA15" s="192"/>
      <c r="AB15" s="192"/>
      <c r="AC15" s="192"/>
    </row>
    <row r="16">
      <c r="A16" s="209"/>
      <c r="B16" s="208" t="s">
        <v>117</v>
      </c>
      <c r="C16" s="197" t="s">
        <v>975</v>
      </c>
      <c r="D16" s="198" t="str">
        <f>'schema-frequency'!$B$10</f>
        <v>unknown</v>
      </c>
      <c r="E16" s="192"/>
      <c r="F16" s="192"/>
      <c r="G16" s="192"/>
      <c r="H16" s="192"/>
      <c r="I16" s="192"/>
      <c r="J16" s="192"/>
      <c r="K16" s="192"/>
      <c r="L16" s="192"/>
      <c r="M16" s="192"/>
      <c r="N16" s="192"/>
      <c r="O16" s="192"/>
      <c r="P16" s="192"/>
      <c r="Q16" s="192"/>
      <c r="R16" s="192"/>
      <c r="S16" s="192"/>
      <c r="T16" s="192"/>
      <c r="U16" s="192"/>
      <c r="V16" s="192"/>
      <c r="W16" s="192"/>
      <c r="X16" s="192"/>
      <c r="Y16" s="192"/>
      <c r="Z16" s="192"/>
      <c r="AA16" s="192"/>
      <c r="AB16" s="192"/>
      <c r="AC16" s="192"/>
    </row>
    <row r="17">
      <c r="A17" s="188"/>
      <c r="B17" s="208" t="s">
        <v>29</v>
      </c>
      <c r="C17" s="197" t="s">
        <v>975</v>
      </c>
      <c r="D17" s="198" t="str">
        <f>'schema-frequency'!$B$11</f>
        <v>not-provided</v>
      </c>
      <c r="E17" s="192"/>
      <c r="F17" s="192"/>
      <c r="G17" s="192"/>
      <c r="H17" s="192"/>
      <c r="I17" s="192"/>
      <c r="J17" s="192"/>
      <c r="K17" s="192"/>
      <c r="L17" s="192"/>
      <c r="M17" s="192"/>
      <c r="N17" s="192"/>
      <c r="O17" s="192"/>
      <c r="P17" s="192"/>
      <c r="Q17" s="192"/>
      <c r="R17" s="192"/>
      <c r="S17" s="192"/>
      <c r="T17" s="192"/>
      <c r="U17" s="192"/>
      <c r="V17" s="192"/>
      <c r="W17" s="192"/>
      <c r="X17" s="192"/>
      <c r="Y17" s="192"/>
      <c r="Z17" s="192"/>
      <c r="AA17" s="192"/>
      <c r="AB17" s="192"/>
      <c r="AC17" s="192"/>
    </row>
    <row r="18">
      <c r="A18" s="192"/>
      <c r="B18" s="196" t="s">
        <v>162</v>
      </c>
      <c r="C18" s="197" t="s">
        <v>975</v>
      </c>
      <c r="D18" s="198" t="str">
        <f>'schema-frequency'!$B$5</f>
        <v>quarterly</v>
      </c>
      <c r="E18" s="192"/>
      <c r="F18" s="192"/>
      <c r="G18" s="192"/>
      <c r="H18" s="192"/>
      <c r="I18" s="192"/>
      <c r="J18" s="192"/>
      <c r="K18" s="192"/>
      <c r="L18" s="192"/>
      <c r="M18" s="192"/>
      <c r="N18" s="192"/>
      <c r="O18" s="192"/>
      <c r="P18" s="192"/>
      <c r="Q18" s="192"/>
      <c r="R18" s="192"/>
      <c r="S18" s="192"/>
      <c r="T18" s="192"/>
      <c r="U18" s="192"/>
      <c r="V18" s="192"/>
      <c r="W18" s="192"/>
      <c r="X18" s="192"/>
      <c r="Y18" s="192"/>
      <c r="Z18" s="192"/>
      <c r="AA18" s="192"/>
      <c r="AB18" s="192"/>
      <c r="AC18" s="192"/>
    </row>
    <row r="19">
      <c r="A19" s="192"/>
      <c r="B19" s="208" t="s">
        <v>69</v>
      </c>
      <c r="C19" s="197" t="s">
        <v>975</v>
      </c>
      <c r="D19" s="198" t="str">
        <f>'schema-frequency'!$B$11</f>
        <v>not-provided</v>
      </c>
      <c r="E19" s="192"/>
      <c r="F19" s="192"/>
      <c r="G19" s="192"/>
      <c r="H19" s="192"/>
      <c r="I19" s="192"/>
      <c r="J19" s="192"/>
      <c r="K19" s="192"/>
      <c r="L19" s="192"/>
      <c r="M19" s="192"/>
      <c r="N19" s="192"/>
      <c r="O19" s="192"/>
      <c r="P19" s="192"/>
      <c r="Q19" s="192"/>
      <c r="R19" s="192"/>
      <c r="S19" s="192"/>
      <c r="T19" s="192"/>
      <c r="U19" s="192"/>
      <c r="V19" s="192"/>
      <c r="W19" s="192"/>
      <c r="X19" s="192"/>
      <c r="Y19" s="192"/>
      <c r="Z19" s="192"/>
      <c r="AA19" s="192"/>
      <c r="AB19" s="192"/>
      <c r="AC19" s="192"/>
    </row>
    <row r="20">
      <c r="A20" s="192"/>
      <c r="B20" s="196" t="s">
        <v>152</v>
      </c>
      <c r="C20" s="197" t="s">
        <v>975</v>
      </c>
      <c r="D20" s="198" t="str">
        <f>'schema-frequency'!$B$6</f>
        <v>triennial</v>
      </c>
      <c r="E20" s="192"/>
      <c r="F20" s="192"/>
      <c r="G20" s="192"/>
      <c r="H20" s="192"/>
      <c r="I20" s="192"/>
      <c r="J20" s="192"/>
      <c r="K20" s="192"/>
      <c r="L20" s="192"/>
      <c r="M20" s="192"/>
      <c r="N20" s="192"/>
      <c r="O20" s="192"/>
      <c r="P20" s="192"/>
      <c r="Q20" s="192"/>
      <c r="R20" s="192"/>
      <c r="S20" s="192"/>
      <c r="T20" s="192"/>
      <c r="U20" s="192"/>
      <c r="V20" s="192"/>
      <c r="W20" s="192"/>
      <c r="X20" s="192"/>
      <c r="Y20" s="192"/>
      <c r="Z20" s="192"/>
      <c r="AA20" s="192"/>
      <c r="AB20" s="192"/>
      <c r="AC20" s="192"/>
    </row>
    <row r="21">
      <c r="A21" s="192"/>
      <c r="B21" s="210" t="s">
        <v>184</v>
      </c>
      <c r="C21" s="197" t="s">
        <v>975</v>
      </c>
      <c r="D21" s="198" t="str">
        <f>'schema-frequency'!$B$3</f>
        <v>weekly</v>
      </c>
      <c r="E21" s="192"/>
      <c r="F21" s="192"/>
      <c r="G21" s="192"/>
      <c r="H21" s="192"/>
      <c r="I21" s="192"/>
      <c r="J21" s="192"/>
      <c r="K21" s="192"/>
      <c r="L21" s="192"/>
      <c r="M21" s="192"/>
      <c r="N21" s="192"/>
      <c r="O21" s="192"/>
      <c r="P21" s="192"/>
      <c r="Q21" s="192"/>
      <c r="R21" s="192"/>
      <c r="S21" s="192"/>
      <c r="T21" s="192"/>
      <c r="U21" s="192"/>
      <c r="V21" s="192"/>
      <c r="W21" s="192"/>
      <c r="X21" s="192"/>
      <c r="Y21" s="192"/>
      <c r="Z21" s="192"/>
      <c r="AA21" s="192"/>
      <c r="AB21" s="192"/>
      <c r="AC21" s="192"/>
    </row>
    <row r="22">
      <c r="A22" s="192"/>
      <c r="B22" s="211" t="s">
        <v>396</v>
      </c>
      <c r="C22" s="204" t="s">
        <v>975</v>
      </c>
      <c r="D22" s="205" t="str">
        <f>'schema-frequency'!$B$3</f>
        <v>weekly</v>
      </c>
      <c r="E22" s="192"/>
      <c r="F22" s="192"/>
      <c r="G22" s="192"/>
      <c r="H22" s="192"/>
      <c r="I22" s="192"/>
      <c r="J22" s="192"/>
      <c r="K22" s="192"/>
      <c r="L22" s="192"/>
      <c r="M22" s="192"/>
      <c r="N22" s="192"/>
      <c r="O22" s="192"/>
      <c r="P22" s="192"/>
      <c r="Q22" s="192"/>
      <c r="R22" s="192"/>
      <c r="S22" s="192"/>
      <c r="T22" s="192"/>
      <c r="U22" s="192"/>
      <c r="V22" s="192"/>
      <c r="W22" s="192"/>
      <c r="X22" s="192"/>
      <c r="Y22" s="192"/>
      <c r="Z22" s="192"/>
      <c r="AA22" s="192"/>
      <c r="AB22" s="192"/>
      <c r="AC22" s="192"/>
    </row>
    <row r="23">
      <c r="A23" s="192"/>
      <c r="B23" s="192"/>
      <c r="C23" s="192"/>
      <c r="D23" s="192"/>
      <c r="E23" s="192"/>
      <c r="F23" s="192"/>
      <c r="G23" s="192"/>
      <c r="H23" s="192"/>
      <c r="I23" s="192"/>
      <c r="J23" s="192"/>
      <c r="K23" s="192"/>
      <c r="L23" s="192"/>
      <c r="M23" s="192"/>
      <c r="N23" s="192"/>
      <c r="O23" s="192"/>
      <c r="P23" s="192"/>
      <c r="Q23" s="192"/>
      <c r="R23" s="192"/>
      <c r="S23" s="192"/>
      <c r="T23" s="192"/>
      <c r="U23" s="192"/>
      <c r="V23" s="192"/>
      <c r="W23" s="192"/>
      <c r="X23" s="192"/>
      <c r="Y23" s="192"/>
      <c r="Z23" s="192"/>
      <c r="AA23" s="192"/>
      <c r="AB23" s="192"/>
      <c r="AC23" s="192"/>
    </row>
  </sheetData>
  <mergeCells count="1">
    <mergeCell ref="A2:F2"/>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2.63" defaultRowHeight="15.75"/>
  <cols>
    <col customWidth="1" min="1" max="1" width="22.25"/>
    <col customWidth="1" min="2" max="2" width="19.5"/>
    <col customWidth="1" min="3" max="3" width="9.0"/>
    <col customWidth="1" min="4" max="4" width="5.88"/>
    <col customWidth="1" min="5" max="5" width="17.75"/>
    <col customWidth="1" min="6" max="6" width="17.25"/>
    <col customWidth="1" min="7" max="7" width="21.63"/>
    <col customWidth="1" min="8" max="8" width="7.25"/>
    <col customWidth="1" min="9" max="9" width="10.13"/>
    <col customWidth="1" min="10" max="10" width="18.5"/>
    <col customWidth="1" min="11" max="11" width="8.0"/>
    <col customWidth="1" min="12" max="12" width="3.0"/>
    <col customWidth="1" min="13" max="13" width="16.88"/>
    <col customWidth="1" min="14" max="14" width="8.13"/>
  </cols>
  <sheetData>
    <row r="1">
      <c r="A1" s="212" t="s">
        <v>976</v>
      </c>
      <c r="B1" s="95"/>
      <c r="C1" s="95"/>
      <c r="D1" s="95"/>
      <c r="E1" s="95"/>
      <c r="F1" s="95"/>
      <c r="G1" s="95"/>
    </row>
    <row r="2" ht="61.5" customHeight="1">
      <c r="A2" s="5" t="s">
        <v>977</v>
      </c>
      <c r="F2" s="95"/>
      <c r="G2" s="95"/>
    </row>
    <row r="3">
      <c r="A3" s="60" t="str">
        <f>"Non-responsible entities ("&amp;COUNTA(A4:A237)&amp;")"</f>
        <v>Non-responsible entities (218)</v>
      </c>
      <c r="B3" s="213" t="str">
        <f>"All link entities ("&amp;COUNTA(B4:B237)&amp;")"</f>
        <v>All link entities (234)</v>
      </c>
      <c r="C3" s="213" t="str">
        <f>"Is RE? ("&amp;COUNTIF(C4:C237 ,"YES")&amp;")"</f>
        <v>Is RE? (16)</v>
      </c>
      <c r="D3" s="213"/>
      <c r="E3" s="213" t="str">
        <f>"All Upstream ("&amp;COUNTA(E4:E182)&amp;")"</f>
        <v>All Upstream (179)</v>
      </c>
      <c r="F3" s="213" t="str">
        <f>"Downstream ("&amp;COUNTA(F4:F71)&amp;")"</f>
        <v>Downstream (68)</v>
      </c>
      <c r="G3" s="213" t="str">
        <f>"Upstream and downstream ("&amp;COUNTA(G4:G16)&amp;")"</f>
        <v>Upstream and downstream (13)</v>
      </c>
      <c r="H3" s="213" t="str">
        <f>"Is RE? ("&amp;COUNTIF(H4:H237 ,"YES")&amp;")"</f>
        <v>Is RE? (7)</v>
      </c>
      <c r="I3" s="213"/>
      <c r="J3" s="213" t="str">
        <f>"Upstream only ("&amp;COUNTA(J4:J169)&amp;")"</f>
        <v>Upstream only (166)</v>
      </c>
      <c r="K3" s="213" t="str">
        <f>"Is RE? ("&amp;COUNTIF(K4:K237 ,"YES")&amp;")"</f>
        <v>Is RE? (5)</v>
      </c>
      <c r="L3" s="213"/>
      <c r="M3" s="213" t="str">
        <f>"Downstream only ("&amp;COUNTA(M4:M169)&amp;")"</f>
        <v>Downstream only (55)</v>
      </c>
      <c r="N3" s="213" t="str">
        <f>"Is RE? ("&amp;COUNTIF(N4:N237 ,"YES")&amp;")"</f>
        <v>Is RE? (4)</v>
      </c>
    </row>
    <row r="4">
      <c r="A4" s="214" t="s">
        <v>325</v>
      </c>
      <c r="B4" s="215" t="s">
        <v>325</v>
      </c>
      <c r="C4" s="215" t="str">
        <f>if(isError(vlookup(B4,'node-RE'!$C:$C, 1, FALSE)), "NO", "YES")</f>
        <v>NO</v>
      </c>
      <c r="D4" s="216"/>
      <c r="E4" s="216" t="s">
        <v>325</v>
      </c>
      <c r="F4" s="217" t="s">
        <v>454</v>
      </c>
      <c r="G4" s="215" t="s">
        <v>40</v>
      </c>
      <c r="H4" s="215" t="str">
        <f>if(isError(vlookup(G4,'node-RE'!$C:$C, 1, FALSE)), "NO", "YES")</f>
        <v>NO</v>
      </c>
      <c r="I4" s="216"/>
      <c r="J4" s="216" t="s">
        <v>325</v>
      </c>
      <c r="K4" s="215" t="str">
        <f>if(isError(vlookup(J4,'node-RE'!$C:$C, 1, FALSE)), "NO", "YES")</f>
        <v>NO</v>
      </c>
      <c r="L4" s="217"/>
      <c r="M4" s="217" t="s">
        <v>454</v>
      </c>
      <c r="N4" s="215" t="str">
        <f>if(isError(vlookup(M4,'node-RE'!$C:$C, 1, FALSE)), "NO", "YES")</f>
        <v>NO</v>
      </c>
    </row>
    <row r="5">
      <c r="A5" s="214" t="s">
        <v>454</v>
      </c>
      <c r="B5" s="215" t="s">
        <v>454</v>
      </c>
      <c r="C5" s="215" t="str">
        <f>if(isError(vlookup(B5,'node-RE'!C:C, 1, FALSE)), "NO", "YES")</f>
        <v>NO</v>
      </c>
      <c r="D5" s="218"/>
      <c r="E5" s="218" t="s">
        <v>28</v>
      </c>
      <c r="F5" s="217" t="s">
        <v>428</v>
      </c>
      <c r="G5" s="215" t="s">
        <v>53</v>
      </c>
      <c r="H5" s="215" t="str">
        <f>if(isError(vlookup(G5,'node-RE'!$C:$C, 1, FALSE)), "NO", "YES")</f>
        <v>YES</v>
      </c>
      <c r="I5" s="218"/>
      <c r="J5" s="218" t="s">
        <v>28</v>
      </c>
      <c r="K5" s="215" t="str">
        <f>if(isError(vlookup(J5,'node-RE'!$C:$C, 1, FALSE)), "NO", "YES")</f>
        <v>NO</v>
      </c>
      <c r="L5" s="217"/>
      <c r="M5" s="217" t="s">
        <v>428</v>
      </c>
      <c r="N5" s="215" t="str">
        <f>if(isError(vlookup(M5,'node-RE'!$C:$C, 1, FALSE)), "NO", "YES")</f>
        <v>NO</v>
      </c>
    </row>
    <row r="6">
      <c r="A6" s="214" t="s">
        <v>28</v>
      </c>
      <c r="B6" s="215" t="s">
        <v>28</v>
      </c>
      <c r="C6" s="215" t="str">
        <f>if(isError(vlookup(B6,'node-RE'!C:C, 1, FALSE)), "NO", "YES")</f>
        <v>NO</v>
      </c>
      <c r="D6" s="218"/>
      <c r="E6" s="218" t="s">
        <v>193</v>
      </c>
      <c r="F6" s="217" t="s">
        <v>27</v>
      </c>
      <c r="G6" s="215" t="s">
        <v>201</v>
      </c>
      <c r="H6" s="215" t="str">
        <f>if(isError(vlookup(G6,'node-RE'!$C:$C, 1, FALSE)), "NO", "YES")</f>
        <v>NO</v>
      </c>
      <c r="I6" s="218"/>
      <c r="J6" s="218" t="s">
        <v>193</v>
      </c>
      <c r="K6" s="215" t="str">
        <f>if(isError(vlookup(J6,'node-RE'!$C:$C, 1, FALSE)), "NO", "YES")</f>
        <v>NO</v>
      </c>
      <c r="L6" s="217"/>
      <c r="M6" s="217" t="s">
        <v>27</v>
      </c>
      <c r="N6" s="215" t="str">
        <f>if(isError(vlookup(M6,'node-RE'!$C:$C, 1, FALSE)), "NO", "YES")</f>
        <v>YES</v>
      </c>
    </row>
    <row r="7">
      <c r="A7" s="214" t="s">
        <v>193</v>
      </c>
      <c r="B7" s="215" t="s">
        <v>193</v>
      </c>
      <c r="C7" s="215" t="str">
        <f>if(isError(vlookup(B7,'node-RE'!C:C, 1, FALSE)), "NO", "YES")</f>
        <v>NO</v>
      </c>
      <c r="D7" s="218"/>
      <c r="E7" s="218" t="s">
        <v>273</v>
      </c>
      <c r="F7" s="217" t="s">
        <v>478</v>
      </c>
      <c r="G7" s="215" t="s">
        <v>47</v>
      </c>
      <c r="H7" s="215" t="str">
        <f>if(isError(vlookup(G7,'node-RE'!$C:$C, 1, FALSE)), "NO", "YES")</f>
        <v>YES</v>
      </c>
      <c r="I7" s="218"/>
      <c r="J7" s="218" t="s">
        <v>273</v>
      </c>
      <c r="K7" s="215" t="str">
        <f>if(isError(vlookup(J7,'node-RE'!$C:$C, 1, FALSE)), "NO", "YES")</f>
        <v>NO</v>
      </c>
      <c r="L7" s="217"/>
      <c r="M7" s="217" t="s">
        <v>478</v>
      </c>
      <c r="N7" s="215" t="str">
        <f>if(isError(vlookup(M7,'node-RE'!$C:$C, 1, FALSE)), "NO", "YES")</f>
        <v>NO</v>
      </c>
    </row>
    <row r="8">
      <c r="A8" s="214" t="s">
        <v>273</v>
      </c>
      <c r="B8" s="215" t="s">
        <v>273</v>
      </c>
      <c r="C8" s="215" t="str">
        <f>if(isError(vlookup(B8,'node-RE'!C:C, 1, FALSE)), "NO", "YES")</f>
        <v>NO</v>
      </c>
      <c r="D8" s="218"/>
      <c r="E8" s="218" t="s">
        <v>164</v>
      </c>
      <c r="F8" s="217" t="s">
        <v>494</v>
      </c>
      <c r="G8" s="215" t="s">
        <v>89</v>
      </c>
      <c r="H8" s="215" t="str">
        <f>if(isError(vlookup(G8,'node-RE'!$C:$C, 1, FALSE)), "NO", "YES")</f>
        <v>NO</v>
      </c>
      <c r="I8" s="218"/>
      <c r="J8" s="218" t="s">
        <v>164</v>
      </c>
      <c r="K8" s="215" t="str">
        <f>if(isError(vlookup(J8,'node-RE'!$C:$C, 1, FALSE)), "NO", "YES")</f>
        <v>NO</v>
      </c>
      <c r="L8" s="217"/>
      <c r="M8" s="217" t="s">
        <v>494</v>
      </c>
      <c r="N8" s="215" t="str">
        <f>if(isError(vlookup(M8,'node-RE'!$C:$C, 1, FALSE)), "NO", "YES")</f>
        <v>NO</v>
      </c>
    </row>
    <row r="9">
      <c r="A9" s="214" t="s">
        <v>428</v>
      </c>
      <c r="B9" s="215" t="s">
        <v>428</v>
      </c>
      <c r="C9" s="215" t="str">
        <f>if(isError(vlookup(B9,'node-RE'!C:C, 1, FALSE)), "NO", "YES")</f>
        <v>NO</v>
      </c>
      <c r="D9" s="218"/>
      <c r="E9" s="218" t="s">
        <v>127</v>
      </c>
      <c r="F9" s="217" t="s">
        <v>496</v>
      </c>
      <c r="G9" s="215" t="s">
        <v>200</v>
      </c>
      <c r="H9" s="215" t="str">
        <f>if(isError(vlookup(G9,'node-RE'!$C:$C, 1, FALSE)), "NO", "YES")</f>
        <v>YES</v>
      </c>
      <c r="I9" s="218"/>
      <c r="J9" s="218" t="s">
        <v>127</v>
      </c>
      <c r="K9" s="215" t="str">
        <f>if(isError(vlookup(J9,'node-RE'!$C:$C, 1, FALSE)), "NO", "YES")</f>
        <v>NO</v>
      </c>
      <c r="L9" s="217"/>
      <c r="M9" s="217" t="s">
        <v>496</v>
      </c>
      <c r="N9" s="215" t="str">
        <f>if(isError(vlookup(M9,'node-RE'!$C:$C, 1, FALSE)), "NO", "YES")</f>
        <v>NO</v>
      </c>
    </row>
    <row r="10">
      <c r="A10" s="214" t="s">
        <v>164</v>
      </c>
      <c r="B10" s="215" t="s">
        <v>164</v>
      </c>
      <c r="C10" s="215" t="str">
        <f>if(isError(vlookup(B10,'node-RE'!C:C, 1, FALSE)), "NO", "YES")</f>
        <v>NO</v>
      </c>
      <c r="D10" s="218"/>
      <c r="E10" s="218" t="s">
        <v>195</v>
      </c>
      <c r="F10" s="217" t="s">
        <v>507</v>
      </c>
      <c r="G10" s="215" t="s">
        <v>212</v>
      </c>
      <c r="H10" s="215" t="str">
        <f>if(isError(vlookup(G10,'node-RE'!$C:$C, 1, FALSE)), "NO", "YES")</f>
        <v>YES</v>
      </c>
      <c r="I10" s="218"/>
      <c r="J10" s="218" t="s">
        <v>195</v>
      </c>
      <c r="K10" s="215" t="str">
        <f>if(isError(vlookup(J10,'node-RE'!$C:$C, 1, FALSE)), "NO", "YES")</f>
        <v>NO</v>
      </c>
      <c r="L10" s="217"/>
      <c r="M10" s="217" t="s">
        <v>507</v>
      </c>
      <c r="N10" s="215" t="str">
        <f>if(isError(vlookup(M10,'node-RE'!$C:$C, 1, FALSE)), "NO", "YES")</f>
        <v>NO</v>
      </c>
    </row>
    <row r="11">
      <c r="A11" s="214" t="s">
        <v>127</v>
      </c>
      <c r="B11" s="215" t="s">
        <v>127</v>
      </c>
      <c r="C11" s="215" t="str">
        <f>if(isError(vlookup(B11,'node-RE'!C:C, 1, FALSE)), "NO", "YES")</f>
        <v>NO</v>
      </c>
      <c r="D11" s="218"/>
      <c r="E11" s="218" t="s">
        <v>181</v>
      </c>
      <c r="F11" s="217" t="s">
        <v>40</v>
      </c>
      <c r="G11" s="215" t="s">
        <v>211</v>
      </c>
      <c r="H11" s="215" t="str">
        <f>if(isError(vlookup(G11,'node-RE'!$C:$C, 1, FALSE)), "NO", "YES")</f>
        <v>YES</v>
      </c>
      <c r="I11" s="218"/>
      <c r="J11" s="218" t="s">
        <v>181</v>
      </c>
      <c r="K11" s="215" t="str">
        <f>if(isError(vlookup(J11,'node-RE'!$C:$C, 1, FALSE)), "NO", "YES")</f>
        <v>NO</v>
      </c>
      <c r="L11" s="217"/>
      <c r="M11" s="217" t="s">
        <v>430</v>
      </c>
      <c r="N11" s="215" t="str">
        <f>if(isError(vlookup(M11,'node-RE'!$C:$C, 1, FALSE)), "NO", "YES")</f>
        <v>NO</v>
      </c>
    </row>
    <row r="12">
      <c r="A12" s="214" t="s">
        <v>195</v>
      </c>
      <c r="B12" s="215" t="s">
        <v>27</v>
      </c>
      <c r="C12" s="215" t="str">
        <f>if(isError(vlookup(B12,'node-RE'!C:C, 1, FALSE)), "NO", "YES")</f>
        <v>YES</v>
      </c>
      <c r="D12" s="218"/>
      <c r="E12" s="218" t="s">
        <v>247</v>
      </c>
      <c r="F12" s="217" t="s">
        <v>53</v>
      </c>
      <c r="G12" s="215" t="s">
        <v>278</v>
      </c>
      <c r="H12" s="215" t="str">
        <f>if(isError(vlookup(G12,'node-RE'!$C:$C, 1, FALSE)), "NO", "YES")</f>
        <v>NO</v>
      </c>
      <c r="I12" s="218"/>
      <c r="J12" s="218" t="s">
        <v>247</v>
      </c>
      <c r="K12" s="215" t="str">
        <f>if(isError(vlookup(J12,'node-RE'!$C:$C, 1, FALSE)), "NO", "YES")</f>
        <v>NO</v>
      </c>
      <c r="L12" s="217"/>
      <c r="M12" s="217" t="s">
        <v>447</v>
      </c>
      <c r="N12" s="215" t="str">
        <f>if(isError(vlookup(M12,'node-RE'!$C:$C, 1, FALSE)), "NO", "YES")</f>
        <v>NO</v>
      </c>
    </row>
    <row r="13">
      <c r="A13" s="214" t="s">
        <v>181</v>
      </c>
      <c r="B13" s="215" t="s">
        <v>195</v>
      </c>
      <c r="C13" s="215" t="str">
        <f>if(isError(vlookup(B13,'node-RE'!C:C, 1, FALSE)), "NO", "YES")</f>
        <v>NO</v>
      </c>
      <c r="D13" s="218"/>
      <c r="E13" s="218" t="s">
        <v>262</v>
      </c>
      <c r="F13" s="217" t="s">
        <v>430</v>
      </c>
      <c r="G13" s="215" t="s">
        <v>37</v>
      </c>
      <c r="H13" s="215" t="str">
        <f>if(isError(vlookup(G13,'node-RE'!$C:$C, 1, FALSE)), "NO", "YES")</f>
        <v>NO</v>
      </c>
      <c r="I13" s="218"/>
      <c r="J13" s="218" t="s">
        <v>262</v>
      </c>
      <c r="K13" s="215" t="str">
        <f>if(isError(vlookup(J13,'node-RE'!$C:$C, 1, FALSE)), "NO", "YES")</f>
        <v>NO</v>
      </c>
      <c r="L13" s="217"/>
      <c r="M13" s="217" t="s">
        <v>427</v>
      </c>
      <c r="N13" s="215" t="str">
        <f>if(isError(vlookup(M13,'node-RE'!$C:$C, 1, FALSE)), "NO", "YES")</f>
        <v>NO</v>
      </c>
    </row>
    <row r="14">
      <c r="A14" s="214" t="s">
        <v>247</v>
      </c>
      <c r="B14" s="215" t="s">
        <v>181</v>
      </c>
      <c r="C14" s="215" t="str">
        <f>if(isError(vlookup(B14,'node-RE'!C:C, 1, FALSE)), "NO", "YES")</f>
        <v>NO</v>
      </c>
      <c r="D14" s="218"/>
      <c r="E14" s="218" t="s">
        <v>294</v>
      </c>
      <c r="F14" s="217" t="s">
        <v>201</v>
      </c>
      <c r="G14" s="215" t="s">
        <v>277</v>
      </c>
      <c r="H14" s="215" t="str">
        <f>if(isError(vlookup(G14,'node-RE'!$C:$C, 1, FALSE)), "NO", "YES")</f>
        <v>NO</v>
      </c>
      <c r="I14" s="218"/>
      <c r="J14" s="218" t="s">
        <v>294</v>
      </c>
      <c r="K14" s="215" t="str">
        <f>if(isError(vlookup(J14,'node-RE'!$C:$C, 1, FALSE)), "NO", "YES")</f>
        <v>NO</v>
      </c>
      <c r="L14" s="217"/>
      <c r="M14" s="217" t="s">
        <v>492</v>
      </c>
      <c r="N14" s="215" t="str">
        <f>if(isError(vlookup(M14,'node-RE'!$C:$C, 1, FALSE)), "NO", "YES")</f>
        <v>NO</v>
      </c>
    </row>
    <row r="15">
      <c r="A15" s="214" t="s">
        <v>262</v>
      </c>
      <c r="B15" s="215" t="s">
        <v>247</v>
      </c>
      <c r="C15" s="215" t="str">
        <f>if(isError(vlookup(B15,'node-RE'!C:C, 1, FALSE)), "NO", "YES")</f>
        <v>NO</v>
      </c>
      <c r="D15" s="218"/>
      <c r="E15" s="218" t="s">
        <v>272</v>
      </c>
      <c r="F15" s="217" t="s">
        <v>447</v>
      </c>
      <c r="G15" s="215" t="s">
        <v>231</v>
      </c>
      <c r="H15" s="215" t="str">
        <f>if(isError(vlookup(G15,'node-RE'!$C:$C, 1, FALSE)), "NO", "YES")</f>
        <v>YES</v>
      </c>
      <c r="I15" s="218"/>
      <c r="J15" s="218" t="s">
        <v>272</v>
      </c>
      <c r="K15" s="215" t="str">
        <f>if(isError(vlookup(J15,'node-RE'!$C:$C, 1, FALSE)), "NO", "YES")</f>
        <v>NO</v>
      </c>
      <c r="L15" s="217"/>
      <c r="M15" s="217" t="s">
        <v>449</v>
      </c>
      <c r="N15" s="215" t="str">
        <f>if(isError(vlookup(M15,'node-RE'!$C:$C, 1, FALSE)), "NO", "YES")</f>
        <v>NO</v>
      </c>
    </row>
    <row r="16">
      <c r="A16" s="214" t="s">
        <v>294</v>
      </c>
      <c r="B16" s="215" t="s">
        <v>262</v>
      </c>
      <c r="C16" s="215" t="str">
        <f>if(isError(vlookup(B16,'node-RE'!C:C, 1, FALSE)), "NO", "YES")</f>
        <v>NO</v>
      </c>
      <c r="D16" s="218"/>
      <c r="E16" s="218" t="s">
        <v>223</v>
      </c>
      <c r="F16" s="217" t="s">
        <v>427</v>
      </c>
      <c r="G16" s="215" t="s">
        <v>44</v>
      </c>
      <c r="H16" s="215" t="str">
        <f>if(isError(vlookup(G16,'node-RE'!$C:$C, 1, FALSE)), "NO", "YES")</f>
        <v>YES</v>
      </c>
      <c r="I16" s="218"/>
      <c r="J16" s="218" t="s">
        <v>223</v>
      </c>
      <c r="K16" s="215" t="str">
        <f>if(isError(vlookup(J16,'node-RE'!$C:$C, 1, FALSE)), "NO", "YES")</f>
        <v>NO</v>
      </c>
      <c r="L16" s="217"/>
      <c r="M16" s="217" t="s">
        <v>451</v>
      </c>
      <c r="N16" s="215" t="str">
        <f>if(isError(vlookup(M16,'node-RE'!$C:$C, 1, FALSE)), "NO", "YES")</f>
        <v>NO</v>
      </c>
    </row>
    <row r="17">
      <c r="A17" s="214" t="s">
        <v>272</v>
      </c>
      <c r="B17" s="215" t="s">
        <v>294</v>
      </c>
      <c r="C17" s="215" t="str">
        <f>if(isError(vlookup(B17,'node-RE'!C:C, 1, FALSE)), "NO", "YES")</f>
        <v>NO</v>
      </c>
      <c r="D17" s="218"/>
      <c r="E17" s="218" t="s">
        <v>267</v>
      </c>
      <c r="F17" s="217" t="s">
        <v>47</v>
      </c>
      <c r="G17" s="219" t="s">
        <v>978</v>
      </c>
      <c r="H17" s="218"/>
      <c r="I17" s="218"/>
      <c r="J17" s="218" t="s">
        <v>267</v>
      </c>
      <c r="K17" s="215" t="str">
        <f>if(isError(vlookup(J17,'node-RE'!$C:$C, 1, FALSE)), "NO", "YES")</f>
        <v>NO</v>
      </c>
      <c r="L17" s="217"/>
      <c r="M17" s="217" t="s">
        <v>435</v>
      </c>
      <c r="N17" s="215" t="str">
        <f>if(isError(vlookup(M17,'node-RE'!$C:$C, 1, FALSE)), "NO", "YES")</f>
        <v>NO</v>
      </c>
    </row>
    <row r="18">
      <c r="A18" s="214" t="s">
        <v>478</v>
      </c>
      <c r="B18" s="215" t="s">
        <v>272</v>
      </c>
      <c r="C18" s="215" t="str">
        <f>if(isError(vlookup(B18,'node-RE'!C:C, 1, FALSE)), "NO", "YES")</f>
        <v>NO</v>
      </c>
      <c r="D18" s="218"/>
      <c r="E18" s="218" t="s">
        <v>274</v>
      </c>
      <c r="F18" s="217" t="s">
        <v>492</v>
      </c>
      <c r="G18" s="219" t="s">
        <v>978</v>
      </c>
      <c r="H18" s="218"/>
      <c r="I18" s="218"/>
      <c r="J18" s="218" t="s">
        <v>274</v>
      </c>
      <c r="K18" s="215" t="str">
        <f>if(isError(vlookup(J18,'node-RE'!$C:$C, 1, FALSE)), "NO", "YES")</f>
        <v>NO</v>
      </c>
      <c r="L18" s="217"/>
      <c r="M18" s="217" t="s">
        <v>118</v>
      </c>
      <c r="N18" s="215" t="str">
        <f>if(isError(vlookup(M18,'node-RE'!$C:$C, 1, FALSE)), "NO", "YES")</f>
        <v>YES</v>
      </c>
    </row>
    <row r="19">
      <c r="A19" s="214" t="s">
        <v>223</v>
      </c>
      <c r="B19" s="215" t="s">
        <v>478</v>
      </c>
      <c r="C19" s="215" t="str">
        <f>if(isError(vlookup(B19,'node-RE'!C:C, 1, FALSE)), "NO", "YES")</f>
        <v>NO</v>
      </c>
      <c r="D19" s="218"/>
      <c r="E19" s="218" t="s">
        <v>368</v>
      </c>
      <c r="F19" s="217" t="s">
        <v>449</v>
      </c>
      <c r="G19" s="219" t="s">
        <v>978</v>
      </c>
      <c r="H19" s="218"/>
      <c r="I19" s="218"/>
      <c r="J19" s="218" t="s">
        <v>368</v>
      </c>
      <c r="K19" s="215" t="str">
        <f>if(isError(vlookup(J19,'node-RE'!$C:$C, 1, FALSE)), "NO", "YES")</f>
        <v>NO</v>
      </c>
      <c r="L19" s="217"/>
      <c r="M19" s="217" t="s">
        <v>434</v>
      </c>
      <c r="N19" s="215" t="str">
        <f>if(isError(vlookup(M19,'node-RE'!$C:$C, 1, FALSE)), "NO", "YES")</f>
        <v>NO</v>
      </c>
    </row>
    <row r="20">
      <c r="A20" s="214" t="s">
        <v>494</v>
      </c>
      <c r="B20" s="215" t="s">
        <v>223</v>
      </c>
      <c r="C20" s="215" t="str">
        <f>if(isError(vlookup(B20,'node-RE'!C:C, 1, FALSE)), "NO", "YES")</f>
        <v>NO</v>
      </c>
      <c r="D20" s="218"/>
      <c r="E20" s="218" t="s">
        <v>157</v>
      </c>
      <c r="F20" s="217" t="s">
        <v>451</v>
      </c>
      <c r="G20" s="219" t="s">
        <v>978</v>
      </c>
      <c r="H20" s="218"/>
      <c r="I20" s="218"/>
      <c r="J20" s="218" t="s">
        <v>157</v>
      </c>
      <c r="K20" s="215" t="str">
        <f>if(isError(vlookup(J20,'node-RE'!$C:$C, 1, FALSE)), "NO", "YES")</f>
        <v>NO</v>
      </c>
      <c r="L20" s="217"/>
      <c r="M20" s="217" t="s">
        <v>455</v>
      </c>
      <c r="N20" s="215" t="str">
        <f>if(isError(vlookup(M20,'node-RE'!$C:$C, 1, FALSE)), "NO", "YES")</f>
        <v>NO</v>
      </c>
    </row>
    <row r="21">
      <c r="A21" s="214" t="s">
        <v>496</v>
      </c>
      <c r="B21" s="215" t="s">
        <v>494</v>
      </c>
      <c r="C21" s="215" t="str">
        <f>if(isError(vlookup(B21,'node-RE'!C:C, 1, FALSE)), "NO", "YES")</f>
        <v>NO</v>
      </c>
      <c r="D21" s="218"/>
      <c r="E21" s="218" t="s">
        <v>198</v>
      </c>
      <c r="F21" s="217" t="s">
        <v>435</v>
      </c>
      <c r="G21" s="219" t="s">
        <v>978</v>
      </c>
      <c r="H21" s="218"/>
      <c r="I21" s="218"/>
      <c r="J21" s="218" t="s">
        <v>198</v>
      </c>
      <c r="K21" s="215" t="str">
        <f>if(isError(vlookup(J21,'node-RE'!$C:$C, 1, FALSE)), "NO", "YES")</f>
        <v>NO</v>
      </c>
      <c r="L21" s="217"/>
      <c r="M21" s="217" t="s">
        <v>467</v>
      </c>
      <c r="N21" s="215" t="str">
        <f>if(isError(vlookup(M21,'node-RE'!$C:$C, 1, FALSE)), "NO", "YES")</f>
        <v>NO</v>
      </c>
    </row>
    <row r="22">
      <c r="A22" s="214" t="s">
        <v>267</v>
      </c>
      <c r="B22" s="215" t="s">
        <v>496</v>
      </c>
      <c r="C22" s="215" t="str">
        <f>if(isError(vlookup(B22,'node-RE'!C:C, 1, FALSE)), "NO", "YES")</f>
        <v>NO</v>
      </c>
      <c r="D22" s="218"/>
      <c r="E22" s="218" t="s">
        <v>128</v>
      </c>
      <c r="F22" s="217" t="s">
        <v>118</v>
      </c>
      <c r="G22" s="219" t="s">
        <v>978</v>
      </c>
      <c r="H22" s="218"/>
      <c r="I22" s="218"/>
      <c r="J22" s="218" t="s">
        <v>128</v>
      </c>
      <c r="K22" s="215" t="str">
        <f>if(isError(vlookup(J22,'node-RE'!$C:$C, 1, FALSE)), "NO", "YES")</f>
        <v>NO</v>
      </c>
      <c r="L22" s="217"/>
      <c r="M22" s="217" t="s">
        <v>437</v>
      </c>
      <c r="N22" s="215" t="str">
        <f>if(isError(vlookup(M22,'node-RE'!$C:$C, 1, FALSE)), "NO", "YES")</f>
        <v>NO</v>
      </c>
    </row>
    <row r="23">
      <c r="A23" s="214" t="s">
        <v>274</v>
      </c>
      <c r="B23" s="215" t="s">
        <v>267</v>
      </c>
      <c r="C23" s="215" t="str">
        <f>if(isError(vlookup(B23,'node-RE'!C:C, 1, FALSE)), "NO", "YES")</f>
        <v>NO</v>
      </c>
      <c r="D23" s="218"/>
      <c r="E23" s="218" t="s">
        <v>406</v>
      </c>
      <c r="F23" s="217" t="s">
        <v>434</v>
      </c>
      <c r="G23" s="219" t="s">
        <v>978</v>
      </c>
      <c r="H23" s="218"/>
      <c r="I23" s="218"/>
      <c r="J23" s="218" t="s">
        <v>406</v>
      </c>
      <c r="K23" s="215" t="str">
        <f>if(isError(vlookup(J23,'node-RE'!$C:$C, 1, FALSE)), "NO", "YES")</f>
        <v>NO</v>
      </c>
      <c r="L23" s="217"/>
      <c r="M23" s="217" t="s">
        <v>529</v>
      </c>
      <c r="N23" s="215" t="str">
        <f>if(isError(vlookup(M23,'node-RE'!$C:$C, 1, FALSE)), "NO", "YES")</f>
        <v>NO</v>
      </c>
    </row>
    <row r="24">
      <c r="A24" s="214" t="s">
        <v>368</v>
      </c>
      <c r="B24" s="215" t="s">
        <v>274</v>
      </c>
      <c r="C24" s="215" t="str">
        <f>if(isError(vlookup(B24,'node-RE'!C:C, 1, FALSE)), "NO", "YES")</f>
        <v>NO</v>
      </c>
      <c r="D24" s="218"/>
      <c r="E24" s="218" t="s">
        <v>40</v>
      </c>
      <c r="F24" s="217" t="s">
        <v>455</v>
      </c>
      <c r="G24" s="219" t="s">
        <v>978</v>
      </c>
      <c r="H24" s="218"/>
      <c r="I24" s="218"/>
      <c r="J24" s="218" t="s">
        <v>349</v>
      </c>
      <c r="K24" s="215" t="str">
        <f>if(isError(vlookup(J24,'node-RE'!$C:$C, 1, FALSE)), "NO", "YES")</f>
        <v>NO</v>
      </c>
      <c r="L24" s="217"/>
      <c r="M24" s="217" t="s">
        <v>453</v>
      </c>
      <c r="N24" s="215" t="str">
        <f>if(isError(vlookup(M24,'node-RE'!$C:$C, 1, FALSE)), "NO", "YES")</f>
        <v>NO</v>
      </c>
    </row>
    <row r="25">
      <c r="A25" s="214" t="s">
        <v>157</v>
      </c>
      <c r="B25" s="215" t="s">
        <v>368</v>
      </c>
      <c r="C25" s="215" t="str">
        <f>if(isError(vlookup(B25,'node-RE'!C:C, 1, FALSE)), "NO", "YES")</f>
        <v>NO</v>
      </c>
      <c r="D25" s="218"/>
      <c r="E25" s="218" t="s">
        <v>53</v>
      </c>
      <c r="F25" s="217" t="s">
        <v>467</v>
      </c>
      <c r="G25" s="219" t="s">
        <v>978</v>
      </c>
      <c r="H25" s="218"/>
      <c r="I25" s="218"/>
      <c r="J25" s="218" t="s">
        <v>322</v>
      </c>
      <c r="K25" s="215" t="str">
        <f>if(isError(vlookup(J25,'node-RE'!$C:$C, 1, FALSE)), "NO", "YES")</f>
        <v>NO</v>
      </c>
      <c r="L25" s="217"/>
      <c r="M25" s="217" t="s">
        <v>446</v>
      </c>
      <c r="N25" s="215" t="str">
        <f>if(isError(vlookup(M25,'node-RE'!$C:$C, 1, FALSE)), "NO", "YES")</f>
        <v>NO</v>
      </c>
    </row>
    <row r="26">
      <c r="A26" s="214" t="s">
        <v>198</v>
      </c>
      <c r="B26" s="215" t="s">
        <v>157</v>
      </c>
      <c r="C26" s="215" t="str">
        <f>if(isError(vlookup(B26,'node-RE'!C:C, 1, FALSE)), "NO", "YES")</f>
        <v>NO</v>
      </c>
      <c r="D26" s="218"/>
      <c r="E26" s="218" t="s">
        <v>349</v>
      </c>
      <c r="F26" s="217" t="s">
        <v>437</v>
      </c>
      <c r="G26" s="219" t="s">
        <v>978</v>
      </c>
      <c r="H26" s="218"/>
      <c r="I26" s="218"/>
      <c r="J26" s="218" t="s">
        <v>270</v>
      </c>
      <c r="K26" s="215" t="str">
        <f>if(isError(vlookup(J26,'node-RE'!$C:$C, 1, FALSE)), "NO", "YES")</f>
        <v>NO</v>
      </c>
      <c r="L26" s="217"/>
      <c r="M26" s="217" t="s">
        <v>480</v>
      </c>
      <c r="N26" s="215" t="str">
        <f>if(isError(vlookup(M26,'node-RE'!$C:$C, 1, FALSE)), "NO", "YES")</f>
        <v>NO</v>
      </c>
    </row>
    <row r="27">
      <c r="A27" s="214" t="s">
        <v>507</v>
      </c>
      <c r="B27" s="215" t="s">
        <v>198</v>
      </c>
      <c r="C27" s="215" t="str">
        <f>if(isError(vlookup(B27,'node-RE'!C:C, 1, FALSE)), "NO", "YES")</f>
        <v>NO</v>
      </c>
      <c r="D27" s="218"/>
      <c r="E27" s="218" t="s">
        <v>322</v>
      </c>
      <c r="F27" s="217" t="s">
        <v>529</v>
      </c>
      <c r="G27" s="219" t="s">
        <v>978</v>
      </c>
      <c r="H27" s="218"/>
      <c r="I27" s="218"/>
      <c r="J27" s="218" t="s">
        <v>323</v>
      </c>
      <c r="K27" s="215" t="str">
        <f>if(isError(vlookup(J27,'node-RE'!$C:$C, 1, FALSE)), "NO", "YES")</f>
        <v>NO</v>
      </c>
      <c r="L27" s="217"/>
      <c r="M27" s="217" t="s">
        <v>531</v>
      </c>
      <c r="N27" s="215" t="str">
        <f>if(isError(vlookup(M27,'node-RE'!$C:$C, 1, FALSE)), "NO", "YES")</f>
        <v>NO</v>
      </c>
    </row>
    <row r="28">
      <c r="A28" s="214" t="s">
        <v>128</v>
      </c>
      <c r="B28" s="215" t="s">
        <v>507</v>
      </c>
      <c r="C28" s="215" t="str">
        <f>if(isError(vlookup(B28,'node-RE'!C:C, 1, FALSE)), "NO", "YES")</f>
        <v>NO</v>
      </c>
      <c r="D28" s="218"/>
      <c r="E28" s="218" t="s">
        <v>270</v>
      </c>
      <c r="F28" s="217" t="s">
        <v>453</v>
      </c>
      <c r="G28" s="219" t="s">
        <v>978</v>
      </c>
      <c r="H28" s="218"/>
      <c r="I28" s="218"/>
      <c r="J28" s="218" t="s">
        <v>124</v>
      </c>
      <c r="K28" s="215" t="str">
        <f>if(isError(vlookup(J28,'node-RE'!$C:$C, 1, FALSE)), "NO", "YES")</f>
        <v>NO</v>
      </c>
      <c r="L28" s="217"/>
      <c r="M28" s="217" t="s">
        <v>495</v>
      </c>
      <c r="N28" s="215" t="str">
        <f>if(isError(vlookup(M28,'node-RE'!$C:$C, 1, FALSE)), "NO", "YES")</f>
        <v>NO</v>
      </c>
    </row>
    <row r="29">
      <c r="A29" s="214" t="s">
        <v>406</v>
      </c>
      <c r="B29" s="215" t="s">
        <v>128</v>
      </c>
      <c r="C29" s="215" t="str">
        <f>if(isError(vlookup(B29,'node-RE'!C:C, 1, FALSE)), "NO", "YES")</f>
        <v>NO</v>
      </c>
      <c r="D29" s="218"/>
      <c r="E29" s="218" t="s">
        <v>323</v>
      </c>
      <c r="F29" s="217" t="s">
        <v>89</v>
      </c>
      <c r="G29" s="219" t="s">
        <v>978</v>
      </c>
      <c r="H29" s="218"/>
      <c r="I29" s="218"/>
      <c r="J29" s="218" t="s">
        <v>54</v>
      </c>
      <c r="K29" s="215" t="str">
        <f>if(isError(vlookup(J29,'node-RE'!$C:$C, 1, FALSE)), "NO", "YES")</f>
        <v>NO</v>
      </c>
      <c r="L29" s="217"/>
      <c r="M29" s="217" t="s">
        <v>245</v>
      </c>
      <c r="N29" s="215" t="str">
        <f>if(isError(vlookup(M29,'node-RE'!$C:$C, 1, FALSE)), "NO", "YES")</f>
        <v>YES</v>
      </c>
    </row>
    <row r="30">
      <c r="A30" s="214" t="s">
        <v>40</v>
      </c>
      <c r="B30" s="215" t="s">
        <v>406</v>
      </c>
      <c r="C30" s="215" t="str">
        <f>if(isError(vlookup(B30,'node-RE'!C:C, 1, FALSE)), "NO", "YES")</f>
        <v>NO</v>
      </c>
      <c r="D30" s="218"/>
      <c r="E30" s="218" t="s">
        <v>124</v>
      </c>
      <c r="F30" s="217" t="s">
        <v>446</v>
      </c>
      <c r="G30" s="219" t="s">
        <v>978</v>
      </c>
      <c r="H30" s="218"/>
      <c r="I30" s="218"/>
      <c r="J30" s="218" t="s">
        <v>80</v>
      </c>
      <c r="K30" s="215" t="str">
        <f>if(isError(vlookup(J30,'node-RE'!$C:$C, 1, FALSE)), "NO", "YES")</f>
        <v>NO</v>
      </c>
      <c r="L30" s="217"/>
      <c r="M30" s="217" t="s">
        <v>432</v>
      </c>
      <c r="N30" s="215" t="str">
        <f>if(isError(vlookup(M30,'node-RE'!$C:$C, 1, FALSE)), "NO", "YES")</f>
        <v>NO</v>
      </c>
    </row>
    <row r="31">
      <c r="A31" s="214" t="s">
        <v>430</v>
      </c>
      <c r="B31" s="215" t="s">
        <v>40</v>
      </c>
      <c r="C31" s="215" t="str">
        <f>if(isError(vlookup(B31,'node-RE'!C:C, 1, FALSE)), "NO", "YES")</f>
        <v>NO</v>
      </c>
      <c r="D31" s="218"/>
      <c r="E31" s="218" t="s">
        <v>54</v>
      </c>
      <c r="F31" s="217" t="s">
        <v>200</v>
      </c>
      <c r="G31" s="219" t="s">
        <v>978</v>
      </c>
      <c r="H31" s="218"/>
      <c r="I31" s="218"/>
      <c r="J31" s="218" t="s">
        <v>38</v>
      </c>
      <c r="K31" s="215" t="str">
        <f>if(isError(vlookup(J31,'node-RE'!$C:$C, 1, FALSE)), "NO", "YES")</f>
        <v>NO</v>
      </c>
      <c r="L31" s="217"/>
      <c r="M31" s="217" t="s">
        <v>497</v>
      </c>
      <c r="N31" s="215" t="str">
        <f>if(isError(vlookup(M31,'node-RE'!$C:$C, 1, FALSE)), "NO", "YES")</f>
        <v>NO</v>
      </c>
    </row>
    <row r="32">
      <c r="A32" s="214" t="s">
        <v>349</v>
      </c>
      <c r="B32" s="215" t="s">
        <v>53</v>
      </c>
      <c r="C32" s="215" t="str">
        <f>if(isError(vlookup(B32,'node-RE'!C:C, 1, FALSE)), "NO", "YES")</f>
        <v>YES</v>
      </c>
      <c r="D32" s="218"/>
      <c r="E32" s="218" t="s">
        <v>201</v>
      </c>
      <c r="F32" s="217" t="s">
        <v>480</v>
      </c>
      <c r="G32" s="219" t="s">
        <v>978</v>
      </c>
      <c r="H32" s="218"/>
      <c r="I32" s="218"/>
      <c r="J32" s="218" t="s">
        <v>81</v>
      </c>
      <c r="K32" s="215" t="str">
        <f>if(isError(vlookup(J32,'node-RE'!$C:$C, 1, FALSE)), "NO", "YES")</f>
        <v>NO</v>
      </c>
      <c r="L32" s="217"/>
      <c r="M32" s="217" t="s">
        <v>474</v>
      </c>
      <c r="N32" s="215" t="str">
        <f>if(isError(vlookup(M32,'node-RE'!$C:$C, 1, FALSE)), "NO", "YES")</f>
        <v>NO</v>
      </c>
    </row>
    <row r="33">
      <c r="A33" s="214" t="s">
        <v>322</v>
      </c>
      <c r="B33" s="215" t="s">
        <v>430</v>
      </c>
      <c r="C33" s="215" t="str">
        <f>if(isError(vlookup(B33,'node-RE'!C:C, 1, FALSE)), "NO", "YES")</f>
        <v>NO</v>
      </c>
      <c r="D33" s="218"/>
      <c r="E33" s="218" t="s">
        <v>80</v>
      </c>
      <c r="F33" s="217" t="s">
        <v>212</v>
      </c>
      <c r="G33" s="219" t="s">
        <v>978</v>
      </c>
      <c r="H33" s="218"/>
      <c r="I33" s="218"/>
      <c r="J33" s="218" t="s">
        <v>258</v>
      </c>
      <c r="K33" s="215" t="str">
        <f>if(isError(vlookup(J33,'node-RE'!$C:$C, 1, FALSE)), "NO", "YES")</f>
        <v>NO</v>
      </c>
      <c r="L33" s="217"/>
      <c r="M33" s="217" t="s">
        <v>493</v>
      </c>
      <c r="N33" s="215" t="str">
        <f>if(isError(vlookup(M33,'node-RE'!$C:$C, 1, FALSE)), "NO", "YES")</f>
        <v>NO</v>
      </c>
    </row>
    <row r="34">
      <c r="A34" s="214" t="s">
        <v>270</v>
      </c>
      <c r="B34" s="215" t="s">
        <v>349</v>
      </c>
      <c r="C34" s="215" t="str">
        <f>if(isError(vlookup(B34,'node-RE'!C:C, 1, FALSE)), "NO", "YES")</f>
        <v>NO</v>
      </c>
      <c r="D34" s="218"/>
      <c r="E34" s="218" t="s">
        <v>38</v>
      </c>
      <c r="F34" s="217" t="s">
        <v>531</v>
      </c>
      <c r="G34" s="219" t="s">
        <v>978</v>
      </c>
      <c r="H34" s="218"/>
      <c r="I34" s="218"/>
      <c r="J34" s="218" t="s">
        <v>114</v>
      </c>
      <c r="K34" s="215" t="str">
        <f>if(isError(vlookup(J34,'node-RE'!$C:$C, 1, FALSE)), "NO", "YES")</f>
        <v>NO</v>
      </c>
      <c r="L34" s="217"/>
      <c r="M34" s="217" t="s">
        <v>458</v>
      </c>
      <c r="N34" s="215" t="str">
        <f>if(isError(vlookup(M34,'node-RE'!$C:$C, 1, FALSE)), "NO", "YES")</f>
        <v>NO</v>
      </c>
    </row>
    <row r="35">
      <c r="A35" s="214" t="s">
        <v>323</v>
      </c>
      <c r="B35" s="215" t="s">
        <v>322</v>
      </c>
      <c r="C35" s="215" t="str">
        <f>if(isError(vlookup(B35,'node-RE'!C:C, 1, FALSE)), "NO", "YES")</f>
        <v>NO</v>
      </c>
      <c r="D35" s="218"/>
      <c r="E35" s="218" t="s">
        <v>81</v>
      </c>
      <c r="F35" s="217" t="s">
        <v>495</v>
      </c>
      <c r="G35" s="219" t="s">
        <v>978</v>
      </c>
      <c r="H35" s="218"/>
      <c r="I35" s="218"/>
      <c r="J35" s="218" t="s">
        <v>276</v>
      </c>
      <c r="K35" s="215" t="str">
        <f>if(isError(vlookup(J35,'node-RE'!$C:$C, 1, FALSE)), "NO", "YES")</f>
        <v>NO</v>
      </c>
      <c r="L35" s="217"/>
      <c r="M35" s="217" t="s">
        <v>463</v>
      </c>
      <c r="N35" s="215" t="str">
        <f>if(isError(vlookup(M35,'node-RE'!$C:$C, 1, FALSE)), "NO", "YES")</f>
        <v>NO</v>
      </c>
    </row>
    <row r="36">
      <c r="A36" s="214" t="s">
        <v>124</v>
      </c>
      <c r="B36" s="215" t="s">
        <v>270</v>
      </c>
      <c r="C36" s="215" t="str">
        <f>if(isError(vlookup(B36,'node-RE'!C:C, 1, FALSE)), "NO", "YES")</f>
        <v>NO</v>
      </c>
      <c r="D36" s="218"/>
      <c r="E36" s="218" t="s">
        <v>258</v>
      </c>
      <c r="F36" s="217" t="s">
        <v>245</v>
      </c>
      <c r="G36" s="219" t="s">
        <v>978</v>
      </c>
      <c r="H36" s="218"/>
      <c r="I36" s="218"/>
      <c r="J36" s="218" t="s">
        <v>57</v>
      </c>
      <c r="K36" s="215" t="str">
        <f>if(isError(vlookup(J36,'node-RE'!$C:$C, 1, FALSE)), "NO", "YES")</f>
        <v>NO</v>
      </c>
      <c r="L36" s="217"/>
      <c r="M36" s="217" t="s">
        <v>464</v>
      </c>
      <c r="N36" s="215" t="str">
        <f>if(isError(vlookup(M36,'node-RE'!$C:$C, 1, FALSE)), "NO", "YES")</f>
        <v>NO</v>
      </c>
    </row>
    <row r="37">
      <c r="A37" s="214" t="s">
        <v>54</v>
      </c>
      <c r="B37" s="215" t="s">
        <v>323</v>
      </c>
      <c r="C37" s="215" t="str">
        <f>if(isError(vlookup(B37,'node-RE'!C:C, 1, FALSE)), "NO", "YES")</f>
        <v>NO</v>
      </c>
      <c r="D37" s="218"/>
      <c r="E37" s="218" t="s">
        <v>114</v>
      </c>
      <c r="F37" s="217" t="s">
        <v>432</v>
      </c>
      <c r="G37" s="219" t="s">
        <v>978</v>
      </c>
      <c r="H37" s="218"/>
      <c r="I37" s="218"/>
      <c r="J37" s="218" t="s">
        <v>252</v>
      </c>
      <c r="K37" s="215" t="str">
        <f>if(isError(vlookup(J37,'node-RE'!$C:$C, 1, FALSE)), "NO", "YES")</f>
        <v>NO</v>
      </c>
      <c r="L37" s="217"/>
      <c r="M37" s="217" t="s">
        <v>488</v>
      </c>
      <c r="N37" s="215" t="str">
        <f>if(isError(vlookup(M37,'node-RE'!$C:$C, 1, FALSE)), "NO", "YES")</f>
        <v>NO</v>
      </c>
    </row>
    <row r="38">
      <c r="A38" s="214" t="s">
        <v>201</v>
      </c>
      <c r="B38" s="215" t="s">
        <v>124</v>
      </c>
      <c r="C38" s="215" t="str">
        <f>if(isError(vlookup(B38,'node-RE'!C:C, 1, FALSE)), "NO", "YES")</f>
        <v>NO</v>
      </c>
      <c r="D38" s="218"/>
      <c r="E38" s="218" t="s">
        <v>276</v>
      </c>
      <c r="F38" s="217" t="s">
        <v>497</v>
      </c>
      <c r="G38" s="219" t="s">
        <v>978</v>
      </c>
      <c r="H38" s="218"/>
      <c r="I38" s="218"/>
      <c r="J38" s="218" t="s">
        <v>122</v>
      </c>
      <c r="K38" s="215" t="str">
        <f>if(isError(vlookup(J38,'node-RE'!$C:$C, 1, FALSE)), "NO", "YES")</f>
        <v>NO</v>
      </c>
      <c r="L38" s="217"/>
      <c r="M38" s="217" t="s">
        <v>509</v>
      </c>
      <c r="N38" s="215" t="str">
        <f>if(isError(vlookup(M38,'node-RE'!$C:$C, 1, FALSE)), "NO", "YES")</f>
        <v>NO</v>
      </c>
    </row>
    <row r="39">
      <c r="A39" s="214" t="s">
        <v>80</v>
      </c>
      <c r="B39" s="215" t="s">
        <v>54</v>
      </c>
      <c r="C39" s="215" t="str">
        <f>if(isError(vlookup(B39,'node-RE'!C:C, 1, FALSE)), "NO", "YES")</f>
        <v>NO</v>
      </c>
      <c r="D39" s="218"/>
      <c r="E39" s="218" t="s">
        <v>57</v>
      </c>
      <c r="F39" s="217" t="s">
        <v>474</v>
      </c>
      <c r="G39" s="219" t="s">
        <v>978</v>
      </c>
      <c r="H39" s="218"/>
      <c r="I39" s="218"/>
      <c r="J39" s="218" t="s">
        <v>279</v>
      </c>
      <c r="K39" s="215" t="str">
        <f>if(isError(vlookup(J39,'node-RE'!$C:$C, 1, FALSE)), "NO", "YES")</f>
        <v>NO</v>
      </c>
      <c r="L39" s="217"/>
      <c r="M39" s="217" t="s">
        <v>510</v>
      </c>
      <c r="N39" s="215" t="str">
        <f>if(isError(vlookup(M39,'node-RE'!$C:$C, 1, FALSE)), "NO", "YES")</f>
        <v>NO</v>
      </c>
    </row>
    <row r="40">
      <c r="A40" s="214" t="s">
        <v>38</v>
      </c>
      <c r="B40" s="215" t="s">
        <v>201</v>
      </c>
      <c r="C40" s="215" t="str">
        <f>if(isError(vlookup(B40,'node-RE'!C:C, 1, FALSE)), "NO", "YES")</f>
        <v>NO</v>
      </c>
      <c r="D40" s="218"/>
      <c r="E40" s="218" t="s">
        <v>47</v>
      </c>
      <c r="F40" s="217" t="s">
        <v>493</v>
      </c>
      <c r="G40" s="219" t="s">
        <v>978</v>
      </c>
      <c r="H40" s="218"/>
      <c r="I40" s="218"/>
      <c r="J40" s="218" t="s">
        <v>285</v>
      </c>
      <c r="K40" s="215" t="str">
        <f>if(isError(vlookup(J40,'node-RE'!$C:$C, 1, FALSE)), "NO", "YES")</f>
        <v>NO</v>
      </c>
      <c r="L40" s="217"/>
      <c r="M40" s="217" t="s">
        <v>511</v>
      </c>
      <c r="N40" s="215" t="str">
        <f>if(isError(vlookup(M40,'node-RE'!$C:$C, 1, FALSE)), "NO", "YES")</f>
        <v>NO</v>
      </c>
    </row>
    <row r="41">
      <c r="A41" s="214" t="s">
        <v>81</v>
      </c>
      <c r="B41" s="215" t="s">
        <v>80</v>
      </c>
      <c r="C41" s="215" t="str">
        <f>if(isError(vlookup(B41,'node-RE'!C:C, 1, FALSE)), "NO", "YES")</f>
        <v>NO</v>
      </c>
      <c r="D41" s="218"/>
      <c r="E41" s="218" t="s">
        <v>252</v>
      </c>
      <c r="F41" s="217" t="s">
        <v>458</v>
      </c>
      <c r="G41" s="219" t="s">
        <v>978</v>
      </c>
      <c r="H41" s="218"/>
      <c r="I41" s="218"/>
      <c r="J41" s="218" t="s">
        <v>161</v>
      </c>
      <c r="K41" s="215" t="str">
        <f>if(isError(vlookup(J41,'node-RE'!$C:$C, 1, FALSE)), "NO", "YES")</f>
        <v>NO</v>
      </c>
      <c r="L41" s="217"/>
      <c r="M41" s="217" t="s">
        <v>515</v>
      </c>
      <c r="N41" s="215" t="str">
        <f>if(isError(vlookup(M41,'node-RE'!$C:$C, 1, FALSE)), "NO", "YES")</f>
        <v>NO</v>
      </c>
    </row>
    <row r="42">
      <c r="A42" s="214" t="s">
        <v>258</v>
      </c>
      <c r="B42" s="215" t="s">
        <v>38</v>
      </c>
      <c r="C42" s="215" t="str">
        <f>if(isError(vlookup(B42,'node-RE'!C:C, 1, FALSE)), "NO", "YES")</f>
        <v>NO</v>
      </c>
      <c r="D42" s="218"/>
      <c r="E42" s="218" t="s">
        <v>122</v>
      </c>
      <c r="F42" s="217" t="s">
        <v>463</v>
      </c>
      <c r="G42" s="219" t="s">
        <v>978</v>
      </c>
      <c r="H42" s="218"/>
      <c r="I42" s="218"/>
      <c r="J42" s="218" t="s">
        <v>315</v>
      </c>
      <c r="K42" s="215" t="str">
        <f>if(isError(vlookup(J42,'node-RE'!$C:$C, 1, FALSE)), "NO", "YES")</f>
        <v>NO</v>
      </c>
      <c r="L42" s="217"/>
      <c r="M42" s="217" t="s">
        <v>517</v>
      </c>
      <c r="N42" s="215" t="str">
        <f>if(isError(vlookup(M42,'node-RE'!$C:$C, 1, FALSE)), "NO", "YES")</f>
        <v>NO</v>
      </c>
    </row>
    <row r="43">
      <c r="A43" s="214" t="s">
        <v>447</v>
      </c>
      <c r="B43" s="215" t="s">
        <v>81</v>
      </c>
      <c r="C43" s="215" t="str">
        <f>if(isError(vlookup(B43,'node-RE'!C:C, 1, FALSE)), "NO", "YES")</f>
        <v>NO</v>
      </c>
      <c r="D43" s="218"/>
      <c r="E43" s="218" t="s">
        <v>279</v>
      </c>
      <c r="F43" s="217" t="s">
        <v>464</v>
      </c>
      <c r="G43" s="219" t="s">
        <v>978</v>
      </c>
      <c r="H43" s="218"/>
      <c r="I43" s="218"/>
      <c r="J43" s="218" t="s">
        <v>326</v>
      </c>
      <c r="K43" s="215" t="str">
        <f>if(isError(vlookup(J43,'node-RE'!$C:$C, 1, FALSE)), "NO", "YES")</f>
        <v>NO</v>
      </c>
      <c r="L43" s="217"/>
      <c r="M43" s="217" t="s">
        <v>518</v>
      </c>
      <c r="N43" s="215" t="str">
        <f>if(isError(vlookup(M43,'node-RE'!$C:$C, 1, FALSE)), "NO", "YES")</f>
        <v>NO</v>
      </c>
    </row>
    <row r="44">
      <c r="A44" s="214" t="s">
        <v>114</v>
      </c>
      <c r="B44" s="215" t="s">
        <v>258</v>
      </c>
      <c r="C44" s="215" t="str">
        <f>if(isError(vlookup(B44,'node-RE'!C:C, 1, FALSE)), "NO", "YES")</f>
        <v>NO</v>
      </c>
      <c r="D44" s="218"/>
      <c r="E44" s="218" t="s">
        <v>285</v>
      </c>
      <c r="F44" s="217" t="s">
        <v>488</v>
      </c>
      <c r="G44" s="219" t="s">
        <v>978</v>
      </c>
      <c r="H44" s="218"/>
      <c r="I44" s="218"/>
      <c r="J44" s="218" t="s">
        <v>346</v>
      </c>
      <c r="K44" s="215" t="str">
        <f>if(isError(vlookup(J44,'node-RE'!$C:$C, 1, FALSE)), "NO", "YES")</f>
        <v>NO</v>
      </c>
      <c r="L44" s="217"/>
      <c r="M44" s="217" t="s">
        <v>456</v>
      </c>
      <c r="N44" s="215" t="str">
        <f>if(isError(vlookup(M44,'node-RE'!$C:$C, 1, FALSE)), "NO", "YES")</f>
        <v>NO</v>
      </c>
    </row>
    <row r="45">
      <c r="A45" s="214" t="s">
        <v>276</v>
      </c>
      <c r="B45" s="215" t="s">
        <v>447</v>
      </c>
      <c r="C45" s="215" t="str">
        <f>if(isError(vlookup(B45,'node-RE'!C:C, 1, FALSE)), "NO", "YES")</f>
        <v>NO</v>
      </c>
      <c r="D45" s="218"/>
      <c r="E45" s="218" t="s">
        <v>161</v>
      </c>
      <c r="F45" s="217" t="s">
        <v>509</v>
      </c>
      <c r="G45" s="219" t="s">
        <v>978</v>
      </c>
      <c r="H45" s="218"/>
      <c r="I45" s="218"/>
      <c r="J45" s="218" t="s">
        <v>61</v>
      </c>
      <c r="K45" s="215" t="str">
        <f>if(isError(vlookup(J45,'node-RE'!$C:$C, 1, FALSE)), "NO", "YES")</f>
        <v>NO</v>
      </c>
      <c r="L45" s="217"/>
      <c r="M45" s="217" t="s">
        <v>450</v>
      </c>
      <c r="N45" s="215" t="str">
        <f>if(isError(vlookup(M45,'node-RE'!$C:$C, 1, FALSE)), "NO", "YES")</f>
        <v>NO</v>
      </c>
    </row>
    <row r="46">
      <c r="A46" s="214" t="s">
        <v>427</v>
      </c>
      <c r="B46" s="215" t="s">
        <v>114</v>
      </c>
      <c r="C46" s="215" t="str">
        <f>if(isError(vlookup(B46,'node-RE'!C:C, 1, FALSE)), "NO", "YES")</f>
        <v>NO</v>
      </c>
      <c r="D46" s="218"/>
      <c r="E46" s="218" t="s">
        <v>315</v>
      </c>
      <c r="F46" s="217" t="s">
        <v>510</v>
      </c>
      <c r="G46" s="219" t="s">
        <v>978</v>
      </c>
      <c r="H46" s="218"/>
      <c r="I46" s="218"/>
      <c r="J46" s="218" t="s">
        <v>328</v>
      </c>
      <c r="K46" s="215" t="str">
        <f>if(isError(vlookup(J46,'node-RE'!$C:$C, 1, FALSE)), "NO", "YES")</f>
        <v>NO</v>
      </c>
      <c r="L46" s="217"/>
      <c r="M46" s="217" t="s">
        <v>506</v>
      </c>
      <c r="N46" s="215" t="str">
        <f>if(isError(vlookup(M46,'node-RE'!$C:$C, 1, FALSE)), "NO", "YES")</f>
        <v>NO</v>
      </c>
    </row>
    <row r="47">
      <c r="A47" s="214" t="s">
        <v>57</v>
      </c>
      <c r="B47" s="215" t="s">
        <v>276</v>
      </c>
      <c r="C47" s="215" t="str">
        <f>if(isError(vlookup(B47,'node-RE'!C:C, 1, FALSE)), "NO", "YES")</f>
        <v>NO</v>
      </c>
      <c r="D47" s="218"/>
      <c r="E47" s="218" t="s">
        <v>326</v>
      </c>
      <c r="F47" s="217" t="s">
        <v>511</v>
      </c>
      <c r="G47" s="219" t="s">
        <v>978</v>
      </c>
      <c r="H47" s="218"/>
      <c r="I47" s="218"/>
      <c r="J47" s="218" t="s">
        <v>50</v>
      </c>
      <c r="K47" s="215" t="str">
        <f>if(isError(vlookup(J47,'node-RE'!$C:$C, 1, FALSE)), "NO", "YES")</f>
        <v>NO</v>
      </c>
      <c r="L47" s="217"/>
      <c r="M47" s="217" t="s">
        <v>443</v>
      </c>
      <c r="N47" s="215" t="str">
        <f>if(isError(vlookup(M47,'node-RE'!$C:$C, 1, FALSE)), "NO", "YES")</f>
        <v>NO</v>
      </c>
    </row>
    <row r="48">
      <c r="A48" s="214" t="s">
        <v>252</v>
      </c>
      <c r="B48" s="215" t="s">
        <v>427</v>
      </c>
      <c r="C48" s="215" t="str">
        <f>if(isError(vlookup(B48,'node-RE'!C:C, 1, FALSE)), "NO", "YES")</f>
        <v>NO</v>
      </c>
      <c r="D48" s="218"/>
      <c r="E48" s="218" t="s">
        <v>346</v>
      </c>
      <c r="F48" s="217" t="s">
        <v>515</v>
      </c>
      <c r="G48" s="219" t="s">
        <v>978</v>
      </c>
      <c r="H48" s="218"/>
      <c r="I48" s="218"/>
      <c r="J48" s="218" t="s">
        <v>101</v>
      </c>
      <c r="K48" s="215" t="str">
        <f>if(isError(vlookup(J48,'node-RE'!$C:$C, 1, FALSE)), "NO", "YES")</f>
        <v>NO</v>
      </c>
      <c r="L48" s="217"/>
      <c r="M48" s="217" t="s">
        <v>477</v>
      </c>
      <c r="N48" s="215" t="str">
        <f>if(isError(vlookup(M48,'node-RE'!$C:$C, 1, FALSE)), "NO", "YES")</f>
        <v>NO</v>
      </c>
    </row>
    <row r="49">
      <c r="A49" s="214" t="s">
        <v>122</v>
      </c>
      <c r="B49" s="215" t="s">
        <v>57</v>
      </c>
      <c r="C49" s="215" t="str">
        <f>if(isError(vlookup(B49,'node-RE'!C:C, 1, FALSE)), "NO", "YES")</f>
        <v>NO</v>
      </c>
      <c r="D49" s="218"/>
      <c r="E49" s="218" t="s">
        <v>61</v>
      </c>
      <c r="F49" s="217" t="s">
        <v>517</v>
      </c>
      <c r="G49" s="219" t="s">
        <v>978</v>
      </c>
      <c r="H49" s="218"/>
      <c r="I49" s="218"/>
      <c r="J49" s="218" t="s">
        <v>199</v>
      </c>
      <c r="K49" s="215" t="str">
        <f>if(isError(vlookup(J49,'node-RE'!$C:$C, 1, FALSE)), "NO", "YES")</f>
        <v>NO</v>
      </c>
      <c r="L49" s="217"/>
      <c r="M49" s="217" t="s">
        <v>448</v>
      </c>
      <c r="N49" s="215" t="str">
        <f>if(isError(vlookup(M49,'node-RE'!$C:$C, 1, FALSE)), "NO", "YES")</f>
        <v>NO</v>
      </c>
    </row>
    <row r="50">
      <c r="A50" s="214" t="s">
        <v>279</v>
      </c>
      <c r="B50" s="215" t="s">
        <v>47</v>
      </c>
      <c r="C50" s="215" t="str">
        <f>if(isError(vlookup(B50,'node-RE'!C:C, 1, FALSE)), "NO", "YES")</f>
        <v>YES</v>
      </c>
      <c r="D50" s="218"/>
      <c r="E50" s="218" t="s">
        <v>328</v>
      </c>
      <c r="F50" s="217" t="s">
        <v>518</v>
      </c>
      <c r="G50" s="219" t="s">
        <v>978</v>
      </c>
      <c r="H50" s="218"/>
      <c r="I50" s="218"/>
      <c r="J50" s="218" t="s">
        <v>269</v>
      </c>
      <c r="K50" s="215" t="str">
        <f>if(isError(vlookup(J50,'node-RE'!$C:$C, 1, FALSE)), "NO", "YES")</f>
        <v>NO</v>
      </c>
      <c r="L50" s="217"/>
      <c r="M50" s="217" t="s">
        <v>504</v>
      </c>
      <c r="N50" s="215" t="str">
        <f>if(isError(vlookup(M50,'node-RE'!$C:$C, 1, FALSE)), "NO", "YES")</f>
        <v>NO</v>
      </c>
    </row>
    <row r="51">
      <c r="A51" s="214" t="s">
        <v>285</v>
      </c>
      <c r="B51" s="215" t="s">
        <v>252</v>
      </c>
      <c r="C51" s="215" t="str">
        <f>if(isError(vlookup(B51,'node-RE'!C:C, 1, FALSE)), "NO", "YES")</f>
        <v>NO</v>
      </c>
      <c r="D51" s="218"/>
      <c r="E51" s="218" t="s">
        <v>50</v>
      </c>
      <c r="F51" s="217" t="s">
        <v>211</v>
      </c>
      <c r="G51" s="219" t="s">
        <v>978</v>
      </c>
      <c r="H51" s="218"/>
      <c r="I51" s="218"/>
      <c r="J51" s="218" t="s">
        <v>151</v>
      </c>
      <c r="K51" s="215" t="str">
        <f>if(isError(vlookup(J51,'node-RE'!$C:$C, 1, FALSE)), "NO", "YES")</f>
        <v>NO</v>
      </c>
      <c r="L51" s="217"/>
      <c r="M51" s="217" t="s">
        <v>462</v>
      </c>
      <c r="N51" s="215" t="str">
        <f>if(isError(vlookup(M51,'node-RE'!$C:$C, 1, FALSE)), "NO", "YES")</f>
        <v>NO</v>
      </c>
    </row>
    <row r="52">
      <c r="A52" s="214" t="s">
        <v>161</v>
      </c>
      <c r="B52" s="215" t="s">
        <v>122</v>
      </c>
      <c r="C52" s="215" t="str">
        <f>if(isError(vlookup(B52,'node-RE'!C:C, 1, FALSE)), "NO", "YES")</f>
        <v>NO</v>
      </c>
      <c r="D52" s="218"/>
      <c r="E52" s="218" t="s">
        <v>101</v>
      </c>
      <c r="F52" s="217" t="s">
        <v>456</v>
      </c>
      <c r="G52" s="219" t="s">
        <v>978</v>
      </c>
      <c r="H52" s="218"/>
      <c r="I52" s="218"/>
      <c r="J52" s="218" t="s">
        <v>356</v>
      </c>
      <c r="K52" s="215" t="str">
        <f>if(isError(vlookup(J52,'node-RE'!$C:$C, 1, FALSE)), "NO", "YES")</f>
        <v>NO</v>
      </c>
      <c r="L52" s="217"/>
      <c r="M52" s="217" t="s">
        <v>508</v>
      </c>
      <c r="N52" s="215" t="str">
        <f>if(isError(vlookup(M52,'node-RE'!$C:$C, 1, FALSE)), "NO", "YES")</f>
        <v>NO</v>
      </c>
    </row>
    <row r="53">
      <c r="A53" s="214" t="s">
        <v>315</v>
      </c>
      <c r="B53" s="215" t="s">
        <v>279</v>
      </c>
      <c r="C53" s="215" t="str">
        <f>if(isError(vlookup(B53,'node-RE'!C:C, 1, FALSE)), "NO", "YES")</f>
        <v>NO</v>
      </c>
      <c r="D53" s="218"/>
      <c r="E53" s="218" t="s">
        <v>199</v>
      </c>
      <c r="F53" s="217" t="s">
        <v>450</v>
      </c>
      <c r="G53" s="219" t="s">
        <v>978</v>
      </c>
      <c r="H53" s="218"/>
      <c r="I53" s="218"/>
      <c r="J53" s="218" t="s">
        <v>194</v>
      </c>
      <c r="K53" s="215" t="str">
        <f>if(isError(vlookup(J53,'node-RE'!$C:$C, 1, FALSE)), "NO", "YES")</f>
        <v>NO</v>
      </c>
      <c r="L53" s="217"/>
      <c r="M53" s="217" t="s">
        <v>426</v>
      </c>
      <c r="N53" s="215" t="str">
        <f>if(isError(vlookup(M53,'node-RE'!$C:$C, 1, FALSE)), "NO", "YES")</f>
        <v>NO</v>
      </c>
    </row>
    <row r="54">
      <c r="A54" s="214" t="s">
        <v>326</v>
      </c>
      <c r="B54" s="215" t="s">
        <v>285</v>
      </c>
      <c r="C54" s="215" t="str">
        <f>if(isError(vlookup(B54,'node-RE'!C:C, 1, FALSE)), "NO", "YES")</f>
        <v>NO</v>
      </c>
      <c r="D54" s="218"/>
      <c r="E54" s="218" t="s">
        <v>269</v>
      </c>
      <c r="F54" s="217" t="s">
        <v>506</v>
      </c>
      <c r="G54" s="219" t="s">
        <v>978</v>
      </c>
      <c r="H54" s="218"/>
      <c r="I54" s="218"/>
      <c r="J54" s="218" t="s">
        <v>204</v>
      </c>
      <c r="K54" s="215" t="str">
        <f>if(isError(vlookup(J54,'node-RE'!$C:$C, 1, FALSE)), "NO", "YES")</f>
        <v>NO</v>
      </c>
      <c r="L54" s="217"/>
      <c r="M54" s="217" t="s">
        <v>444</v>
      </c>
      <c r="N54" s="215" t="str">
        <f>if(isError(vlookup(M54,'node-RE'!$C:$C, 1, FALSE)), "NO", "YES")</f>
        <v>NO</v>
      </c>
    </row>
    <row r="55">
      <c r="A55" s="214" t="s">
        <v>492</v>
      </c>
      <c r="B55" s="215" t="s">
        <v>161</v>
      </c>
      <c r="C55" s="215" t="str">
        <f>if(isError(vlookup(B55,'node-RE'!C:C, 1, FALSE)), "NO", "YES")</f>
        <v>NO</v>
      </c>
      <c r="D55" s="218"/>
      <c r="E55" s="218" t="s">
        <v>151</v>
      </c>
      <c r="F55" s="217" t="s">
        <v>443</v>
      </c>
      <c r="G55" s="219" t="s">
        <v>978</v>
      </c>
      <c r="H55" s="218"/>
      <c r="I55" s="218"/>
      <c r="J55" s="218" t="s">
        <v>133</v>
      </c>
      <c r="K55" s="215" t="str">
        <f>if(isError(vlookup(J55,'node-RE'!$C:$C, 1, FALSE)), "NO", "YES")</f>
        <v>NO</v>
      </c>
      <c r="L55" s="217"/>
      <c r="M55" s="217" t="s">
        <v>445</v>
      </c>
      <c r="N55" s="215" t="str">
        <f>if(isError(vlookup(M55,'node-RE'!$C:$C, 1, FALSE)), "NO", "YES")</f>
        <v>NO</v>
      </c>
    </row>
    <row r="56">
      <c r="A56" s="214" t="s">
        <v>449</v>
      </c>
      <c r="B56" s="215" t="s">
        <v>315</v>
      </c>
      <c r="C56" s="215" t="str">
        <f>if(isError(vlookup(B56,'node-RE'!C:C, 1, FALSE)), "NO", "YES")</f>
        <v>NO</v>
      </c>
      <c r="D56" s="218"/>
      <c r="E56" s="218" t="s">
        <v>356</v>
      </c>
      <c r="F56" s="217" t="s">
        <v>477</v>
      </c>
      <c r="G56" s="219" t="s">
        <v>978</v>
      </c>
      <c r="H56" s="218"/>
      <c r="I56" s="218"/>
      <c r="J56" s="218" t="s">
        <v>297</v>
      </c>
      <c r="K56" s="215" t="str">
        <f>if(isError(vlookup(J56,'node-RE'!$C:$C, 1, FALSE)), "NO", "YES")</f>
        <v>NO</v>
      </c>
      <c r="L56" s="217"/>
      <c r="M56" s="217" t="s">
        <v>436</v>
      </c>
      <c r="N56" s="215" t="str">
        <f>if(isError(vlookup(M56,'node-RE'!$C:$C, 1, FALSE)), "NO", "YES")</f>
        <v>NO</v>
      </c>
    </row>
    <row r="57">
      <c r="A57" s="214" t="s">
        <v>346</v>
      </c>
      <c r="B57" s="215" t="s">
        <v>326</v>
      </c>
      <c r="C57" s="215" t="str">
        <f>if(isError(vlookup(B57,'node-RE'!C:C, 1, FALSE)), "NO", "YES")</f>
        <v>NO</v>
      </c>
      <c r="D57" s="218"/>
      <c r="E57" s="218" t="s">
        <v>194</v>
      </c>
      <c r="F57" s="217" t="s">
        <v>278</v>
      </c>
      <c r="G57" s="219" t="s">
        <v>978</v>
      </c>
      <c r="H57" s="218"/>
      <c r="I57" s="218"/>
      <c r="J57" s="218" t="s">
        <v>217</v>
      </c>
      <c r="K57" s="215" t="str">
        <f>if(isError(vlookup(J57,'node-RE'!$C:$C, 1, FALSE)), "NO", "YES")</f>
        <v>NO</v>
      </c>
      <c r="L57" s="217"/>
      <c r="M57" s="217" t="s">
        <v>351</v>
      </c>
      <c r="N57" s="215" t="str">
        <f>if(isError(vlookup(M57,'node-RE'!$C:$C, 1, FALSE)), "NO", "YES")</f>
        <v>YES</v>
      </c>
    </row>
    <row r="58">
      <c r="A58" s="214" t="s">
        <v>61</v>
      </c>
      <c r="B58" s="215" t="s">
        <v>492</v>
      </c>
      <c r="C58" s="215" t="str">
        <f>if(isError(vlookup(B58,'node-RE'!C:C, 1, FALSE)), "NO", "YES")</f>
        <v>NO</v>
      </c>
      <c r="D58" s="218"/>
      <c r="E58" s="218" t="s">
        <v>204</v>
      </c>
      <c r="F58" s="217" t="s">
        <v>448</v>
      </c>
      <c r="G58" s="219" t="s">
        <v>978</v>
      </c>
      <c r="H58" s="218"/>
      <c r="I58" s="218"/>
      <c r="J58" s="218" t="s">
        <v>344</v>
      </c>
      <c r="K58" s="215" t="str">
        <f>if(isError(vlookup(J58,'node-RE'!$C:$C, 1, FALSE)), "NO", "YES")</f>
        <v>NO</v>
      </c>
      <c r="L58" s="217"/>
      <c r="M58" s="217" t="s">
        <v>479</v>
      </c>
      <c r="N58" s="215" t="str">
        <f>if(isError(vlookup(M58,'node-RE'!$C:$C, 1, FALSE)), "NO", "YES")</f>
        <v>NO</v>
      </c>
    </row>
    <row r="59">
      <c r="A59" s="214" t="s">
        <v>328</v>
      </c>
      <c r="B59" s="215" t="s">
        <v>449</v>
      </c>
      <c r="C59" s="215" t="str">
        <f>if(isError(vlookup(B59,'node-RE'!C:C, 1, FALSE)), "NO", "YES")</f>
        <v>NO</v>
      </c>
      <c r="D59" s="218"/>
      <c r="E59" s="218" t="s">
        <v>133</v>
      </c>
      <c r="F59" s="217" t="s">
        <v>504</v>
      </c>
      <c r="H59" s="218"/>
      <c r="I59" s="218"/>
      <c r="J59" s="218" t="s">
        <v>365</v>
      </c>
      <c r="K59" s="215" t="str">
        <f>if(isError(vlookup(J59,'node-RE'!$C:$C, 1, FALSE)), "NO", "YES")</f>
        <v>NO</v>
      </c>
      <c r="L59" s="218"/>
      <c r="M59" s="218"/>
      <c r="N59" s="218"/>
    </row>
    <row r="60">
      <c r="A60" s="214" t="s">
        <v>50</v>
      </c>
      <c r="B60" s="215" t="s">
        <v>346</v>
      </c>
      <c r="C60" s="215" t="str">
        <f>if(isError(vlookup(B60,'node-RE'!C:C, 1, FALSE)), "NO", "YES")</f>
        <v>NO</v>
      </c>
      <c r="D60" s="218"/>
      <c r="E60" s="218" t="s">
        <v>297</v>
      </c>
      <c r="F60" s="217" t="s">
        <v>462</v>
      </c>
      <c r="H60" s="218"/>
      <c r="I60" s="218"/>
      <c r="J60" s="218" t="s">
        <v>167</v>
      </c>
      <c r="K60" s="215" t="str">
        <f>if(isError(vlookup(J60,'node-RE'!$C:$C, 1, FALSE)), "NO", "YES")</f>
        <v>NO</v>
      </c>
      <c r="L60" s="218"/>
      <c r="M60" s="218"/>
      <c r="N60" s="218"/>
    </row>
    <row r="61">
      <c r="A61" s="214" t="s">
        <v>101</v>
      </c>
      <c r="B61" s="215" t="s">
        <v>61</v>
      </c>
      <c r="C61" s="215" t="str">
        <f>if(isError(vlookup(B61,'node-RE'!C:C, 1, FALSE)), "NO", "YES")</f>
        <v>NO</v>
      </c>
      <c r="D61" s="218"/>
      <c r="E61" s="218" t="s">
        <v>217</v>
      </c>
      <c r="F61" s="217" t="s">
        <v>508</v>
      </c>
      <c r="H61" s="218"/>
      <c r="I61" s="218"/>
      <c r="J61" s="218" t="s">
        <v>377</v>
      </c>
      <c r="K61" s="215" t="str">
        <f>if(isError(vlookup(J61,'node-RE'!$C:$C, 1, FALSE)), "NO", "YES")</f>
        <v>NO</v>
      </c>
      <c r="L61" s="218"/>
      <c r="M61" s="218"/>
      <c r="N61" s="218"/>
    </row>
    <row r="62">
      <c r="A62" s="214" t="s">
        <v>451</v>
      </c>
      <c r="B62" s="215" t="s">
        <v>328</v>
      </c>
      <c r="C62" s="215" t="str">
        <f>if(isError(vlookup(B62,'node-RE'!C:C, 1, FALSE)), "NO", "YES")</f>
        <v>NO</v>
      </c>
      <c r="D62" s="218"/>
      <c r="E62" s="218" t="s">
        <v>344</v>
      </c>
      <c r="F62" s="217" t="s">
        <v>426</v>
      </c>
      <c r="H62" s="218"/>
      <c r="I62" s="218"/>
      <c r="J62" s="218" t="s">
        <v>146</v>
      </c>
      <c r="K62" s="215" t="str">
        <f>if(isError(vlookup(J62,'node-RE'!$C:$C, 1, FALSE)), "NO", "YES")</f>
        <v>NO</v>
      </c>
      <c r="L62" s="217"/>
      <c r="M62" s="217"/>
      <c r="N62" s="217"/>
    </row>
    <row r="63">
      <c r="A63" s="214" t="s">
        <v>199</v>
      </c>
      <c r="B63" s="215" t="s">
        <v>50</v>
      </c>
      <c r="C63" s="215" t="str">
        <f>if(isError(vlookup(B63,'node-RE'!C:C, 1, FALSE)), "NO", "YES")</f>
        <v>NO</v>
      </c>
      <c r="D63" s="218"/>
      <c r="E63" s="218" t="s">
        <v>365</v>
      </c>
      <c r="F63" s="217" t="s">
        <v>444</v>
      </c>
      <c r="H63" s="218"/>
      <c r="I63" s="218"/>
      <c r="J63" s="218" t="s">
        <v>378</v>
      </c>
      <c r="K63" s="215" t="str">
        <f>if(isError(vlookup(J63,'node-RE'!$C:$C, 1, FALSE)), "NO", "YES")</f>
        <v>NO</v>
      </c>
      <c r="L63" s="217"/>
      <c r="M63" s="217"/>
      <c r="N63" s="217"/>
    </row>
    <row r="64">
      <c r="A64" s="214" t="s">
        <v>435</v>
      </c>
      <c r="B64" s="215" t="s">
        <v>101</v>
      </c>
      <c r="C64" s="215" t="str">
        <f>if(isError(vlookup(B64,'node-RE'!C:C, 1, FALSE)), "NO", "YES")</f>
        <v>NO</v>
      </c>
      <c r="D64" s="218"/>
      <c r="E64" s="218" t="s">
        <v>167</v>
      </c>
      <c r="F64" s="217" t="s">
        <v>445</v>
      </c>
      <c r="H64" s="218"/>
      <c r="I64" s="218"/>
      <c r="J64" s="218" t="s">
        <v>77</v>
      </c>
      <c r="K64" s="215" t="str">
        <f>if(isError(vlookup(J64,'node-RE'!$C:$C, 1, FALSE)), "NO", "YES")</f>
        <v>NO</v>
      </c>
      <c r="L64" s="218"/>
      <c r="M64" s="218"/>
      <c r="N64" s="218"/>
    </row>
    <row r="65">
      <c r="A65" s="214" t="s">
        <v>269</v>
      </c>
      <c r="B65" s="215" t="s">
        <v>451</v>
      </c>
      <c r="C65" s="215" t="str">
        <f>if(isError(vlookup(B65,'node-RE'!C:C, 1, FALSE)), "NO", "YES")</f>
        <v>NO</v>
      </c>
      <c r="D65" s="218"/>
      <c r="E65" s="218" t="s">
        <v>377</v>
      </c>
      <c r="F65" s="217" t="s">
        <v>436</v>
      </c>
      <c r="H65" s="218"/>
      <c r="I65" s="218"/>
      <c r="J65" s="218" t="s">
        <v>76</v>
      </c>
      <c r="K65" s="215" t="str">
        <f>if(isError(vlookup(J65,'node-RE'!$C:$C, 1, FALSE)), "NO", "YES")</f>
        <v>NO</v>
      </c>
      <c r="L65" s="218"/>
      <c r="M65" s="218"/>
      <c r="N65" s="218"/>
    </row>
    <row r="66">
      <c r="A66" s="214" t="s">
        <v>151</v>
      </c>
      <c r="B66" s="215" t="s">
        <v>199</v>
      </c>
      <c r="C66" s="215" t="str">
        <f>if(isError(vlookup(B66,'node-RE'!C:C, 1, FALSE)), "NO", "YES")</f>
        <v>NO</v>
      </c>
      <c r="D66" s="218"/>
      <c r="E66" s="218" t="s">
        <v>146</v>
      </c>
      <c r="F66" s="217" t="s">
        <v>37</v>
      </c>
      <c r="H66" s="218"/>
      <c r="I66" s="218"/>
      <c r="J66" s="218" t="s">
        <v>268</v>
      </c>
      <c r="K66" s="215" t="str">
        <f>if(isError(vlookup(J66,'node-RE'!$C:$C, 1, FALSE)), "NO", "YES")</f>
        <v>NO</v>
      </c>
      <c r="L66" s="218"/>
      <c r="M66" s="218"/>
      <c r="N66" s="218"/>
    </row>
    <row r="67">
      <c r="A67" s="214" t="s">
        <v>356</v>
      </c>
      <c r="B67" s="215" t="s">
        <v>435</v>
      </c>
      <c r="C67" s="215" t="str">
        <f>if(isError(vlookup(B67,'node-RE'!C:C, 1, FALSE)), "NO", "YES")</f>
        <v>NO</v>
      </c>
      <c r="D67" s="218"/>
      <c r="E67" s="218" t="s">
        <v>378</v>
      </c>
      <c r="F67" s="217" t="s">
        <v>277</v>
      </c>
      <c r="H67" s="218"/>
      <c r="I67" s="218"/>
      <c r="J67" s="218" t="s">
        <v>190</v>
      </c>
      <c r="K67" s="215" t="str">
        <f>if(isError(vlookup(J67,'node-RE'!$C:$C, 1, FALSE)), "NO", "YES")</f>
        <v>NO</v>
      </c>
      <c r="L67" s="218"/>
      <c r="M67" s="218"/>
      <c r="N67" s="218"/>
    </row>
    <row r="68">
      <c r="A68" s="214" t="s">
        <v>194</v>
      </c>
      <c r="B68" s="215" t="s">
        <v>269</v>
      </c>
      <c r="C68" s="215" t="str">
        <f>if(isError(vlookup(B68,'node-RE'!C:C, 1, FALSE)), "NO", "YES")</f>
        <v>NO</v>
      </c>
      <c r="D68" s="218"/>
      <c r="E68" s="218" t="s">
        <v>77</v>
      </c>
      <c r="F68" s="217" t="s">
        <v>351</v>
      </c>
      <c r="H68" s="218"/>
      <c r="I68" s="218"/>
      <c r="J68" s="218" t="s">
        <v>379</v>
      </c>
      <c r="K68" s="215" t="str">
        <f>if(isError(vlookup(J68,'node-RE'!$C:$C, 1, FALSE)), "NO", "YES")</f>
        <v>NO</v>
      </c>
      <c r="L68" s="218"/>
      <c r="M68" s="218"/>
      <c r="N68" s="218"/>
    </row>
    <row r="69">
      <c r="A69" s="214" t="s">
        <v>204</v>
      </c>
      <c r="B69" s="215" t="s">
        <v>151</v>
      </c>
      <c r="C69" s="215" t="str">
        <f>if(isError(vlookup(B69,'node-RE'!C:C, 1, FALSE)), "NO", "YES")</f>
        <v>NO</v>
      </c>
      <c r="D69" s="218"/>
      <c r="E69" s="218" t="s">
        <v>76</v>
      </c>
      <c r="F69" s="217" t="s">
        <v>231</v>
      </c>
      <c r="H69" s="218"/>
      <c r="I69" s="218"/>
      <c r="J69" s="218" t="s">
        <v>375</v>
      </c>
      <c r="K69" s="215" t="str">
        <f>if(isError(vlookup(J69,'node-RE'!$C:$C, 1, FALSE)), "NO", "YES")</f>
        <v>NO</v>
      </c>
      <c r="L69" s="217"/>
      <c r="M69" s="217"/>
      <c r="N69" s="217"/>
    </row>
    <row r="70">
      <c r="A70" s="214" t="s">
        <v>133</v>
      </c>
      <c r="B70" s="215" t="s">
        <v>356</v>
      </c>
      <c r="C70" s="215" t="str">
        <f>if(isError(vlookup(B70,'node-RE'!C:C, 1, FALSE)), "NO", "YES")</f>
        <v>NO</v>
      </c>
      <c r="D70" s="218"/>
      <c r="E70" s="218" t="s">
        <v>268</v>
      </c>
      <c r="F70" s="217" t="s">
        <v>44</v>
      </c>
      <c r="H70" s="218"/>
      <c r="I70" s="218"/>
      <c r="J70" s="218" t="s">
        <v>308</v>
      </c>
      <c r="K70" s="215" t="str">
        <f>if(isError(vlookup(J70,'node-RE'!$C:$C, 1, FALSE)), "NO", "YES")</f>
        <v>NO</v>
      </c>
      <c r="L70" s="218"/>
      <c r="M70" s="218"/>
      <c r="N70" s="218"/>
    </row>
    <row r="71">
      <c r="A71" s="214" t="s">
        <v>297</v>
      </c>
      <c r="B71" s="215" t="s">
        <v>194</v>
      </c>
      <c r="C71" s="215" t="str">
        <f>if(isError(vlookup(B71,'node-RE'!C:C, 1, FALSE)), "NO", "YES")</f>
        <v>NO</v>
      </c>
      <c r="D71" s="218"/>
      <c r="E71" s="218" t="s">
        <v>190</v>
      </c>
      <c r="F71" s="217" t="s">
        <v>479</v>
      </c>
      <c r="H71" s="218"/>
      <c r="I71" s="218"/>
      <c r="J71" s="218" t="s">
        <v>282</v>
      </c>
      <c r="K71" s="215" t="str">
        <f>if(isError(vlookup(J71,'node-RE'!$C:$C, 1, FALSE)), "NO", "YES")</f>
        <v>NO</v>
      </c>
      <c r="L71" s="217"/>
      <c r="M71" s="217"/>
      <c r="N71" s="217"/>
    </row>
    <row r="72">
      <c r="A72" s="214" t="s">
        <v>217</v>
      </c>
      <c r="B72" s="215" t="s">
        <v>204</v>
      </c>
      <c r="C72" s="215" t="str">
        <f>if(isError(vlookup(B72,'node-RE'!C:C, 1, FALSE)), "NO", "YES")</f>
        <v>NO</v>
      </c>
      <c r="D72" s="218"/>
      <c r="E72" s="218" t="s">
        <v>379</v>
      </c>
      <c r="F72" s="1"/>
      <c r="H72" s="218"/>
      <c r="I72" s="218"/>
      <c r="J72" s="218" t="s">
        <v>62</v>
      </c>
      <c r="K72" s="215" t="str">
        <f>if(isError(vlookup(J72,'node-RE'!$C:$C, 1, FALSE)), "NO", "YES")</f>
        <v>NO</v>
      </c>
      <c r="L72" s="218"/>
      <c r="M72" s="218"/>
      <c r="N72" s="218"/>
    </row>
    <row r="73">
      <c r="A73" s="214" t="s">
        <v>344</v>
      </c>
      <c r="B73" s="215" t="s">
        <v>133</v>
      </c>
      <c r="C73" s="215" t="str">
        <f>if(isError(vlookup(B73,'node-RE'!C:C, 1, FALSE)), "NO", "YES")</f>
        <v>NO</v>
      </c>
      <c r="D73" s="218"/>
      <c r="E73" s="218" t="s">
        <v>375</v>
      </c>
      <c r="F73" s="1"/>
      <c r="H73" s="218"/>
      <c r="I73" s="218"/>
      <c r="J73" s="218" t="s">
        <v>66</v>
      </c>
      <c r="K73" s="215" t="str">
        <f>if(isError(vlookup(J73,'node-RE'!$C:$C, 1, FALSE)), "NO", "YES")</f>
        <v>NO</v>
      </c>
      <c r="L73" s="218"/>
      <c r="M73" s="218"/>
      <c r="N73" s="218"/>
    </row>
    <row r="74">
      <c r="A74" s="214" t="s">
        <v>365</v>
      </c>
      <c r="B74" s="215" t="s">
        <v>297</v>
      </c>
      <c r="C74" s="215" t="str">
        <f>if(isError(vlookup(B74,'node-RE'!C:C, 1, FALSE)), "NO", "YES")</f>
        <v>NO</v>
      </c>
      <c r="D74" s="218"/>
      <c r="E74" s="218" t="s">
        <v>308</v>
      </c>
      <c r="F74" s="1"/>
      <c r="H74" s="218"/>
      <c r="I74" s="218"/>
      <c r="J74" s="218" t="s">
        <v>67</v>
      </c>
      <c r="K74" s="215" t="str">
        <f>if(isError(vlookup(J74,'node-RE'!$C:$C, 1, FALSE)), "NO", "YES")</f>
        <v>NO</v>
      </c>
      <c r="L74" s="218"/>
      <c r="M74" s="218"/>
      <c r="N74" s="218"/>
    </row>
    <row r="75">
      <c r="A75" s="214" t="s">
        <v>167</v>
      </c>
      <c r="B75" s="215" t="s">
        <v>217</v>
      </c>
      <c r="C75" s="215" t="str">
        <f>if(isError(vlookup(B75,'node-RE'!C:C, 1, FALSE)), "NO", "YES")</f>
        <v>NO</v>
      </c>
      <c r="D75" s="218"/>
      <c r="E75" s="218" t="s">
        <v>282</v>
      </c>
      <c r="F75" s="1"/>
      <c r="H75" s="218"/>
      <c r="I75" s="218"/>
      <c r="J75" s="218" t="s">
        <v>107</v>
      </c>
      <c r="K75" s="215" t="str">
        <f>if(isError(vlookup(J75,'node-RE'!$C:$C, 1, FALSE)), "NO", "YES")</f>
        <v>NO</v>
      </c>
      <c r="L75" s="218"/>
      <c r="M75" s="218"/>
      <c r="N75" s="218"/>
    </row>
    <row r="76">
      <c r="A76" s="214" t="s">
        <v>377</v>
      </c>
      <c r="B76" s="215" t="s">
        <v>118</v>
      </c>
      <c r="C76" s="215" t="str">
        <f>if(isError(vlookup(B76,'node-RE'!C:C, 1, FALSE)), "NO", "YES")</f>
        <v>YES</v>
      </c>
      <c r="D76" s="218"/>
      <c r="E76" s="218" t="s">
        <v>62</v>
      </c>
      <c r="F76" s="1"/>
      <c r="H76" s="218"/>
      <c r="I76" s="218"/>
      <c r="J76" s="218" t="s">
        <v>137</v>
      </c>
      <c r="K76" s="215" t="str">
        <f>if(isError(vlookup(J76,'node-RE'!$C:$C, 1, FALSE)), "NO", "YES")</f>
        <v>NO</v>
      </c>
      <c r="L76" s="218"/>
      <c r="M76" s="218"/>
      <c r="N76" s="218"/>
    </row>
    <row r="77">
      <c r="A77" s="214" t="s">
        <v>146</v>
      </c>
      <c r="B77" s="215" t="s">
        <v>344</v>
      </c>
      <c r="C77" s="215" t="str">
        <f>if(isError(vlookup(B77,'node-RE'!C:C, 1, FALSE)), "NO", "YES")</f>
        <v>NO</v>
      </c>
      <c r="D77" s="218"/>
      <c r="E77" s="218" t="s">
        <v>66</v>
      </c>
      <c r="F77" s="1"/>
      <c r="H77" s="218"/>
      <c r="I77" s="218"/>
      <c r="J77" s="218" t="s">
        <v>275</v>
      </c>
      <c r="K77" s="215" t="str">
        <f>if(isError(vlookup(J77,'node-RE'!$C:$C, 1, FALSE)), "NO", "YES")</f>
        <v>NO</v>
      </c>
      <c r="L77" s="218"/>
      <c r="M77" s="218"/>
      <c r="N77" s="218"/>
    </row>
    <row r="78">
      <c r="A78" s="214" t="s">
        <v>434</v>
      </c>
      <c r="B78" s="215" t="s">
        <v>365</v>
      </c>
      <c r="C78" s="215" t="str">
        <f>if(isError(vlookup(B78,'node-RE'!C:C, 1, FALSE)), "NO", "YES")</f>
        <v>NO</v>
      </c>
      <c r="D78" s="218"/>
      <c r="E78" s="218" t="s">
        <v>67</v>
      </c>
      <c r="F78" s="1"/>
      <c r="H78" s="218"/>
      <c r="I78" s="218"/>
      <c r="J78" s="218" t="s">
        <v>242</v>
      </c>
      <c r="K78" s="215" t="str">
        <f>if(isError(vlookup(J78,'node-RE'!$C:$C, 1, FALSE)), "NO", "YES")</f>
        <v>NO</v>
      </c>
      <c r="L78" s="218"/>
      <c r="M78" s="218"/>
      <c r="N78" s="218"/>
    </row>
    <row r="79">
      <c r="A79" s="214" t="s">
        <v>455</v>
      </c>
      <c r="B79" s="215" t="s">
        <v>167</v>
      </c>
      <c r="C79" s="215" t="str">
        <f>if(isError(vlookup(B79,'node-RE'!C:C, 1, FALSE)), "NO", "YES")</f>
        <v>NO</v>
      </c>
      <c r="D79" s="218"/>
      <c r="E79" s="218" t="s">
        <v>107</v>
      </c>
      <c r="F79" s="1"/>
      <c r="H79" s="218"/>
      <c r="I79" s="218"/>
      <c r="J79" s="218" t="s">
        <v>63</v>
      </c>
      <c r="K79" s="215" t="str">
        <f>if(isError(vlookup(J79,'node-RE'!$C:$C, 1, FALSE)), "NO", "YES")</f>
        <v>NO</v>
      </c>
      <c r="L79" s="218"/>
      <c r="M79" s="218"/>
      <c r="N79" s="218"/>
    </row>
    <row r="80">
      <c r="A80" s="214" t="s">
        <v>378</v>
      </c>
      <c r="B80" s="215" t="s">
        <v>377</v>
      </c>
      <c r="C80" s="215" t="str">
        <f>if(isError(vlookup(B80,'node-RE'!C:C, 1, FALSE)), "NO", "YES")</f>
        <v>NO</v>
      </c>
      <c r="D80" s="218"/>
      <c r="E80" s="218" t="s">
        <v>89</v>
      </c>
      <c r="F80" s="1"/>
      <c r="H80" s="218"/>
      <c r="I80" s="218"/>
      <c r="J80" s="218" t="s">
        <v>330</v>
      </c>
      <c r="K80" s="215" t="str">
        <f>if(isError(vlookup(J80,'node-RE'!$C:$C, 1, FALSE)), "NO", "YES")</f>
        <v>NO</v>
      </c>
      <c r="L80" s="217"/>
      <c r="M80" s="217"/>
      <c r="N80" s="217"/>
    </row>
    <row r="81">
      <c r="A81" s="214" t="s">
        <v>77</v>
      </c>
      <c r="B81" s="215" t="s">
        <v>146</v>
      </c>
      <c r="C81" s="215" t="str">
        <f>if(isError(vlookup(B81,'node-RE'!C:C, 1, FALSE)), "NO", "YES")</f>
        <v>NO</v>
      </c>
      <c r="D81" s="218"/>
      <c r="E81" s="218" t="s">
        <v>137</v>
      </c>
      <c r="F81" s="1"/>
      <c r="H81" s="218"/>
      <c r="I81" s="218"/>
      <c r="J81" s="218" t="s">
        <v>58</v>
      </c>
      <c r="K81" s="215" t="str">
        <f>if(isError(vlookup(J81,'node-RE'!$C:$C, 1, FALSE)), "NO", "YES")</f>
        <v>NO</v>
      </c>
      <c r="L81" s="218"/>
      <c r="M81" s="218"/>
      <c r="N81" s="218"/>
    </row>
    <row r="82">
      <c r="A82" s="214" t="s">
        <v>467</v>
      </c>
      <c r="B82" s="215" t="s">
        <v>434</v>
      </c>
      <c r="C82" s="215" t="str">
        <f>if(isError(vlookup(B82,'node-RE'!C:C, 1, FALSE)), "NO", "YES")</f>
        <v>NO</v>
      </c>
      <c r="D82" s="218"/>
      <c r="E82" s="218" t="s">
        <v>275</v>
      </c>
      <c r="F82" s="1"/>
      <c r="H82" s="218"/>
      <c r="I82" s="218"/>
      <c r="J82" s="218" t="s">
        <v>74</v>
      </c>
      <c r="K82" s="215" t="str">
        <f>if(isError(vlookup(J82,'node-RE'!$C:$C, 1, FALSE)), "NO", "YES")</f>
        <v>NO</v>
      </c>
      <c r="L82" s="218"/>
      <c r="M82" s="218"/>
      <c r="N82" s="218"/>
    </row>
    <row r="83">
      <c r="A83" s="214" t="s">
        <v>76</v>
      </c>
      <c r="B83" s="215" t="s">
        <v>455</v>
      </c>
      <c r="C83" s="215" t="str">
        <f>if(isError(vlookup(B83,'node-RE'!C:C, 1, FALSE)), "NO", "YES")</f>
        <v>NO</v>
      </c>
      <c r="D83" s="218"/>
      <c r="E83" s="218" t="s">
        <v>242</v>
      </c>
      <c r="F83" s="1"/>
      <c r="H83" s="218"/>
      <c r="I83" s="218"/>
      <c r="J83" s="218" t="s">
        <v>123</v>
      </c>
      <c r="K83" s="215" t="str">
        <f>if(isError(vlookup(J83,'node-RE'!$C:$C, 1, FALSE)), "NO", "YES")</f>
        <v>NO</v>
      </c>
      <c r="L83" s="218"/>
      <c r="M83" s="218"/>
      <c r="N83" s="218"/>
    </row>
    <row r="84">
      <c r="A84" s="214" t="s">
        <v>268</v>
      </c>
      <c r="B84" s="215" t="s">
        <v>378</v>
      </c>
      <c r="C84" s="215" t="str">
        <f>if(isError(vlookup(B84,'node-RE'!C:C, 1, FALSE)), "NO", "YES")</f>
        <v>NO</v>
      </c>
      <c r="D84" s="218"/>
      <c r="E84" s="218" t="s">
        <v>63</v>
      </c>
      <c r="F84" s="1"/>
      <c r="H84" s="218"/>
      <c r="I84" s="218"/>
      <c r="J84" s="218" t="s">
        <v>79</v>
      </c>
      <c r="K84" s="215" t="str">
        <f>if(isError(vlookup(J84,'node-RE'!$C:$C, 1, FALSE)), "NO", "YES")</f>
        <v>NO</v>
      </c>
      <c r="L84" s="218"/>
      <c r="M84" s="218"/>
      <c r="N84" s="218"/>
    </row>
    <row r="85">
      <c r="A85" s="214" t="s">
        <v>190</v>
      </c>
      <c r="B85" s="215" t="s">
        <v>77</v>
      </c>
      <c r="C85" s="215" t="str">
        <f>if(isError(vlookup(B85,'node-RE'!C:C, 1, FALSE)), "NO", "YES")</f>
        <v>NO</v>
      </c>
      <c r="D85" s="218"/>
      <c r="E85" s="218" t="s">
        <v>330</v>
      </c>
      <c r="F85" s="1"/>
      <c r="H85" s="218"/>
      <c r="I85" s="218"/>
      <c r="J85" s="218" t="s">
        <v>324</v>
      </c>
      <c r="K85" s="215" t="str">
        <f>if(isError(vlookup(J85,'node-RE'!$C:$C, 1, FALSE)), "NO", "YES")</f>
        <v>NO</v>
      </c>
      <c r="L85" s="218"/>
      <c r="M85" s="218"/>
      <c r="N85" s="218"/>
    </row>
    <row r="86">
      <c r="A86" s="214" t="s">
        <v>437</v>
      </c>
      <c r="B86" s="215" t="s">
        <v>467</v>
      </c>
      <c r="C86" s="215" t="str">
        <f>if(isError(vlookup(B86,'node-RE'!C:C, 1, FALSE)), "NO", "YES")</f>
        <v>NO</v>
      </c>
      <c r="D86" s="218"/>
      <c r="E86" s="218" t="s">
        <v>58</v>
      </c>
      <c r="F86" s="1"/>
      <c r="H86" s="218"/>
      <c r="I86" s="218"/>
      <c r="J86" s="218" t="s">
        <v>288</v>
      </c>
      <c r="K86" s="215" t="str">
        <f>if(isError(vlookup(J86,'node-RE'!$C:$C, 1, FALSE)), "NO", "YES")</f>
        <v>NO</v>
      </c>
      <c r="L86" s="217"/>
      <c r="M86" s="217"/>
      <c r="N86" s="217"/>
    </row>
    <row r="87">
      <c r="A87" s="214" t="s">
        <v>379</v>
      </c>
      <c r="B87" s="215" t="s">
        <v>76</v>
      </c>
      <c r="C87" s="215" t="str">
        <f>if(isError(vlookup(B87,'node-RE'!C:C, 1, FALSE)), "NO", "YES")</f>
        <v>NO</v>
      </c>
      <c r="D87" s="218"/>
      <c r="E87" s="218" t="s">
        <v>74</v>
      </c>
      <c r="F87" s="1"/>
      <c r="H87" s="218"/>
      <c r="I87" s="218"/>
      <c r="J87" s="218" t="s">
        <v>350</v>
      </c>
      <c r="K87" s="215" t="str">
        <f>if(isError(vlookup(J87,'node-RE'!$C:$C, 1, FALSE)), "NO", "YES")</f>
        <v>NO</v>
      </c>
      <c r="L87" s="217"/>
      <c r="M87" s="217"/>
      <c r="N87" s="217"/>
    </row>
    <row r="88">
      <c r="A88" s="214" t="s">
        <v>375</v>
      </c>
      <c r="B88" s="215" t="s">
        <v>268</v>
      </c>
      <c r="C88" s="215" t="str">
        <f>if(isError(vlookup(B88,'node-RE'!C:C, 1, FALSE)), "NO", "YES")</f>
        <v>NO</v>
      </c>
      <c r="D88" s="218"/>
      <c r="E88" s="218" t="s">
        <v>123</v>
      </c>
      <c r="F88" s="1"/>
      <c r="H88" s="218"/>
      <c r="I88" s="218"/>
      <c r="J88" s="218" t="s">
        <v>126</v>
      </c>
      <c r="K88" s="215" t="str">
        <f>if(isError(vlookup(J88,'node-RE'!$C:$C, 1, FALSE)), "NO", "YES")</f>
        <v>NO</v>
      </c>
      <c r="L88" s="218"/>
      <c r="M88" s="218"/>
      <c r="N88" s="218"/>
    </row>
    <row r="89">
      <c r="A89" s="214" t="s">
        <v>308</v>
      </c>
      <c r="B89" s="215" t="s">
        <v>190</v>
      </c>
      <c r="C89" s="215" t="str">
        <f>if(isError(vlookup(B89,'node-RE'!C:C, 1, FALSE)), "NO", "YES")</f>
        <v>NO</v>
      </c>
      <c r="D89" s="218"/>
      <c r="E89" s="218" t="s">
        <v>79</v>
      </c>
      <c r="F89" s="1"/>
      <c r="H89" s="218"/>
      <c r="I89" s="218"/>
      <c r="J89" s="218" t="s">
        <v>303</v>
      </c>
      <c r="K89" s="215" t="str">
        <f>if(isError(vlookup(J89,'node-RE'!$C:$C, 1, FALSE)), "NO", "YES")</f>
        <v>NO</v>
      </c>
      <c r="L89" s="218"/>
      <c r="M89" s="218"/>
      <c r="N89" s="218"/>
    </row>
    <row r="90">
      <c r="A90" s="214" t="s">
        <v>529</v>
      </c>
      <c r="B90" s="215" t="s">
        <v>437</v>
      </c>
      <c r="C90" s="215" t="str">
        <f>if(isError(vlookup(B90,'node-RE'!C:C, 1, FALSE)), "NO", "YES")</f>
        <v>NO</v>
      </c>
      <c r="D90" s="218"/>
      <c r="E90" s="218" t="s">
        <v>200</v>
      </c>
      <c r="F90" s="1"/>
      <c r="H90" s="218"/>
      <c r="I90" s="218"/>
      <c r="J90" s="218" t="s">
        <v>402</v>
      </c>
      <c r="K90" s="215" t="str">
        <f>if(isError(vlookup(J90,'node-RE'!$C:$C, 1, FALSE)), "NO", "YES")</f>
        <v>NO</v>
      </c>
      <c r="L90" s="217"/>
      <c r="M90" s="217"/>
      <c r="N90" s="217"/>
    </row>
    <row r="91">
      <c r="A91" s="214" t="s">
        <v>282</v>
      </c>
      <c r="B91" s="215" t="s">
        <v>379</v>
      </c>
      <c r="C91" s="215" t="str">
        <f>if(isError(vlookup(B91,'node-RE'!C:C, 1, FALSE)), "NO", "YES")</f>
        <v>NO</v>
      </c>
      <c r="D91" s="218"/>
      <c r="E91" s="218" t="s">
        <v>324</v>
      </c>
      <c r="F91" s="1"/>
      <c r="H91" s="218"/>
      <c r="I91" s="218"/>
      <c r="J91" s="218" t="s">
        <v>189</v>
      </c>
      <c r="K91" s="215" t="str">
        <f>if(isError(vlookup(J91,'node-RE'!$C:$C, 1, FALSE)), "NO", "YES")</f>
        <v>NO</v>
      </c>
      <c r="L91" s="218"/>
      <c r="M91" s="218"/>
      <c r="N91" s="218"/>
    </row>
    <row r="92">
      <c r="A92" s="214" t="s">
        <v>453</v>
      </c>
      <c r="B92" s="215" t="s">
        <v>375</v>
      </c>
      <c r="C92" s="215" t="str">
        <f>if(isError(vlookup(B92,'node-RE'!C:C, 1, FALSE)), "NO", "YES")</f>
        <v>NO</v>
      </c>
      <c r="D92" s="218"/>
      <c r="E92" s="218" t="s">
        <v>288</v>
      </c>
      <c r="F92" s="1"/>
      <c r="H92" s="218"/>
      <c r="I92" s="218"/>
      <c r="J92" s="218" t="s">
        <v>179</v>
      </c>
      <c r="K92" s="215" t="str">
        <f>if(isError(vlookup(J92,'node-RE'!$C:$C, 1, FALSE)), "NO", "YES")</f>
        <v>NO</v>
      </c>
      <c r="L92" s="218"/>
      <c r="M92" s="218"/>
      <c r="N92" s="218"/>
    </row>
    <row r="93">
      <c r="A93" s="214" t="s">
        <v>62</v>
      </c>
      <c r="B93" s="215" t="s">
        <v>308</v>
      </c>
      <c r="C93" s="215" t="str">
        <f>if(isError(vlookup(B93,'node-RE'!C:C, 1, FALSE)), "NO", "YES")</f>
        <v>NO</v>
      </c>
      <c r="D93" s="218"/>
      <c r="E93" s="218" t="s">
        <v>350</v>
      </c>
      <c r="F93" s="1"/>
      <c r="H93" s="218"/>
      <c r="I93" s="218"/>
      <c r="J93" s="218" t="s">
        <v>362</v>
      </c>
      <c r="K93" s="215" t="str">
        <f>if(isError(vlookup(J93,'node-RE'!$C:$C, 1, FALSE)), "NO", "YES")</f>
        <v>NO</v>
      </c>
      <c r="L93" s="218"/>
      <c r="M93" s="218"/>
      <c r="N93" s="218"/>
    </row>
    <row r="94">
      <c r="A94" s="214" t="s">
        <v>66</v>
      </c>
      <c r="B94" s="215" t="s">
        <v>529</v>
      </c>
      <c r="C94" s="215" t="str">
        <f>if(isError(vlookup(B94,'node-RE'!C:C, 1, FALSE)), "NO", "YES")</f>
        <v>NO</v>
      </c>
      <c r="D94" s="218"/>
      <c r="E94" s="218" t="s">
        <v>126</v>
      </c>
      <c r="F94" s="1"/>
      <c r="H94" s="218"/>
      <c r="I94" s="218"/>
      <c r="J94" s="218" t="s">
        <v>191</v>
      </c>
      <c r="K94" s="215" t="str">
        <f>if(isError(vlookup(J94,'node-RE'!$C:$C, 1, FALSE)), "NO", "YES")</f>
        <v>NO</v>
      </c>
      <c r="L94" s="217"/>
      <c r="M94" s="217"/>
      <c r="N94" s="217"/>
    </row>
    <row r="95">
      <c r="A95" s="214" t="s">
        <v>67</v>
      </c>
      <c r="B95" s="215" t="s">
        <v>282</v>
      </c>
      <c r="C95" s="215" t="str">
        <f>if(isError(vlookup(B95,'node-RE'!C:C, 1, FALSE)), "NO", "YES")</f>
        <v>NO</v>
      </c>
      <c r="D95" s="218"/>
      <c r="E95" s="218" t="s">
        <v>303</v>
      </c>
      <c r="F95" s="1"/>
      <c r="H95" s="218"/>
      <c r="I95" s="218"/>
      <c r="J95" s="218" t="s">
        <v>341</v>
      </c>
      <c r="K95" s="215" t="str">
        <f>if(isError(vlookup(J95,'node-RE'!$C:$C, 1, FALSE)), "NO", "YES")</f>
        <v>NO</v>
      </c>
      <c r="L95" s="218"/>
      <c r="M95" s="218"/>
      <c r="N95" s="218"/>
    </row>
    <row r="96">
      <c r="A96" s="214" t="s">
        <v>107</v>
      </c>
      <c r="B96" s="215" t="s">
        <v>453</v>
      </c>
      <c r="C96" s="215" t="str">
        <f>if(isError(vlookup(B96,'node-RE'!C:C, 1, FALSE)), "NO", "YES")</f>
        <v>NO</v>
      </c>
      <c r="D96" s="218"/>
      <c r="E96" s="218" t="s">
        <v>212</v>
      </c>
      <c r="F96" s="1"/>
      <c r="H96" s="218"/>
      <c r="I96" s="218"/>
      <c r="J96" s="218" t="s">
        <v>82</v>
      </c>
      <c r="K96" s="215" t="str">
        <f>if(isError(vlookup(J96,'node-RE'!$C:$C, 1, FALSE)), "NO", "YES")</f>
        <v>NO</v>
      </c>
      <c r="L96" s="218"/>
      <c r="M96" s="218"/>
      <c r="N96" s="218"/>
    </row>
    <row r="97">
      <c r="A97" s="214" t="s">
        <v>89</v>
      </c>
      <c r="B97" s="215" t="s">
        <v>62</v>
      </c>
      <c r="C97" s="215" t="str">
        <f>if(isError(vlookup(B97,'node-RE'!C:C, 1, FALSE)), "NO", "YES")</f>
        <v>NO</v>
      </c>
      <c r="D97" s="218"/>
      <c r="E97" s="218" t="s">
        <v>402</v>
      </c>
      <c r="F97" s="1"/>
      <c r="H97" s="218"/>
      <c r="I97" s="218"/>
      <c r="J97" s="218" t="s">
        <v>264</v>
      </c>
      <c r="K97" s="215" t="str">
        <f>if(isError(vlookup(J97,'node-RE'!$C:$C, 1, FALSE)), "NO", "YES")</f>
        <v>NO</v>
      </c>
      <c r="L97" s="218"/>
      <c r="M97" s="218"/>
      <c r="N97" s="218"/>
    </row>
    <row r="98">
      <c r="A98" s="214" t="s">
        <v>137</v>
      </c>
      <c r="B98" s="215" t="s">
        <v>66</v>
      </c>
      <c r="C98" s="215" t="str">
        <f>if(isError(vlookup(B98,'node-RE'!C:C, 1, FALSE)), "NO", "YES")</f>
        <v>NO</v>
      </c>
      <c r="D98" s="218"/>
      <c r="E98" s="218" t="s">
        <v>189</v>
      </c>
      <c r="F98" s="1"/>
      <c r="H98" s="218"/>
      <c r="I98" s="218"/>
      <c r="J98" s="218" t="s">
        <v>213</v>
      </c>
      <c r="K98" s="215" t="str">
        <f>if(isError(vlookup(J98,'node-RE'!$C:$C, 1, FALSE)), "NO", "YES")</f>
        <v>NO</v>
      </c>
      <c r="L98" s="217"/>
      <c r="M98" s="217"/>
      <c r="N98" s="217"/>
    </row>
    <row r="99">
      <c r="A99" s="214" t="s">
        <v>275</v>
      </c>
      <c r="B99" s="215" t="s">
        <v>67</v>
      </c>
      <c r="C99" s="215" t="str">
        <f>if(isError(vlookup(B99,'node-RE'!C:C, 1, FALSE)), "NO", "YES")</f>
        <v>NO</v>
      </c>
      <c r="D99" s="218"/>
      <c r="E99" s="218" t="s">
        <v>179</v>
      </c>
      <c r="F99" s="1"/>
      <c r="H99" s="218"/>
      <c r="I99" s="218"/>
      <c r="J99" s="218" t="s">
        <v>83</v>
      </c>
      <c r="K99" s="215" t="str">
        <f>if(isError(vlookup(J99,'node-RE'!$C:$C, 1, FALSE)), "NO", "YES")</f>
        <v>NO</v>
      </c>
      <c r="L99" s="218"/>
      <c r="M99" s="218"/>
      <c r="N99" s="218"/>
    </row>
    <row r="100">
      <c r="A100" s="214" t="s">
        <v>242</v>
      </c>
      <c r="B100" s="215" t="s">
        <v>107</v>
      </c>
      <c r="C100" s="215" t="str">
        <f>if(isError(vlookup(B100,'node-RE'!C:C, 1, FALSE)), "NO", "YES")</f>
        <v>NO</v>
      </c>
      <c r="D100" s="218"/>
      <c r="E100" s="218" t="s">
        <v>362</v>
      </c>
      <c r="F100" s="1"/>
      <c r="H100" s="218"/>
      <c r="I100" s="218"/>
      <c r="J100" s="218" t="s">
        <v>64</v>
      </c>
      <c r="K100" s="215" t="str">
        <f>if(isError(vlookup(J100,'node-RE'!$C:$C, 1, FALSE)), "NO", "YES")</f>
        <v>NO</v>
      </c>
      <c r="L100" s="217"/>
      <c r="M100" s="217"/>
      <c r="N100" s="217"/>
    </row>
    <row r="101">
      <c r="A101" s="214" t="s">
        <v>63</v>
      </c>
      <c r="B101" s="215" t="s">
        <v>89</v>
      </c>
      <c r="C101" s="215" t="str">
        <f>if(isError(vlookup(B101,'node-RE'!C:C, 1, FALSE)), "NO", "YES")</f>
        <v>NO</v>
      </c>
      <c r="D101" s="218"/>
      <c r="E101" s="218" t="s">
        <v>191</v>
      </c>
      <c r="F101" s="1"/>
      <c r="H101" s="218"/>
      <c r="I101" s="218"/>
      <c r="J101" s="218" t="s">
        <v>171</v>
      </c>
      <c r="K101" s="215" t="str">
        <f>if(isError(vlookup(J101,'node-RE'!$C:$C, 1, FALSE)), "NO", "YES")</f>
        <v>NO</v>
      </c>
      <c r="L101" s="218"/>
      <c r="M101" s="218"/>
      <c r="N101" s="218"/>
    </row>
    <row r="102">
      <c r="A102" s="214" t="s">
        <v>330</v>
      </c>
      <c r="B102" s="215" t="s">
        <v>137</v>
      </c>
      <c r="C102" s="215" t="str">
        <f>if(isError(vlookup(B102,'node-RE'!C:C, 1, FALSE)), "NO", "YES")</f>
        <v>NO</v>
      </c>
      <c r="D102" s="218"/>
      <c r="E102" s="218" t="s">
        <v>341</v>
      </c>
      <c r="F102" s="1"/>
      <c r="H102" s="218"/>
      <c r="I102" s="218"/>
      <c r="J102" s="218" t="s">
        <v>39</v>
      </c>
      <c r="K102" s="215" t="str">
        <f>if(isError(vlookup(J102,'node-RE'!$C:$C, 1, FALSE)), "NO", "YES")</f>
        <v>NO</v>
      </c>
      <c r="L102" s="218"/>
      <c r="M102" s="218"/>
      <c r="N102" s="218"/>
    </row>
    <row r="103">
      <c r="A103" s="214" t="s">
        <v>58</v>
      </c>
      <c r="B103" s="215" t="s">
        <v>275</v>
      </c>
      <c r="C103" s="215" t="str">
        <f>if(isError(vlookup(B103,'node-RE'!C:C, 1, FALSE)), "NO", "YES")</f>
        <v>NO</v>
      </c>
      <c r="D103" s="218"/>
      <c r="E103" s="218" t="s">
        <v>82</v>
      </c>
      <c r="F103" s="1"/>
      <c r="H103" s="218"/>
      <c r="I103" s="218"/>
      <c r="J103" s="218" t="s">
        <v>91</v>
      </c>
      <c r="K103" s="215" t="str">
        <f>if(isError(vlookup(J103,'node-RE'!$C:$C, 1, FALSE)), "NO", "YES")</f>
        <v>NO</v>
      </c>
      <c r="L103" s="218"/>
      <c r="M103" s="218"/>
      <c r="N103" s="218"/>
    </row>
    <row r="104">
      <c r="A104" s="214" t="s">
        <v>446</v>
      </c>
      <c r="B104" s="215" t="s">
        <v>242</v>
      </c>
      <c r="C104" s="215" t="str">
        <f>if(isError(vlookup(B104,'node-RE'!C:C, 1, FALSE)), "NO", "YES")</f>
        <v>NO</v>
      </c>
      <c r="D104" s="218"/>
      <c r="E104" s="218" t="s">
        <v>264</v>
      </c>
      <c r="F104" s="1"/>
      <c r="H104" s="218"/>
      <c r="I104" s="218"/>
      <c r="J104" s="218" t="s">
        <v>41</v>
      </c>
      <c r="K104" s="215" t="str">
        <f>if(isError(vlookup(J104,'node-RE'!$C:$C, 1, FALSE)), "NO", "YES")</f>
        <v>NO</v>
      </c>
      <c r="L104" s="218"/>
      <c r="M104" s="218"/>
      <c r="N104" s="218"/>
    </row>
    <row r="105">
      <c r="A105" s="214" t="s">
        <v>74</v>
      </c>
      <c r="B105" s="215" t="s">
        <v>63</v>
      </c>
      <c r="C105" s="215" t="str">
        <f>if(isError(vlookup(B105,'node-RE'!C:C, 1, FALSE)), "NO", "YES")</f>
        <v>NO</v>
      </c>
      <c r="D105" s="218"/>
      <c r="E105" s="218" t="s">
        <v>213</v>
      </c>
      <c r="F105" s="1"/>
      <c r="H105" s="218"/>
      <c r="I105" s="218"/>
      <c r="J105" s="218" t="s">
        <v>105</v>
      </c>
      <c r="K105" s="215" t="str">
        <f>if(isError(vlookup(J105,'node-RE'!$C:$C, 1, FALSE)), "NO", "YES")</f>
        <v>NO</v>
      </c>
      <c r="L105" s="218"/>
      <c r="M105" s="218"/>
      <c r="N105" s="218"/>
    </row>
    <row r="106">
      <c r="A106" s="214" t="s">
        <v>123</v>
      </c>
      <c r="B106" s="215" t="s">
        <v>330</v>
      </c>
      <c r="C106" s="215" t="str">
        <f>if(isError(vlookup(B106,'node-RE'!C:C, 1, FALSE)), "NO", "YES")</f>
        <v>NO</v>
      </c>
      <c r="D106" s="218"/>
      <c r="E106" s="218" t="s">
        <v>83</v>
      </c>
      <c r="F106" s="1"/>
      <c r="H106" s="218"/>
      <c r="I106" s="218"/>
      <c r="J106" s="218" t="s">
        <v>343</v>
      </c>
      <c r="K106" s="215" t="str">
        <f>if(isError(vlookup(J106,'node-RE'!$C:$C, 1, FALSE)), "NO", "YES")</f>
        <v>NO</v>
      </c>
      <c r="L106" s="217"/>
      <c r="M106" s="217"/>
      <c r="N106" s="217"/>
    </row>
    <row r="107">
      <c r="A107" s="214" t="s">
        <v>79</v>
      </c>
      <c r="B107" s="215" t="s">
        <v>58</v>
      </c>
      <c r="C107" s="215" t="str">
        <f>if(isError(vlookup(B107,'node-RE'!C:C, 1, FALSE)), "NO", "YES")</f>
        <v>NO</v>
      </c>
      <c r="D107" s="218"/>
      <c r="E107" s="218" t="s">
        <v>64</v>
      </c>
      <c r="F107" s="1"/>
      <c r="H107" s="218"/>
      <c r="I107" s="218"/>
      <c r="J107" s="218" t="s">
        <v>142</v>
      </c>
      <c r="K107" s="215" t="str">
        <f>if(isError(vlookup(J107,'node-RE'!$C:$C, 1, FALSE)), "NO", "YES")</f>
        <v>NO</v>
      </c>
      <c r="L107" s="218"/>
      <c r="M107" s="218"/>
      <c r="N107" s="218"/>
    </row>
    <row r="108">
      <c r="A108" s="214" t="s">
        <v>480</v>
      </c>
      <c r="B108" s="215" t="s">
        <v>446</v>
      </c>
      <c r="C108" s="215" t="str">
        <f>if(isError(vlookup(B108,'node-RE'!C:C, 1, FALSE)), "NO", "YES")</f>
        <v>NO</v>
      </c>
      <c r="D108" s="218"/>
      <c r="E108" s="218" t="s">
        <v>171</v>
      </c>
      <c r="F108" s="1"/>
      <c r="H108" s="218"/>
      <c r="I108" s="218"/>
      <c r="J108" s="218" t="s">
        <v>60</v>
      </c>
      <c r="K108" s="215" t="str">
        <f>if(isError(vlookup(J108,'node-RE'!$C:$C, 1, FALSE)), "NO", "YES")</f>
        <v>NO</v>
      </c>
      <c r="L108" s="218"/>
      <c r="M108" s="218"/>
      <c r="N108" s="218"/>
    </row>
    <row r="109">
      <c r="A109" s="214" t="s">
        <v>324</v>
      </c>
      <c r="B109" s="215" t="s">
        <v>74</v>
      </c>
      <c r="C109" s="215" t="str">
        <f>if(isError(vlookup(B109,'node-RE'!C:C, 1, FALSE)), "NO", "YES")</f>
        <v>NO</v>
      </c>
      <c r="D109" s="218"/>
      <c r="E109" s="218" t="s">
        <v>39</v>
      </c>
      <c r="F109" s="1"/>
      <c r="H109" s="218"/>
      <c r="I109" s="218"/>
      <c r="J109" s="218" t="s">
        <v>347</v>
      </c>
      <c r="K109" s="215" t="str">
        <f>if(isError(vlookup(J109,'node-RE'!$C:$C, 1, FALSE)), "NO", "YES")</f>
        <v>NO</v>
      </c>
      <c r="L109" s="218"/>
      <c r="M109" s="218"/>
      <c r="N109" s="218"/>
    </row>
    <row r="110">
      <c r="A110" s="214" t="s">
        <v>288</v>
      </c>
      <c r="B110" s="215" t="s">
        <v>123</v>
      </c>
      <c r="C110" s="215" t="str">
        <f>if(isError(vlookup(B110,'node-RE'!C:C, 1, FALSE)), "NO", "YES")</f>
        <v>NO</v>
      </c>
      <c r="D110" s="218"/>
      <c r="E110" s="218" t="s">
        <v>91</v>
      </c>
      <c r="F110" s="1"/>
      <c r="H110" s="218"/>
      <c r="I110" s="218"/>
      <c r="J110" s="218" t="s">
        <v>302</v>
      </c>
      <c r="K110" s="215" t="str">
        <f>if(isError(vlookup(J110,'node-RE'!$C:$C, 1, FALSE)), "NO", "YES")</f>
        <v>NO</v>
      </c>
      <c r="L110" s="218"/>
      <c r="M110" s="218"/>
      <c r="N110" s="218"/>
    </row>
    <row r="111">
      <c r="A111" s="214" t="s">
        <v>350</v>
      </c>
      <c r="B111" s="215" t="s">
        <v>79</v>
      </c>
      <c r="C111" s="215" t="str">
        <f>if(isError(vlookup(B111,'node-RE'!C:C, 1, FALSE)), "NO", "YES")</f>
        <v>NO</v>
      </c>
      <c r="D111" s="218"/>
      <c r="E111" s="218" t="s">
        <v>41</v>
      </c>
      <c r="F111" s="1"/>
      <c r="H111" s="218"/>
      <c r="I111" s="218"/>
      <c r="J111" s="218" t="s">
        <v>42</v>
      </c>
      <c r="K111" s="215" t="str">
        <f>if(isError(vlookup(J111,'node-RE'!$C:$C, 1, FALSE)), "NO", "YES")</f>
        <v>NO</v>
      </c>
      <c r="L111" s="218"/>
      <c r="M111" s="218"/>
      <c r="N111" s="218"/>
    </row>
    <row r="112">
      <c r="A112" s="214" t="s">
        <v>126</v>
      </c>
      <c r="B112" s="215" t="s">
        <v>200</v>
      </c>
      <c r="C112" s="215" t="str">
        <f>if(isError(vlookup(B112,'node-RE'!C:C, 1, FALSE)), "NO", "YES")</f>
        <v>YES</v>
      </c>
      <c r="D112" s="218"/>
      <c r="E112" s="218" t="s">
        <v>105</v>
      </c>
      <c r="F112" s="1"/>
      <c r="H112" s="218"/>
      <c r="I112" s="218"/>
      <c r="J112" s="218" t="s">
        <v>98</v>
      </c>
      <c r="K112" s="215" t="str">
        <f>if(isError(vlookup(J112,'node-RE'!$C:$C, 1, FALSE)), "NO", "YES")</f>
        <v>NO</v>
      </c>
      <c r="L112" s="218"/>
      <c r="M112" s="218"/>
      <c r="N112" s="218"/>
    </row>
    <row r="113">
      <c r="A113" s="214" t="s">
        <v>303</v>
      </c>
      <c r="B113" s="215" t="s">
        <v>480</v>
      </c>
      <c r="C113" s="215" t="str">
        <f>if(isError(vlookup(B113,'node-RE'!C:C, 1, FALSE)), "NO", "YES")</f>
        <v>NO</v>
      </c>
      <c r="D113" s="218"/>
      <c r="E113" s="218" t="s">
        <v>343</v>
      </c>
      <c r="F113" s="1"/>
      <c r="H113" s="218"/>
      <c r="I113" s="218"/>
      <c r="J113" s="218" t="s">
        <v>116</v>
      </c>
      <c r="K113" s="215" t="str">
        <f>if(isError(vlookup(J113,'node-RE'!$C:$C, 1, FALSE)), "NO", "YES")</f>
        <v>NO</v>
      </c>
      <c r="L113" s="217"/>
      <c r="M113" s="217"/>
      <c r="N113" s="217"/>
    </row>
    <row r="114">
      <c r="A114" s="214" t="s">
        <v>402</v>
      </c>
      <c r="B114" s="215" t="s">
        <v>324</v>
      </c>
      <c r="C114" s="215" t="str">
        <f>if(isError(vlookup(B114,'node-RE'!C:C, 1, FALSE)), "NO", "YES")</f>
        <v>NO</v>
      </c>
      <c r="D114" s="218"/>
      <c r="E114" s="218" t="s">
        <v>142</v>
      </c>
      <c r="F114" s="1"/>
      <c r="H114" s="218"/>
      <c r="I114" s="218"/>
      <c r="J114" s="218" t="s">
        <v>97</v>
      </c>
      <c r="K114" s="215" t="str">
        <f>if(isError(vlookup(J114,'node-RE'!$C:$C, 1, FALSE)), "NO", "YES")</f>
        <v>NO</v>
      </c>
      <c r="L114" s="218"/>
      <c r="M114" s="218"/>
      <c r="N114" s="218"/>
    </row>
    <row r="115">
      <c r="A115" s="214" t="s">
        <v>531</v>
      </c>
      <c r="B115" s="215" t="s">
        <v>288</v>
      </c>
      <c r="C115" s="215" t="str">
        <f>if(isError(vlookup(B115,'node-RE'!C:C, 1, FALSE)), "NO", "YES")</f>
        <v>NO</v>
      </c>
      <c r="D115" s="218"/>
      <c r="E115" s="218" t="s">
        <v>60</v>
      </c>
      <c r="F115" s="1"/>
      <c r="H115" s="218"/>
      <c r="I115" s="218"/>
      <c r="J115" s="218" t="s">
        <v>271</v>
      </c>
      <c r="K115" s="215" t="str">
        <f>if(isError(vlookup(J115,'node-RE'!$C:$C, 1, FALSE)), "NO", "YES")</f>
        <v>NO</v>
      </c>
      <c r="L115" s="218"/>
      <c r="M115" s="218"/>
      <c r="N115" s="218"/>
    </row>
    <row r="116">
      <c r="A116" s="214" t="s">
        <v>189</v>
      </c>
      <c r="B116" s="215" t="s">
        <v>350</v>
      </c>
      <c r="C116" s="215" t="str">
        <f>if(isError(vlookup(B116,'node-RE'!C:C, 1, FALSE)), "NO", "YES")</f>
        <v>NO</v>
      </c>
      <c r="D116" s="218"/>
      <c r="E116" s="218" t="s">
        <v>347</v>
      </c>
      <c r="F116" s="1"/>
      <c r="H116" s="218"/>
      <c r="I116" s="218"/>
      <c r="J116" s="218" t="s">
        <v>110</v>
      </c>
      <c r="K116" s="215" t="str">
        <f>if(isError(vlookup(J116,'node-RE'!$C:$C, 1, FALSE)), "NO", "YES")</f>
        <v>NO</v>
      </c>
      <c r="L116" s="218"/>
      <c r="M116" s="218"/>
      <c r="N116" s="218"/>
    </row>
    <row r="117">
      <c r="A117" s="214" t="s">
        <v>179</v>
      </c>
      <c r="B117" s="215" t="s">
        <v>126</v>
      </c>
      <c r="C117" s="215" t="str">
        <f>if(isError(vlookup(B117,'node-RE'!C:C, 1, FALSE)), "NO", "YES")</f>
        <v>NO</v>
      </c>
      <c r="D117" s="218"/>
      <c r="E117" s="218" t="s">
        <v>302</v>
      </c>
      <c r="F117" s="1"/>
      <c r="H117" s="218"/>
      <c r="I117" s="218"/>
      <c r="J117" s="218" t="s">
        <v>392</v>
      </c>
      <c r="K117" s="215" t="str">
        <f>if(isError(vlookup(J117,'node-RE'!$C:$C, 1, FALSE)), "NO", "YES")</f>
        <v>NO</v>
      </c>
      <c r="L117" s="218"/>
      <c r="M117" s="218"/>
      <c r="N117" s="218"/>
    </row>
    <row r="118">
      <c r="A118" s="214" t="s">
        <v>362</v>
      </c>
      <c r="B118" s="215" t="s">
        <v>303</v>
      </c>
      <c r="C118" s="215" t="str">
        <f>if(isError(vlookup(B118,'node-RE'!C:C, 1, FALSE)), "NO", "YES")</f>
        <v>NO</v>
      </c>
      <c r="D118" s="218"/>
      <c r="E118" s="218" t="s">
        <v>42</v>
      </c>
      <c r="F118" s="1"/>
      <c r="H118" s="218"/>
      <c r="I118" s="218"/>
      <c r="J118" s="218" t="s">
        <v>95</v>
      </c>
      <c r="K118" s="215" t="str">
        <f>if(isError(vlookup(J118,'node-RE'!$C:$C, 1, FALSE)), "NO", "YES")</f>
        <v>NO</v>
      </c>
      <c r="L118" s="217"/>
      <c r="M118" s="217"/>
      <c r="N118" s="217"/>
    </row>
    <row r="119">
      <c r="A119" s="214" t="s">
        <v>495</v>
      </c>
      <c r="B119" s="215" t="s">
        <v>212</v>
      </c>
      <c r="C119" s="215" t="str">
        <f>if(isError(vlookup(B119,'node-RE'!C:C, 1, FALSE)), "NO", "YES")</f>
        <v>YES</v>
      </c>
      <c r="D119" s="218"/>
      <c r="E119" s="218" t="s">
        <v>98</v>
      </c>
      <c r="F119" s="1"/>
      <c r="H119" s="218"/>
      <c r="I119" s="218"/>
      <c r="J119" s="218" t="s">
        <v>260</v>
      </c>
      <c r="K119" s="215" t="str">
        <f>if(isError(vlookup(J119,'node-RE'!$C:$C, 1, FALSE)), "NO", "YES")</f>
        <v>NO</v>
      </c>
      <c r="L119" s="217"/>
      <c r="M119" s="217"/>
      <c r="N119" s="217"/>
    </row>
    <row r="120">
      <c r="A120" s="214" t="s">
        <v>191</v>
      </c>
      <c r="B120" s="215" t="s">
        <v>402</v>
      </c>
      <c r="C120" s="215" t="str">
        <f>if(isError(vlookup(B120,'node-RE'!C:C, 1, FALSE)), "NO", "YES")</f>
        <v>NO</v>
      </c>
      <c r="D120" s="218"/>
      <c r="E120" s="218" t="s">
        <v>116</v>
      </c>
      <c r="F120" s="1"/>
      <c r="H120" s="218"/>
      <c r="I120" s="218"/>
      <c r="J120" s="218" t="s">
        <v>102</v>
      </c>
      <c r="K120" s="215" t="str">
        <f>if(isError(vlookup(J120,'node-RE'!$C:$C, 1, FALSE)), "NO", "YES")</f>
        <v>NO</v>
      </c>
      <c r="L120" s="218"/>
      <c r="M120" s="218"/>
      <c r="N120" s="218"/>
    </row>
    <row r="121">
      <c r="A121" s="214" t="s">
        <v>341</v>
      </c>
      <c r="B121" s="215" t="s">
        <v>531</v>
      </c>
      <c r="C121" s="215" t="str">
        <f>if(isError(vlookup(B121,'node-RE'!C:C, 1, FALSE)), "NO", "YES")</f>
        <v>NO</v>
      </c>
      <c r="D121" s="218"/>
      <c r="E121" s="218" t="s">
        <v>211</v>
      </c>
      <c r="F121" s="1"/>
      <c r="H121" s="218"/>
      <c r="I121" s="218"/>
      <c r="J121" s="218" t="s">
        <v>134</v>
      </c>
      <c r="K121" s="215" t="str">
        <f>if(isError(vlookup(J121,'node-RE'!$C:$C, 1, FALSE)), "NO", "YES")</f>
        <v>NO</v>
      </c>
      <c r="L121" s="218"/>
      <c r="M121" s="218"/>
      <c r="N121" s="218"/>
    </row>
    <row r="122">
      <c r="A122" s="214" t="s">
        <v>82</v>
      </c>
      <c r="B122" s="215" t="s">
        <v>189</v>
      </c>
      <c r="C122" s="215" t="str">
        <f>if(isError(vlookup(B122,'node-RE'!C:C, 1, FALSE)), "NO", "YES")</f>
        <v>NO</v>
      </c>
      <c r="D122" s="218"/>
      <c r="E122" s="218" t="s">
        <v>97</v>
      </c>
      <c r="F122" s="1"/>
      <c r="H122" s="218"/>
      <c r="I122" s="218"/>
      <c r="J122" s="218" t="s">
        <v>316</v>
      </c>
      <c r="K122" s="215" t="str">
        <f>if(isError(vlookup(J122,'node-RE'!$C:$C, 1, FALSE)), "NO", "YES")</f>
        <v>NO</v>
      </c>
      <c r="L122" s="218"/>
      <c r="M122" s="218"/>
      <c r="N122" s="218"/>
    </row>
    <row r="123">
      <c r="A123" s="214" t="s">
        <v>264</v>
      </c>
      <c r="B123" s="215" t="s">
        <v>179</v>
      </c>
      <c r="C123" s="215" t="str">
        <f>if(isError(vlookup(B123,'node-RE'!C:C, 1, FALSE)), "NO", "YES")</f>
        <v>NO</v>
      </c>
      <c r="D123" s="218"/>
      <c r="E123" s="218" t="s">
        <v>271</v>
      </c>
      <c r="F123" s="1"/>
      <c r="H123" s="218"/>
      <c r="I123" s="218"/>
      <c r="J123" s="218" t="s">
        <v>381</v>
      </c>
      <c r="K123" s="215" t="str">
        <f>if(isError(vlookup(J123,'node-RE'!$C:$C, 1, FALSE)), "NO", "YES")</f>
        <v>NO</v>
      </c>
      <c r="L123" s="218"/>
      <c r="M123" s="218"/>
      <c r="N123" s="218"/>
    </row>
    <row r="124">
      <c r="A124" s="214" t="s">
        <v>213</v>
      </c>
      <c r="B124" s="215" t="s">
        <v>362</v>
      </c>
      <c r="C124" s="215" t="str">
        <f>if(isError(vlookup(B124,'node-RE'!C:C, 1, FALSE)), "NO", "YES")</f>
        <v>NO</v>
      </c>
      <c r="D124" s="218"/>
      <c r="E124" s="218" t="s">
        <v>110</v>
      </c>
      <c r="F124" s="1"/>
      <c r="H124" s="218"/>
      <c r="I124" s="218"/>
      <c r="J124" s="218" t="s">
        <v>48</v>
      </c>
      <c r="K124" s="215" t="str">
        <f>if(isError(vlookup(J124,'node-RE'!$C:$C, 1, FALSE)), "NO", "YES")</f>
        <v>NO</v>
      </c>
      <c r="L124" s="218"/>
      <c r="M124" s="218"/>
      <c r="N124" s="218"/>
    </row>
    <row r="125">
      <c r="A125" s="214" t="s">
        <v>83</v>
      </c>
      <c r="B125" s="215" t="s">
        <v>495</v>
      </c>
      <c r="C125" s="215" t="str">
        <f>if(isError(vlookup(B125,'node-RE'!C:C, 1, FALSE)), "NO", "YES")</f>
        <v>NO</v>
      </c>
      <c r="D125" s="218"/>
      <c r="E125" s="218" t="s">
        <v>392</v>
      </c>
      <c r="F125" s="1"/>
      <c r="H125" s="218"/>
      <c r="I125" s="218"/>
      <c r="J125" s="218" t="s">
        <v>68</v>
      </c>
      <c r="K125" s="215" t="str">
        <f>if(isError(vlookup(J125,'node-RE'!$C:$C, 1, FALSE)), "NO", "YES")</f>
        <v>NO</v>
      </c>
      <c r="L125" s="218"/>
      <c r="M125" s="218"/>
      <c r="N125" s="218"/>
    </row>
    <row r="126">
      <c r="A126" s="214" t="s">
        <v>64</v>
      </c>
      <c r="B126" s="215" t="s">
        <v>191</v>
      </c>
      <c r="C126" s="215" t="str">
        <f>if(isError(vlookup(B126,'node-RE'!C:C, 1, FALSE)), "NO", "YES")</f>
        <v>NO</v>
      </c>
      <c r="D126" s="218"/>
      <c r="E126" s="218" t="s">
        <v>95</v>
      </c>
      <c r="F126" s="1"/>
      <c r="H126" s="218"/>
      <c r="I126" s="218"/>
      <c r="J126" s="218" t="s">
        <v>399</v>
      </c>
      <c r="K126" s="215" t="str">
        <f>if(isError(vlookup(J126,'node-RE'!$C:$C, 1, FALSE)), "NO", "YES")</f>
        <v>NO</v>
      </c>
      <c r="L126" s="217"/>
      <c r="M126" s="217"/>
      <c r="N126" s="217"/>
    </row>
    <row r="127">
      <c r="A127" s="214" t="s">
        <v>171</v>
      </c>
      <c r="B127" s="215" t="s">
        <v>341</v>
      </c>
      <c r="C127" s="215" t="str">
        <f>if(isError(vlookup(B127,'node-RE'!C:C, 1, FALSE)), "NO", "YES")</f>
        <v>NO</v>
      </c>
      <c r="D127" s="218"/>
      <c r="E127" s="218" t="s">
        <v>278</v>
      </c>
      <c r="F127" s="1"/>
      <c r="H127" s="218"/>
      <c r="I127" s="218"/>
      <c r="J127" s="218" t="s">
        <v>230</v>
      </c>
      <c r="K127" s="215" t="str">
        <f>if(isError(vlookup(J127,'node-RE'!$C:$C, 1, FALSE)), "NO", "YES")</f>
        <v>YES</v>
      </c>
      <c r="L127" s="218"/>
      <c r="M127" s="218"/>
      <c r="N127" s="218"/>
    </row>
    <row r="128">
      <c r="A128" s="214" t="s">
        <v>39</v>
      </c>
      <c r="B128" s="215" t="s">
        <v>82</v>
      </c>
      <c r="C128" s="215" t="str">
        <f>if(isError(vlookup(B128,'node-RE'!C:C, 1, FALSE)), "NO", "YES")</f>
        <v>NO</v>
      </c>
      <c r="D128" s="218"/>
      <c r="E128" s="218" t="s">
        <v>260</v>
      </c>
      <c r="F128" s="1"/>
      <c r="H128" s="218"/>
      <c r="I128" s="218"/>
      <c r="J128" s="218" t="s">
        <v>369</v>
      </c>
      <c r="K128" s="215" t="str">
        <f>if(isError(vlookup(J128,'node-RE'!$C:$C, 1, FALSE)), "NO", "YES")</f>
        <v>NO</v>
      </c>
      <c r="L128" s="217"/>
      <c r="M128" s="217"/>
      <c r="N128" s="217"/>
    </row>
    <row r="129">
      <c r="A129" s="214" t="s">
        <v>432</v>
      </c>
      <c r="B129" s="215" t="s">
        <v>264</v>
      </c>
      <c r="C129" s="215" t="str">
        <f>if(isError(vlookup(B129,'node-RE'!C:C, 1, FALSE)), "NO", "YES")</f>
        <v>NO</v>
      </c>
      <c r="D129" s="218"/>
      <c r="E129" s="218" t="s">
        <v>102</v>
      </c>
      <c r="F129" s="1"/>
      <c r="H129" s="218"/>
      <c r="I129" s="218"/>
      <c r="J129" s="218" t="s">
        <v>130</v>
      </c>
      <c r="K129" s="215" t="str">
        <f>if(isError(vlookup(J129,'node-RE'!$C:$C, 1, FALSE)), "NO", "YES")</f>
        <v>NO</v>
      </c>
      <c r="L129" s="218"/>
      <c r="M129" s="218"/>
      <c r="N129" s="218"/>
    </row>
    <row r="130">
      <c r="A130" s="214" t="s">
        <v>91</v>
      </c>
      <c r="B130" s="215" t="s">
        <v>213</v>
      </c>
      <c r="C130" s="215" t="str">
        <f>if(isError(vlookup(B130,'node-RE'!C:C, 1, FALSE)), "NO", "YES")</f>
        <v>NO</v>
      </c>
      <c r="D130" s="218"/>
      <c r="E130" s="218" t="s">
        <v>134</v>
      </c>
      <c r="F130" s="1"/>
      <c r="H130" s="218"/>
      <c r="I130" s="218"/>
      <c r="J130" s="218" t="s">
        <v>75</v>
      </c>
      <c r="K130" s="215" t="str">
        <f>if(isError(vlookup(J130,'node-RE'!$C:$C, 1, FALSE)), "NO", "YES")</f>
        <v>NO</v>
      </c>
      <c r="L130" s="218"/>
      <c r="M130" s="218"/>
      <c r="N130" s="218"/>
    </row>
    <row r="131">
      <c r="A131" s="214" t="s">
        <v>41</v>
      </c>
      <c r="B131" s="215" t="s">
        <v>83</v>
      </c>
      <c r="C131" s="215" t="str">
        <f>if(isError(vlookup(B131,'node-RE'!C:C, 1, FALSE)), "NO", "YES")</f>
        <v>NO</v>
      </c>
      <c r="D131" s="218"/>
      <c r="E131" s="218" t="s">
        <v>316</v>
      </c>
      <c r="F131" s="1"/>
      <c r="H131" s="218"/>
      <c r="I131" s="218"/>
      <c r="J131" s="218" t="s">
        <v>329</v>
      </c>
      <c r="K131" s="215" t="str">
        <f>if(isError(vlookup(J131,'node-RE'!$C:$C, 1, FALSE)), "NO", "YES")</f>
        <v>NO</v>
      </c>
      <c r="L131" s="218"/>
      <c r="M131" s="218"/>
      <c r="N131" s="218"/>
    </row>
    <row r="132">
      <c r="A132" s="214" t="s">
        <v>497</v>
      </c>
      <c r="B132" s="215" t="s">
        <v>245</v>
      </c>
      <c r="C132" s="215" t="str">
        <f>if(isError(vlookup(B132,'node-RE'!C:C, 1, FALSE)), "NO", "YES")</f>
        <v>YES</v>
      </c>
      <c r="D132" s="218"/>
      <c r="E132" s="218" t="s">
        <v>381</v>
      </c>
      <c r="F132" s="1"/>
      <c r="H132" s="218"/>
      <c r="I132" s="218"/>
      <c r="J132" s="218" t="s">
        <v>43</v>
      </c>
      <c r="K132" s="215" t="str">
        <f>if(isError(vlookup(J132,'node-RE'!$C:$C, 1, FALSE)), "NO", "YES")</f>
        <v>NO</v>
      </c>
      <c r="L132" s="217"/>
      <c r="M132" s="217"/>
      <c r="N132" s="217"/>
    </row>
    <row r="133">
      <c r="A133" s="214" t="s">
        <v>105</v>
      </c>
      <c r="B133" s="215" t="s">
        <v>64</v>
      </c>
      <c r="C133" s="215" t="str">
        <f>if(isError(vlookup(B133,'node-RE'!C:C, 1, FALSE)), "NO", "YES")</f>
        <v>NO</v>
      </c>
      <c r="D133" s="218"/>
      <c r="E133" s="218" t="s">
        <v>48</v>
      </c>
      <c r="F133" s="1"/>
      <c r="H133" s="218"/>
      <c r="I133" s="218"/>
      <c r="J133" s="218" t="s">
        <v>221</v>
      </c>
      <c r="K133" s="215" t="str">
        <f>if(isError(vlookup(J133,'node-RE'!$C:$C, 1, FALSE)), "NO", "YES")</f>
        <v>NO</v>
      </c>
      <c r="L133" s="218"/>
      <c r="M133" s="218"/>
      <c r="N133" s="218"/>
    </row>
    <row r="134">
      <c r="A134" s="214" t="s">
        <v>343</v>
      </c>
      <c r="B134" s="215" t="s">
        <v>171</v>
      </c>
      <c r="C134" s="215" t="str">
        <f>if(isError(vlookup(B134,'node-RE'!C:C, 1, FALSE)), "NO", "YES")</f>
        <v>NO</v>
      </c>
      <c r="D134" s="218"/>
      <c r="E134" s="218" t="s">
        <v>68</v>
      </c>
      <c r="F134" s="1"/>
      <c r="H134" s="218"/>
      <c r="I134" s="218"/>
      <c r="J134" s="218" t="s">
        <v>291</v>
      </c>
      <c r="K134" s="215" t="str">
        <f>if(isError(vlookup(J134,'node-RE'!$C:$C, 1, FALSE)), "NO", "YES")</f>
        <v>NO</v>
      </c>
      <c r="L134" s="218"/>
      <c r="M134" s="218"/>
      <c r="N134" s="218"/>
    </row>
    <row r="135">
      <c r="A135" s="214" t="s">
        <v>142</v>
      </c>
      <c r="B135" s="215" t="s">
        <v>39</v>
      </c>
      <c r="C135" s="215" t="str">
        <f>if(isError(vlookup(B135,'node-RE'!C:C, 1, FALSE)), "NO", "YES")</f>
        <v>NO</v>
      </c>
      <c r="D135" s="218"/>
      <c r="E135" s="218" t="s">
        <v>399</v>
      </c>
      <c r="F135" s="1"/>
      <c r="H135" s="218"/>
      <c r="I135" s="218"/>
      <c r="J135" s="218" t="s">
        <v>263</v>
      </c>
      <c r="K135" s="215" t="str">
        <f>if(isError(vlookup(J135,'node-RE'!$C:$C, 1, FALSE)), "NO", "YES")</f>
        <v>NO</v>
      </c>
      <c r="L135" s="218"/>
      <c r="M135" s="218"/>
      <c r="N135" s="218"/>
    </row>
    <row r="136">
      <c r="A136" s="214" t="s">
        <v>474</v>
      </c>
      <c r="B136" s="215" t="s">
        <v>432</v>
      </c>
      <c r="C136" s="215" t="str">
        <f>if(isError(vlookup(B136,'node-RE'!C:C, 1, FALSE)), "NO", "YES")</f>
        <v>NO</v>
      </c>
      <c r="D136" s="218"/>
      <c r="E136" s="218" t="s">
        <v>230</v>
      </c>
      <c r="F136" s="1"/>
      <c r="H136" s="218"/>
      <c r="I136" s="218"/>
      <c r="J136" s="218" t="s">
        <v>261</v>
      </c>
      <c r="K136" s="215" t="str">
        <f>if(isError(vlookup(J136,'node-RE'!$C:$C, 1, FALSE)), "NO", "YES")</f>
        <v>NO</v>
      </c>
      <c r="L136" s="218"/>
      <c r="M136" s="218"/>
      <c r="N136" s="218"/>
    </row>
    <row r="137">
      <c r="A137" s="214" t="s">
        <v>60</v>
      </c>
      <c r="B137" s="215" t="s">
        <v>91</v>
      </c>
      <c r="C137" s="215" t="str">
        <f>if(isError(vlookup(B137,'node-RE'!C:C, 1, FALSE)), "NO", "YES")</f>
        <v>NO</v>
      </c>
      <c r="D137" s="218"/>
      <c r="E137" s="218" t="s">
        <v>369</v>
      </c>
      <c r="F137" s="1"/>
      <c r="H137" s="218"/>
      <c r="I137" s="218"/>
      <c r="J137" s="218" t="s">
        <v>208</v>
      </c>
      <c r="K137" s="215" t="str">
        <f>if(isError(vlookup(J137,'node-RE'!$C:$C, 1, FALSE)), "NO", "YES")</f>
        <v>YES</v>
      </c>
      <c r="L137" s="218"/>
      <c r="M137" s="218"/>
      <c r="N137" s="218"/>
    </row>
    <row r="138">
      <c r="A138" s="214" t="s">
        <v>347</v>
      </c>
      <c r="B138" s="215" t="s">
        <v>41</v>
      </c>
      <c r="C138" s="215" t="str">
        <f>if(isError(vlookup(B138,'node-RE'!C:C, 1, FALSE)), "NO", "YES")</f>
        <v>NO</v>
      </c>
      <c r="D138" s="218"/>
      <c r="E138" s="218" t="s">
        <v>130</v>
      </c>
      <c r="F138" s="1"/>
      <c r="H138" s="218"/>
      <c r="I138" s="218"/>
      <c r="J138" s="218" t="s">
        <v>51</v>
      </c>
      <c r="K138" s="215" t="str">
        <f>if(isError(vlookup(J138,'node-RE'!$C:$C, 1, FALSE)), "NO", "YES")</f>
        <v>NO</v>
      </c>
      <c r="L138" s="218"/>
      <c r="M138" s="218"/>
      <c r="N138" s="218"/>
    </row>
    <row r="139">
      <c r="A139" s="214" t="s">
        <v>493</v>
      </c>
      <c r="B139" s="215" t="s">
        <v>497</v>
      </c>
      <c r="C139" s="215" t="str">
        <f>if(isError(vlookup(B139,'node-RE'!C:C, 1, FALSE)), "NO", "YES")</f>
        <v>NO</v>
      </c>
      <c r="D139" s="218"/>
      <c r="E139" s="218" t="s">
        <v>75</v>
      </c>
      <c r="F139" s="1"/>
      <c r="H139" s="218"/>
      <c r="I139" s="218"/>
      <c r="J139" s="218" t="s">
        <v>106</v>
      </c>
      <c r="K139" s="215" t="str">
        <f>if(isError(vlookup(J139,'node-RE'!$C:$C, 1, FALSE)), "NO", "YES")</f>
        <v>NO</v>
      </c>
      <c r="L139" s="217"/>
      <c r="M139" s="217"/>
      <c r="N139" s="217"/>
    </row>
    <row r="140">
      <c r="A140" s="214" t="s">
        <v>302</v>
      </c>
      <c r="B140" s="215" t="s">
        <v>105</v>
      </c>
      <c r="C140" s="215" t="str">
        <f>if(isError(vlookup(B140,'node-RE'!C:C, 1, FALSE)), "NO", "YES")</f>
        <v>NO</v>
      </c>
      <c r="D140" s="218"/>
      <c r="E140" s="218" t="s">
        <v>329</v>
      </c>
      <c r="F140" s="1"/>
      <c r="H140" s="218"/>
      <c r="I140" s="218"/>
      <c r="J140" s="218" t="s">
        <v>283</v>
      </c>
      <c r="K140" s="215" t="str">
        <f>if(isError(vlookup(J140,'node-RE'!$C:$C, 1, FALSE)), "NO", "YES")</f>
        <v>YES</v>
      </c>
      <c r="L140" s="218"/>
      <c r="M140" s="218"/>
      <c r="N140" s="218"/>
    </row>
    <row r="141">
      <c r="A141" s="214" t="s">
        <v>42</v>
      </c>
      <c r="B141" s="215" t="s">
        <v>343</v>
      </c>
      <c r="C141" s="215" t="str">
        <f>if(isError(vlookup(B141,'node-RE'!C:C, 1, FALSE)), "NO", "YES")</f>
        <v>NO</v>
      </c>
      <c r="D141" s="218"/>
      <c r="E141" s="218" t="s">
        <v>43</v>
      </c>
      <c r="F141" s="1"/>
      <c r="H141" s="218"/>
      <c r="I141" s="218"/>
      <c r="J141" s="218" t="s">
        <v>113</v>
      </c>
      <c r="K141" s="215" t="str">
        <f>if(isError(vlookup(J141,'node-RE'!$C:$C, 1, FALSE)), "NO", "YES")</f>
        <v>NO</v>
      </c>
      <c r="L141" s="218"/>
      <c r="M141" s="218"/>
      <c r="N141" s="218"/>
    </row>
    <row r="142">
      <c r="A142" s="214" t="s">
        <v>98</v>
      </c>
      <c r="B142" s="215" t="s">
        <v>142</v>
      </c>
      <c r="C142" s="215" t="str">
        <f>if(isError(vlookup(B142,'node-RE'!C:C, 1, FALSE)), "NO", "YES")</f>
        <v>NO</v>
      </c>
      <c r="D142" s="218"/>
      <c r="E142" s="218" t="s">
        <v>221</v>
      </c>
      <c r="F142" s="1"/>
      <c r="H142" s="218"/>
      <c r="I142" s="218"/>
      <c r="J142" s="218" t="s">
        <v>196</v>
      </c>
      <c r="K142" s="215" t="str">
        <f>if(isError(vlookup(J142,'node-RE'!$C:$C, 1, FALSE)), "NO", "YES")</f>
        <v>NO</v>
      </c>
      <c r="L142" s="218"/>
      <c r="M142" s="218"/>
      <c r="N142" s="218"/>
    </row>
    <row r="143">
      <c r="A143" s="214" t="s">
        <v>116</v>
      </c>
      <c r="B143" s="215" t="s">
        <v>474</v>
      </c>
      <c r="C143" s="215" t="str">
        <f>if(isError(vlookup(B143,'node-RE'!C:C, 1, FALSE)), "NO", "YES")</f>
        <v>NO</v>
      </c>
      <c r="D143" s="218"/>
      <c r="E143" s="218" t="s">
        <v>291</v>
      </c>
      <c r="F143" s="1"/>
      <c r="H143" s="218"/>
      <c r="I143" s="218"/>
      <c r="J143" s="218" t="s">
        <v>135</v>
      </c>
      <c r="K143" s="215" t="str">
        <f>if(isError(vlookup(J143,'node-RE'!$C:$C, 1, FALSE)), "NO", "YES")</f>
        <v>NO</v>
      </c>
      <c r="L143" s="217"/>
      <c r="M143" s="217"/>
      <c r="N143" s="217"/>
    </row>
    <row r="144">
      <c r="A144" s="214" t="s">
        <v>458</v>
      </c>
      <c r="B144" s="215" t="s">
        <v>60</v>
      </c>
      <c r="C144" s="215" t="str">
        <f>if(isError(vlookup(B144,'node-RE'!C:C, 1, FALSE)), "NO", "YES")</f>
        <v>NO</v>
      </c>
      <c r="D144" s="218"/>
      <c r="E144" s="218" t="s">
        <v>263</v>
      </c>
      <c r="F144" s="1"/>
      <c r="H144" s="218"/>
      <c r="I144" s="218"/>
      <c r="J144" s="218" t="s">
        <v>192</v>
      </c>
      <c r="K144" s="215" t="str">
        <f>if(isError(vlookup(J144,'node-RE'!$C:$C, 1, FALSE)), "NO", "YES")</f>
        <v>NO</v>
      </c>
      <c r="L144" s="218"/>
      <c r="M144" s="218"/>
      <c r="N144" s="218"/>
    </row>
    <row r="145">
      <c r="A145" s="214" t="s">
        <v>463</v>
      </c>
      <c r="B145" s="215" t="s">
        <v>347</v>
      </c>
      <c r="C145" s="215" t="str">
        <f>if(isError(vlookup(B145,'node-RE'!C:C, 1, FALSE)), "NO", "YES")</f>
        <v>NO</v>
      </c>
      <c r="D145" s="218"/>
      <c r="E145" s="218" t="s">
        <v>261</v>
      </c>
      <c r="F145" s="1"/>
      <c r="H145" s="218"/>
      <c r="I145" s="218"/>
      <c r="J145" s="218" t="s">
        <v>385</v>
      </c>
      <c r="K145" s="215" t="str">
        <f>if(isError(vlookup(J145,'node-RE'!$C:$C, 1, FALSE)), "NO", "YES")</f>
        <v>NO</v>
      </c>
      <c r="L145" s="218"/>
      <c r="M145" s="218"/>
      <c r="N145" s="218"/>
    </row>
    <row r="146">
      <c r="A146" s="214" t="s">
        <v>464</v>
      </c>
      <c r="B146" s="215" t="s">
        <v>493</v>
      </c>
      <c r="C146" s="215" t="str">
        <f>if(isError(vlookup(B146,'node-RE'!C:C, 1, FALSE)), "NO", "YES")</f>
        <v>NO</v>
      </c>
      <c r="D146" s="218"/>
      <c r="E146" s="218" t="s">
        <v>208</v>
      </c>
      <c r="F146" s="1"/>
      <c r="H146" s="218"/>
      <c r="I146" s="218"/>
      <c r="J146" s="218" t="s">
        <v>186</v>
      </c>
      <c r="K146" s="215" t="str">
        <f>if(isError(vlookup(J146,'node-RE'!$C:$C, 1, FALSE)), "NO", "YES")</f>
        <v>NO</v>
      </c>
      <c r="L146" s="217"/>
      <c r="M146" s="217"/>
      <c r="N146" s="217"/>
    </row>
    <row r="147">
      <c r="A147" s="214" t="s">
        <v>488</v>
      </c>
      <c r="B147" s="215" t="s">
        <v>302</v>
      </c>
      <c r="C147" s="215" t="str">
        <f>if(isError(vlookup(B147,'node-RE'!C:C, 1, FALSE)), "NO", "YES")</f>
        <v>NO</v>
      </c>
      <c r="D147" s="218"/>
      <c r="E147" s="218" t="s">
        <v>51</v>
      </c>
      <c r="F147" s="1"/>
      <c r="H147" s="218"/>
      <c r="I147" s="218"/>
      <c r="J147" s="218" t="s">
        <v>319</v>
      </c>
      <c r="K147" s="215" t="str">
        <f>if(isError(vlookup(J147,'node-RE'!$C:$C, 1, FALSE)), "NO", "YES")</f>
        <v>NO</v>
      </c>
      <c r="L147" s="218"/>
      <c r="M147" s="218"/>
      <c r="N147" s="218"/>
    </row>
    <row r="148">
      <c r="A148" s="214" t="s">
        <v>509</v>
      </c>
      <c r="B148" s="215" t="s">
        <v>42</v>
      </c>
      <c r="C148" s="215" t="str">
        <f>if(isError(vlookup(B148,'node-RE'!C:C, 1, FALSE)), "NO", "YES")</f>
        <v>NO</v>
      </c>
      <c r="D148" s="218"/>
      <c r="E148" s="218" t="s">
        <v>106</v>
      </c>
      <c r="F148" s="1"/>
      <c r="H148" s="218"/>
      <c r="I148" s="218"/>
      <c r="J148" s="218" t="s">
        <v>197</v>
      </c>
      <c r="K148" s="215" t="str">
        <f>if(isError(vlookup(J148,'node-RE'!$C:$C, 1, FALSE)), "NO", "YES")</f>
        <v>NO</v>
      </c>
      <c r="L148" s="218"/>
      <c r="M148" s="218"/>
      <c r="N148" s="218"/>
    </row>
    <row r="149">
      <c r="A149" s="214" t="s">
        <v>510</v>
      </c>
      <c r="B149" s="215" t="s">
        <v>98</v>
      </c>
      <c r="C149" s="215" t="str">
        <f>if(isError(vlookup(B149,'node-RE'!C:C, 1, FALSE)), "NO", "YES")</f>
        <v>NO</v>
      </c>
      <c r="D149" s="218"/>
      <c r="E149" s="218" t="s">
        <v>283</v>
      </c>
      <c r="F149" s="1"/>
      <c r="H149" s="218"/>
      <c r="I149" s="218"/>
      <c r="J149" s="218" t="s">
        <v>284</v>
      </c>
      <c r="K149" s="215" t="str">
        <f>if(isError(vlookup(J149,'node-RE'!$C:$C, 1, FALSE)), "NO", "YES")</f>
        <v>NO</v>
      </c>
      <c r="L149" s="218"/>
      <c r="M149" s="218"/>
      <c r="N149" s="218"/>
    </row>
    <row r="150">
      <c r="A150" s="214" t="s">
        <v>511</v>
      </c>
      <c r="B150" s="215" t="s">
        <v>116</v>
      </c>
      <c r="C150" s="215" t="str">
        <f>if(isError(vlookup(B150,'node-RE'!C:C, 1, FALSE)), "NO", "YES")</f>
        <v>NO</v>
      </c>
      <c r="D150" s="218"/>
      <c r="E150" s="218" t="s">
        <v>113</v>
      </c>
      <c r="F150" s="1"/>
      <c r="H150" s="218"/>
      <c r="I150" s="218"/>
      <c r="J150" s="218" t="s">
        <v>125</v>
      </c>
      <c r="K150" s="215" t="str">
        <f>if(isError(vlookup(J150,'node-RE'!$C:$C, 1, FALSE)), "NO", "YES")</f>
        <v>NO</v>
      </c>
      <c r="L150" s="217"/>
      <c r="M150" s="217"/>
      <c r="N150" s="217"/>
    </row>
    <row r="151">
      <c r="A151" s="214" t="s">
        <v>515</v>
      </c>
      <c r="B151" s="215" t="s">
        <v>458</v>
      </c>
      <c r="C151" s="215" t="str">
        <f>if(isError(vlookup(B151,'node-RE'!C:C, 1, FALSE)), "NO", "YES")</f>
        <v>NO</v>
      </c>
      <c r="D151" s="218"/>
      <c r="E151" s="218" t="s">
        <v>196</v>
      </c>
      <c r="F151" s="1"/>
      <c r="H151" s="218"/>
      <c r="I151" s="218"/>
      <c r="J151" s="218" t="s">
        <v>331</v>
      </c>
      <c r="K151" s="215" t="str">
        <f>if(isError(vlookup(J151,'node-RE'!$C:$C, 1, FALSE)), "NO", "YES")</f>
        <v>YES</v>
      </c>
      <c r="L151" s="218"/>
      <c r="M151" s="218"/>
      <c r="N151" s="218"/>
    </row>
    <row r="152">
      <c r="A152" s="214" t="s">
        <v>517</v>
      </c>
      <c r="B152" s="215" t="s">
        <v>463</v>
      </c>
      <c r="C152" s="215" t="str">
        <f>if(isError(vlookup(B152,'node-RE'!C:C, 1, FALSE)), "NO", "YES")</f>
        <v>NO</v>
      </c>
      <c r="D152" s="218"/>
      <c r="E152" s="218" t="s">
        <v>135</v>
      </c>
      <c r="F152" s="1"/>
      <c r="H152" s="218"/>
      <c r="I152" s="218"/>
      <c r="J152" s="218" t="s">
        <v>334</v>
      </c>
      <c r="K152" s="215" t="str">
        <f>if(isError(vlookup(J152,'node-RE'!$C:$C, 1, FALSE)), "NO", "YES")</f>
        <v>NO</v>
      </c>
      <c r="L152" s="218"/>
      <c r="M152" s="218"/>
      <c r="N152" s="218"/>
    </row>
    <row r="153">
      <c r="A153" s="214" t="s">
        <v>518</v>
      </c>
      <c r="B153" s="215" t="s">
        <v>464</v>
      </c>
      <c r="C153" s="215" t="str">
        <f>if(isError(vlookup(B153,'node-RE'!C:C, 1, FALSE)), "NO", "YES")</f>
        <v>NO</v>
      </c>
      <c r="D153" s="218"/>
      <c r="E153" s="218" t="s">
        <v>192</v>
      </c>
      <c r="F153" s="1"/>
      <c r="H153" s="218"/>
      <c r="I153" s="218"/>
      <c r="J153" s="218" t="s">
        <v>306</v>
      </c>
      <c r="K153" s="215" t="str">
        <f>if(isError(vlookup(J153,'node-RE'!$C:$C, 1, FALSE)), "NO", "YES")</f>
        <v>NO</v>
      </c>
      <c r="L153" s="217"/>
      <c r="M153" s="217"/>
      <c r="N153" s="217"/>
    </row>
    <row r="154">
      <c r="A154" s="214" t="s">
        <v>97</v>
      </c>
      <c r="B154" s="215" t="s">
        <v>488</v>
      </c>
      <c r="C154" s="215" t="str">
        <f>if(isError(vlookup(B154,'node-RE'!C:C, 1, FALSE)), "NO", "YES")</f>
        <v>NO</v>
      </c>
      <c r="D154" s="218"/>
      <c r="E154" s="218" t="s">
        <v>385</v>
      </c>
      <c r="F154" s="1"/>
      <c r="H154" s="218"/>
      <c r="I154" s="218"/>
      <c r="J154" s="218" t="s">
        <v>175</v>
      </c>
      <c r="K154" s="215" t="str">
        <f>if(isError(vlookup(J154,'node-RE'!$C:$C, 1, FALSE)), "NO", "YES")</f>
        <v>NO</v>
      </c>
      <c r="L154" s="218"/>
      <c r="M154" s="218"/>
      <c r="N154" s="218"/>
    </row>
    <row r="155">
      <c r="A155" s="214" t="s">
        <v>456</v>
      </c>
      <c r="B155" s="215" t="s">
        <v>509</v>
      </c>
      <c r="C155" s="215" t="str">
        <f>if(isError(vlookup(B155,'node-RE'!C:C, 1, FALSE)), "NO", "YES")</f>
        <v>NO</v>
      </c>
      <c r="D155" s="218"/>
      <c r="E155" s="218" t="s">
        <v>186</v>
      </c>
      <c r="F155" s="1"/>
      <c r="H155" s="218"/>
      <c r="I155" s="218"/>
      <c r="J155" s="218" t="s">
        <v>227</v>
      </c>
      <c r="K155" s="215" t="str">
        <f>if(isError(vlookup(J155,'node-RE'!$C:$C, 1, FALSE)), "NO", "YES")</f>
        <v>NO</v>
      </c>
      <c r="L155" s="218"/>
      <c r="M155" s="218"/>
      <c r="N155" s="218"/>
    </row>
    <row r="156">
      <c r="A156" s="214" t="s">
        <v>271</v>
      </c>
      <c r="B156" s="215" t="s">
        <v>510</v>
      </c>
      <c r="C156" s="215" t="str">
        <f>if(isError(vlookup(B156,'node-RE'!C:C, 1, FALSE)), "NO", "YES")</f>
        <v>NO</v>
      </c>
      <c r="D156" s="218"/>
      <c r="E156" s="218" t="s">
        <v>319</v>
      </c>
      <c r="F156" s="1"/>
      <c r="H156" s="218"/>
      <c r="I156" s="218"/>
      <c r="J156" s="218" t="s">
        <v>52</v>
      </c>
      <c r="K156" s="215" t="str">
        <f>if(isError(vlookup(J156,'node-RE'!$C:$C, 1, FALSE)), "NO", "YES")</f>
        <v>YES</v>
      </c>
      <c r="L156" s="218"/>
      <c r="M156" s="218"/>
      <c r="N156" s="218"/>
    </row>
    <row r="157">
      <c r="A157" s="214" t="s">
        <v>110</v>
      </c>
      <c r="B157" s="215" t="s">
        <v>511</v>
      </c>
      <c r="C157" s="215" t="str">
        <f>if(isError(vlookup(B157,'node-RE'!C:C, 1, FALSE)), "NO", "YES")</f>
        <v>NO</v>
      </c>
      <c r="D157" s="218"/>
      <c r="E157" s="218" t="s">
        <v>197</v>
      </c>
      <c r="F157" s="1"/>
      <c r="H157" s="218"/>
      <c r="I157" s="218"/>
      <c r="J157" s="218" t="s">
        <v>310</v>
      </c>
      <c r="K157" s="215" t="str">
        <f>if(isError(vlookup(J157,'node-RE'!$C:$C, 1, FALSE)), "NO", "YES")</f>
        <v>NO</v>
      </c>
      <c r="L157" s="218"/>
      <c r="M157" s="218"/>
      <c r="N157" s="218"/>
    </row>
    <row r="158">
      <c r="A158" s="214" t="s">
        <v>392</v>
      </c>
      <c r="B158" s="215" t="s">
        <v>515</v>
      </c>
      <c r="C158" s="215" t="str">
        <f>if(isError(vlookup(B158,'node-RE'!C:C, 1, FALSE)), "NO", "YES")</f>
        <v>NO</v>
      </c>
      <c r="D158" s="218"/>
      <c r="E158" s="218" t="s">
        <v>37</v>
      </c>
      <c r="F158" s="1"/>
      <c r="H158" s="218"/>
      <c r="I158" s="218"/>
      <c r="J158" s="218" t="s">
        <v>383</v>
      </c>
      <c r="K158" s="215" t="str">
        <f>if(isError(vlookup(J158,'node-RE'!$C:$C, 1, FALSE)), "NO", "YES")</f>
        <v>NO</v>
      </c>
      <c r="L158" s="217"/>
      <c r="M158" s="217"/>
      <c r="N158" s="217"/>
    </row>
    <row r="159">
      <c r="A159" s="214" t="s">
        <v>450</v>
      </c>
      <c r="B159" s="215" t="s">
        <v>517</v>
      </c>
      <c r="C159" s="215" t="str">
        <f>if(isError(vlookup(B159,'node-RE'!C:C, 1, FALSE)), "NO", "YES")</f>
        <v>NO</v>
      </c>
      <c r="D159" s="218"/>
      <c r="E159" s="218" t="s">
        <v>284</v>
      </c>
      <c r="F159" s="1"/>
      <c r="H159" s="218"/>
      <c r="I159" s="218"/>
      <c r="J159" s="218" t="s">
        <v>49</v>
      </c>
      <c r="K159" s="215" t="str">
        <f>if(isError(vlookup(J159,'node-RE'!$C:$C, 1, FALSE)), "NO", "YES")</f>
        <v>NO</v>
      </c>
      <c r="L159" s="217"/>
      <c r="M159" s="217"/>
      <c r="N159" s="217"/>
    </row>
    <row r="160">
      <c r="A160" s="214" t="s">
        <v>506</v>
      </c>
      <c r="B160" s="215" t="s">
        <v>518</v>
      </c>
      <c r="C160" s="215" t="str">
        <f>if(isError(vlookup(B160,'node-RE'!C:C, 1, FALSE)), "NO", "YES")</f>
        <v>NO</v>
      </c>
      <c r="D160" s="218"/>
      <c r="E160" s="218" t="s">
        <v>125</v>
      </c>
      <c r="F160" s="1"/>
      <c r="H160" s="218"/>
      <c r="I160" s="218"/>
      <c r="J160" s="218" t="s">
        <v>395</v>
      </c>
      <c r="K160" s="215" t="str">
        <f>if(isError(vlookup(J160,'node-RE'!$C:$C, 1, FALSE)), "NO", "YES")</f>
        <v>NO</v>
      </c>
      <c r="L160" s="217"/>
      <c r="M160" s="217"/>
      <c r="N160" s="217"/>
    </row>
    <row r="161">
      <c r="A161" s="214" t="s">
        <v>95</v>
      </c>
      <c r="B161" s="215" t="s">
        <v>211</v>
      </c>
      <c r="C161" s="215" t="str">
        <f>if(isError(vlookup(B161,'node-RE'!C:C, 1, FALSE)), "NO", "YES")</f>
        <v>YES</v>
      </c>
      <c r="D161" s="218"/>
      <c r="E161" s="218" t="s">
        <v>331</v>
      </c>
      <c r="F161" s="1"/>
      <c r="H161" s="218"/>
      <c r="I161" s="218"/>
      <c r="J161" s="218" t="s">
        <v>187</v>
      </c>
      <c r="K161" s="215" t="str">
        <f>if(isError(vlookup(J161,'node-RE'!$C:$C, 1, FALSE)), "NO", "YES")</f>
        <v>NO</v>
      </c>
      <c r="L161" s="217"/>
      <c r="M161" s="217"/>
      <c r="N161" s="217"/>
    </row>
    <row r="162">
      <c r="A162" s="214" t="s">
        <v>443</v>
      </c>
      <c r="B162" s="215" t="s">
        <v>97</v>
      </c>
      <c r="C162" s="215" t="str">
        <f>if(isError(vlookup(B162,'node-RE'!C:C, 1, FALSE)), "NO", "YES")</f>
        <v>NO</v>
      </c>
      <c r="D162" s="218"/>
      <c r="E162" s="218" t="s">
        <v>334</v>
      </c>
      <c r="F162" s="1"/>
      <c r="H162" s="218"/>
      <c r="I162" s="218"/>
      <c r="J162" s="218" t="s">
        <v>59</v>
      </c>
      <c r="K162" s="215" t="str">
        <f>if(isError(vlookup(J162,'node-RE'!$C:$C, 1, FALSE)), "NO", "YES")</f>
        <v>NO</v>
      </c>
      <c r="L162" s="217"/>
      <c r="M162" s="217"/>
      <c r="N162" s="217"/>
    </row>
    <row r="163">
      <c r="A163" s="214" t="s">
        <v>477</v>
      </c>
      <c r="B163" s="215" t="s">
        <v>456</v>
      </c>
      <c r="C163" s="215" t="str">
        <f>if(isError(vlookup(B163,'node-RE'!C:C, 1, FALSE)), "NO", "YES")</f>
        <v>NO</v>
      </c>
      <c r="D163" s="218"/>
      <c r="E163" s="218" t="s">
        <v>306</v>
      </c>
      <c r="F163" s="1"/>
      <c r="H163" s="218"/>
      <c r="I163" s="218"/>
      <c r="J163" s="218" t="s">
        <v>65</v>
      </c>
      <c r="K163" s="215" t="str">
        <f>if(isError(vlookup(J163,'node-RE'!$C:$C, 1, FALSE)), "NO", "YES")</f>
        <v>NO</v>
      </c>
      <c r="L163" s="217"/>
      <c r="M163" s="217"/>
      <c r="N163" s="217"/>
    </row>
    <row r="164">
      <c r="A164" s="214" t="s">
        <v>278</v>
      </c>
      <c r="B164" s="215" t="s">
        <v>271</v>
      </c>
      <c r="C164" s="215" t="str">
        <f>if(isError(vlookup(B164,'node-RE'!C:C, 1, FALSE)), "NO", "YES")</f>
        <v>NO</v>
      </c>
      <c r="D164" s="218"/>
      <c r="E164" s="218" t="s">
        <v>277</v>
      </c>
      <c r="F164" s="1"/>
      <c r="H164" s="218"/>
      <c r="I164" s="218"/>
      <c r="J164" s="218" t="s">
        <v>119</v>
      </c>
      <c r="K164" s="215" t="str">
        <f>if(isError(vlookup(J164,'node-RE'!$C:$C, 1, FALSE)), "NO", "YES")</f>
        <v>NO</v>
      </c>
      <c r="L164" s="217"/>
      <c r="M164" s="217"/>
      <c r="N164" s="217"/>
    </row>
    <row r="165">
      <c r="A165" s="214" t="s">
        <v>260</v>
      </c>
      <c r="B165" s="215" t="s">
        <v>110</v>
      </c>
      <c r="C165" s="215" t="str">
        <f>if(isError(vlookup(B165,'node-RE'!C:C, 1, FALSE)), "NO", "YES")</f>
        <v>NO</v>
      </c>
      <c r="D165" s="218"/>
      <c r="E165" s="218" t="s">
        <v>175</v>
      </c>
      <c r="F165" s="1"/>
      <c r="H165" s="218"/>
      <c r="I165" s="218"/>
      <c r="J165" s="218" t="s">
        <v>150</v>
      </c>
      <c r="K165" s="215" t="str">
        <f>if(isError(vlookup(J165,'node-RE'!$C:$C, 1, FALSE)), "NO", "YES")</f>
        <v>NO</v>
      </c>
      <c r="L165" s="217"/>
      <c r="M165" s="217"/>
      <c r="N165" s="217"/>
    </row>
    <row r="166">
      <c r="A166" s="214" t="s">
        <v>102</v>
      </c>
      <c r="B166" s="215" t="s">
        <v>392</v>
      </c>
      <c r="C166" s="215" t="str">
        <f>if(isError(vlookup(B166,'node-RE'!C:C, 1, FALSE)), "NO", "YES")</f>
        <v>NO</v>
      </c>
      <c r="D166" s="218"/>
      <c r="E166" s="218" t="s">
        <v>227</v>
      </c>
      <c r="F166" s="1"/>
      <c r="H166" s="218"/>
      <c r="I166" s="218"/>
      <c r="J166" s="218" t="s">
        <v>266</v>
      </c>
      <c r="K166" s="215" t="str">
        <f>if(isError(vlookup(J166,'node-RE'!$C:$C, 1, FALSE)), "NO", "YES")</f>
        <v>NO</v>
      </c>
      <c r="L166" s="217"/>
      <c r="M166" s="217"/>
      <c r="N166" s="217"/>
    </row>
    <row r="167">
      <c r="A167" s="214" t="s">
        <v>448</v>
      </c>
      <c r="B167" s="215" t="s">
        <v>450</v>
      </c>
      <c r="C167" s="215" t="str">
        <f>if(isError(vlookup(B167,'node-RE'!C:C, 1, FALSE)), "NO", "YES")</f>
        <v>NO</v>
      </c>
      <c r="D167" s="218"/>
      <c r="E167" s="218" t="s">
        <v>52</v>
      </c>
      <c r="F167" s="1"/>
      <c r="H167" s="218"/>
      <c r="I167" s="218"/>
      <c r="J167" s="218" t="s">
        <v>280</v>
      </c>
      <c r="K167" s="215" t="str">
        <f>if(isError(vlookup(J167,'node-RE'!$C:$C, 1, FALSE)), "NO", "YES")</f>
        <v>NO</v>
      </c>
      <c r="L167" s="217"/>
      <c r="M167" s="217"/>
      <c r="N167" s="217"/>
    </row>
    <row r="168">
      <c r="A168" s="214" t="s">
        <v>134</v>
      </c>
      <c r="B168" s="215" t="s">
        <v>506</v>
      </c>
      <c r="C168" s="215" t="str">
        <f>if(isError(vlookup(B168,'node-RE'!C:C, 1, FALSE)), "NO", "YES")</f>
        <v>NO</v>
      </c>
      <c r="D168" s="218"/>
      <c r="E168" s="218" t="s">
        <v>231</v>
      </c>
      <c r="F168" s="1"/>
      <c r="H168" s="218"/>
      <c r="I168" s="218"/>
      <c r="J168" s="218" t="s">
        <v>73</v>
      </c>
      <c r="K168" s="215" t="str">
        <f>if(isError(vlookup(J168,'node-RE'!$C:$C, 1, FALSE)), "NO", "YES")</f>
        <v>NO</v>
      </c>
      <c r="L168" s="218"/>
      <c r="M168" s="218"/>
      <c r="N168" s="218"/>
    </row>
    <row r="169">
      <c r="A169" s="214" t="s">
        <v>316</v>
      </c>
      <c r="B169" s="215" t="s">
        <v>95</v>
      </c>
      <c r="C169" s="215" t="str">
        <f>if(isError(vlookup(B169,'node-RE'!C:C, 1, FALSE)), "NO", "YES")</f>
        <v>NO</v>
      </c>
      <c r="D169" s="218"/>
      <c r="E169" s="218" t="s">
        <v>310</v>
      </c>
      <c r="F169" s="1"/>
      <c r="H169" s="218"/>
      <c r="I169" s="218"/>
      <c r="J169" s="218" t="s">
        <v>78</v>
      </c>
      <c r="K169" s="215" t="str">
        <f>if(isError(vlookup(J169,'node-RE'!$C:$C, 1, FALSE)), "NO", "YES")</f>
        <v>NO</v>
      </c>
      <c r="L169" s="217"/>
      <c r="M169" s="217"/>
      <c r="N169" s="217"/>
    </row>
    <row r="170">
      <c r="A170" s="214" t="s">
        <v>381</v>
      </c>
      <c r="B170" s="215" t="s">
        <v>443</v>
      </c>
      <c r="C170" s="215" t="str">
        <f>if(isError(vlookup(B170,'node-RE'!C:C, 1, FALSE)), "NO", "YES")</f>
        <v>NO</v>
      </c>
      <c r="D170" s="218"/>
      <c r="E170" s="218" t="s">
        <v>383</v>
      </c>
      <c r="F170" s="1"/>
      <c r="K170" s="218"/>
      <c r="L170" s="218"/>
      <c r="M170" s="218"/>
      <c r="N170" s="218"/>
    </row>
    <row r="171">
      <c r="A171" s="214" t="s">
        <v>48</v>
      </c>
      <c r="B171" s="215" t="s">
        <v>477</v>
      </c>
      <c r="C171" s="215" t="str">
        <f>if(isError(vlookup(B171,'node-RE'!C:C, 1, FALSE)), "NO", "YES")</f>
        <v>NO</v>
      </c>
      <c r="D171" s="218"/>
      <c r="E171" s="218" t="s">
        <v>49</v>
      </c>
      <c r="F171" s="1"/>
      <c r="K171" s="217"/>
      <c r="L171" s="217"/>
      <c r="M171" s="217"/>
      <c r="N171" s="217"/>
    </row>
    <row r="172">
      <c r="A172" s="214" t="s">
        <v>504</v>
      </c>
      <c r="B172" s="215" t="s">
        <v>278</v>
      </c>
      <c r="C172" s="215" t="str">
        <f>if(isError(vlookup(B172,'node-RE'!C:C, 1, FALSE)), "NO", "YES")</f>
        <v>NO</v>
      </c>
      <c r="D172" s="218"/>
      <c r="E172" s="218" t="s">
        <v>395</v>
      </c>
      <c r="F172" s="1"/>
      <c r="K172" s="218"/>
      <c r="L172" s="218"/>
      <c r="M172" s="218"/>
      <c r="N172" s="218"/>
    </row>
    <row r="173">
      <c r="A173" s="214" t="s">
        <v>462</v>
      </c>
      <c r="B173" s="215" t="s">
        <v>260</v>
      </c>
      <c r="C173" s="215" t="str">
        <f>if(isError(vlookup(B173,'node-RE'!C:C, 1, FALSE)), "NO", "YES")</f>
        <v>NO</v>
      </c>
      <c r="D173" s="218"/>
      <c r="E173" s="218" t="s">
        <v>44</v>
      </c>
      <c r="F173" s="1"/>
      <c r="K173" s="218"/>
      <c r="L173" s="218"/>
      <c r="M173" s="218"/>
      <c r="N173" s="218"/>
    </row>
    <row r="174">
      <c r="A174" s="214" t="s">
        <v>68</v>
      </c>
      <c r="B174" s="215" t="s">
        <v>102</v>
      </c>
      <c r="C174" s="215" t="str">
        <f>if(isError(vlookup(B174,'node-RE'!C:C, 1, FALSE)), "NO", "YES")</f>
        <v>NO</v>
      </c>
      <c r="D174" s="218"/>
      <c r="E174" s="218" t="s">
        <v>187</v>
      </c>
      <c r="F174" s="1"/>
      <c r="K174" s="218"/>
      <c r="L174" s="218"/>
      <c r="M174" s="218"/>
      <c r="N174" s="218"/>
    </row>
    <row r="175">
      <c r="A175" s="214" t="s">
        <v>399</v>
      </c>
      <c r="B175" s="215" t="s">
        <v>448</v>
      </c>
      <c r="C175" s="215" t="str">
        <f>if(isError(vlookup(B175,'node-RE'!C:C, 1, FALSE)), "NO", "YES")</f>
        <v>NO</v>
      </c>
      <c r="D175" s="218"/>
      <c r="E175" s="218" t="s">
        <v>59</v>
      </c>
      <c r="F175" s="1"/>
      <c r="K175" s="217"/>
      <c r="L175" s="217"/>
      <c r="M175" s="217"/>
      <c r="N175" s="217"/>
    </row>
    <row r="176">
      <c r="A176" s="214" t="s">
        <v>369</v>
      </c>
      <c r="B176" s="215" t="s">
        <v>134</v>
      </c>
      <c r="C176" s="215" t="str">
        <f>if(isError(vlookup(B176,'node-RE'!C:C, 1, FALSE)), "NO", "YES")</f>
        <v>NO</v>
      </c>
      <c r="D176" s="218"/>
      <c r="E176" s="218" t="s">
        <v>65</v>
      </c>
      <c r="F176" s="1"/>
      <c r="K176" s="217"/>
      <c r="L176" s="217"/>
      <c r="M176" s="217"/>
      <c r="N176" s="217"/>
    </row>
    <row r="177">
      <c r="A177" s="214" t="s">
        <v>130</v>
      </c>
      <c r="B177" s="215" t="s">
        <v>316</v>
      </c>
      <c r="C177" s="215" t="str">
        <f>if(isError(vlookup(B177,'node-RE'!C:C, 1, FALSE)), "NO", "YES")</f>
        <v>NO</v>
      </c>
      <c r="D177" s="218"/>
      <c r="E177" s="218" t="s">
        <v>119</v>
      </c>
      <c r="F177" s="1"/>
      <c r="K177" s="218"/>
      <c r="L177" s="218"/>
      <c r="M177" s="218"/>
      <c r="N177" s="218"/>
    </row>
    <row r="178">
      <c r="A178" s="214" t="s">
        <v>75</v>
      </c>
      <c r="B178" s="215" t="s">
        <v>381</v>
      </c>
      <c r="C178" s="215" t="str">
        <f>if(isError(vlookup(B178,'node-RE'!C:C, 1, FALSE)), "NO", "YES")</f>
        <v>NO</v>
      </c>
      <c r="D178" s="218"/>
      <c r="E178" s="218" t="s">
        <v>150</v>
      </c>
      <c r="F178" s="1"/>
      <c r="K178" s="217"/>
      <c r="L178" s="217"/>
      <c r="M178" s="217"/>
      <c r="N178" s="217"/>
    </row>
    <row r="179">
      <c r="A179" s="214" t="s">
        <v>329</v>
      </c>
      <c r="B179" s="215" t="s">
        <v>48</v>
      </c>
      <c r="C179" s="215" t="str">
        <f>if(isError(vlookup(B179,'node-RE'!C:C, 1, FALSE)), "NO", "YES")</f>
        <v>NO</v>
      </c>
      <c r="D179" s="218"/>
      <c r="E179" s="218" t="s">
        <v>266</v>
      </c>
      <c r="F179" s="1"/>
      <c r="K179" s="217"/>
      <c r="L179" s="217"/>
      <c r="M179" s="217"/>
      <c r="N179" s="217"/>
    </row>
    <row r="180">
      <c r="A180" s="214" t="s">
        <v>43</v>
      </c>
      <c r="B180" s="215" t="s">
        <v>504</v>
      </c>
      <c r="C180" s="215" t="str">
        <f>if(isError(vlookup(B180,'node-RE'!C:C, 1, FALSE)), "NO", "YES")</f>
        <v>NO</v>
      </c>
      <c r="D180" s="218"/>
      <c r="E180" s="218" t="s">
        <v>280</v>
      </c>
      <c r="F180" s="1"/>
      <c r="K180" s="218"/>
      <c r="L180" s="218"/>
      <c r="M180" s="218"/>
      <c r="N180" s="218"/>
    </row>
    <row r="181">
      <c r="A181" s="214" t="s">
        <v>221</v>
      </c>
      <c r="B181" s="215" t="s">
        <v>462</v>
      </c>
      <c r="C181" s="215" t="str">
        <f>if(isError(vlookup(B181,'node-RE'!C:C, 1, FALSE)), "NO", "YES")</f>
        <v>NO</v>
      </c>
      <c r="D181" s="218"/>
      <c r="E181" s="218" t="s">
        <v>73</v>
      </c>
      <c r="F181" s="1"/>
      <c r="K181" s="217"/>
      <c r="L181" s="217"/>
      <c r="M181" s="217"/>
      <c r="N181" s="217"/>
    </row>
    <row r="182">
      <c r="A182" s="214" t="s">
        <v>291</v>
      </c>
      <c r="B182" s="215" t="s">
        <v>68</v>
      </c>
      <c r="C182" s="215" t="str">
        <f>if(isError(vlookup(B182,'node-RE'!C:C, 1, FALSE)), "NO", "YES")</f>
        <v>NO</v>
      </c>
      <c r="D182" s="218"/>
      <c r="E182" s="218" t="s">
        <v>78</v>
      </c>
      <c r="F182" s="1"/>
      <c r="K182" s="218"/>
      <c r="L182" s="218"/>
      <c r="M182" s="218"/>
      <c r="N182" s="218"/>
    </row>
    <row r="183">
      <c r="A183" s="214" t="s">
        <v>508</v>
      </c>
      <c r="B183" s="215" t="s">
        <v>399</v>
      </c>
      <c r="C183" s="215" t="str">
        <f>if(isError(vlookup(B183,'node-RE'!C:C, 1, FALSE)), "NO", "YES")</f>
        <v>NO</v>
      </c>
      <c r="D183" s="218"/>
      <c r="E183" s="218" t="s">
        <v>978</v>
      </c>
      <c r="F183" s="1"/>
      <c r="K183" s="218"/>
      <c r="L183" s="218"/>
      <c r="M183" s="218"/>
      <c r="N183" s="218"/>
    </row>
    <row r="184">
      <c r="A184" s="214" t="s">
        <v>263</v>
      </c>
      <c r="B184" s="215" t="s">
        <v>230</v>
      </c>
      <c r="C184" s="215" t="str">
        <f>if(isError(vlookup(B184,'node-RE'!C:C, 1, FALSE)), "NO", "YES")</f>
        <v>YES</v>
      </c>
      <c r="D184" s="218"/>
      <c r="E184" s="218" t="s">
        <v>978</v>
      </c>
      <c r="F184" s="1"/>
      <c r="K184" s="217"/>
      <c r="L184" s="217"/>
      <c r="M184" s="217"/>
      <c r="N184" s="217"/>
    </row>
    <row r="185">
      <c r="A185" s="214" t="s">
        <v>261</v>
      </c>
      <c r="B185" s="215" t="s">
        <v>369</v>
      </c>
      <c r="C185" s="215" t="str">
        <f>if(isError(vlookup(B185,'node-RE'!C:C, 1, FALSE)), "NO", "YES")</f>
        <v>NO</v>
      </c>
      <c r="D185" s="218"/>
      <c r="E185" s="218" t="s">
        <v>978</v>
      </c>
      <c r="F185" s="1"/>
      <c r="K185" s="218"/>
      <c r="L185" s="218"/>
      <c r="M185" s="218"/>
      <c r="N185" s="218"/>
    </row>
    <row r="186">
      <c r="A186" s="214" t="s">
        <v>51</v>
      </c>
      <c r="B186" s="215" t="s">
        <v>130</v>
      </c>
      <c r="C186" s="215" t="str">
        <f>if(isError(vlookup(B186,'node-RE'!C:C, 1, FALSE)), "NO", "YES")</f>
        <v>NO</v>
      </c>
      <c r="D186" s="218"/>
      <c r="E186" s="218" t="s">
        <v>978</v>
      </c>
      <c r="F186" s="1"/>
      <c r="K186" s="218"/>
      <c r="L186" s="218"/>
      <c r="M186" s="218"/>
      <c r="N186" s="218"/>
    </row>
    <row r="187">
      <c r="A187" s="214" t="s">
        <v>106</v>
      </c>
      <c r="B187" s="215" t="s">
        <v>75</v>
      </c>
      <c r="C187" s="215" t="str">
        <f>if(isError(vlookup(B187,'node-RE'!C:C, 1, FALSE)), "NO", "YES")</f>
        <v>NO</v>
      </c>
      <c r="D187" s="218"/>
      <c r="E187" s="218" t="s">
        <v>978</v>
      </c>
      <c r="F187" s="1"/>
      <c r="K187" s="218"/>
      <c r="L187" s="218"/>
      <c r="M187" s="218"/>
      <c r="N187" s="218"/>
    </row>
    <row r="188">
      <c r="A188" s="214" t="s">
        <v>426</v>
      </c>
      <c r="B188" s="215" t="s">
        <v>329</v>
      </c>
      <c r="C188" s="215" t="str">
        <f>if(isError(vlookup(B188,'node-RE'!C:C, 1, FALSE)), "NO", "YES")</f>
        <v>NO</v>
      </c>
      <c r="D188" s="218"/>
      <c r="E188" s="218" t="s">
        <v>978</v>
      </c>
      <c r="F188" s="1"/>
      <c r="K188" s="218"/>
      <c r="L188" s="218"/>
      <c r="M188" s="218"/>
      <c r="N188" s="218"/>
    </row>
    <row r="189">
      <c r="A189" s="214" t="s">
        <v>113</v>
      </c>
      <c r="B189" s="215" t="s">
        <v>43</v>
      </c>
      <c r="C189" s="215" t="str">
        <f>if(isError(vlookup(B189,'node-RE'!C:C, 1, FALSE)), "NO", "YES")</f>
        <v>NO</v>
      </c>
      <c r="D189" s="218"/>
      <c r="E189" s="218" t="s">
        <v>978</v>
      </c>
      <c r="F189" s="1"/>
      <c r="K189" s="217"/>
      <c r="L189" s="217"/>
      <c r="M189" s="217"/>
      <c r="N189" s="217"/>
    </row>
    <row r="190">
      <c r="A190" s="214" t="s">
        <v>196</v>
      </c>
      <c r="B190" s="215" t="s">
        <v>221</v>
      </c>
      <c r="C190" s="215" t="str">
        <f>if(isError(vlookup(B190,'node-RE'!C:C, 1, FALSE)), "NO", "YES")</f>
        <v>NO</v>
      </c>
      <c r="D190" s="218"/>
      <c r="E190" s="218" t="s">
        <v>978</v>
      </c>
      <c r="F190" s="1"/>
      <c r="K190" s="217"/>
      <c r="L190" s="217"/>
      <c r="M190" s="217"/>
      <c r="N190" s="217"/>
    </row>
    <row r="191">
      <c r="A191" s="214" t="s">
        <v>444</v>
      </c>
      <c r="B191" s="215" t="s">
        <v>291</v>
      </c>
      <c r="C191" s="215" t="str">
        <f>if(isError(vlookup(B191,'node-RE'!C:C, 1, FALSE)), "NO", "YES")</f>
        <v>NO</v>
      </c>
      <c r="D191" s="218"/>
      <c r="E191" s="218" t="s">
        <v>978</v>
      </c>
      <c r="F191" s="1"/>
      <c r="K191" s="218"/>
      <c r="L191" s="218"/>
      <c r="M191" s="218"/>
      <c r="N191" s="218"/>
    </row>
    <row r="192">
      <c r="A192" s="214" t="s">
        <v>135</v>
      </c>
      <c r="B192" s="215" t="s">
        <v>508</v>
      </c>
      <c r="C192" s="215" t="str">
        <f>if(isError(vlookup(B192,'node-RE'!C:C, 1, FALSE)), "NO", "YES")</f>
        <v>NO</v>
      </c>
      <c r="D192" s="218"/>
      <c r="E192" s="218" t="s">
        <v>978</v>
      </c>
      <c r="F192" s="1"/>
      <c r="K192" s="218"/>
      <c r="L192" s="218"/>
      <c r="M192" s="218"/>
      <c r="N192" s="218"/>
    </row>
    <row r="193">
      <c r="A193" s="214" t="s">
        <v>192</v>
      </c>
      <c r="B193" s="215" t="s">
        <v>263</v>
      </c>
      <c r="C193" s="215" t="str">
        <f>if(isError(vlookup(B193,'node-RE'!C:C, 1, FALSE)), "NO", "YES")</f>
        <v>NO</v>
      </c>
      <c r="D193" s="218"/>
      <c r="E193" s="218" t="s">
        <v>978</v>
      </c>
      <c r="F193" s="1"/>
      <c r="K193" s="218"/>
      <c r="L193" s="218"/>
      <c r="M193" s="218"/>
      <c r="N193" s="218"/>
    </row>
    <row r="194">
      <c r="A194" s="214" t="s">
        <v>385</v>
      </c>
      <c r="B194" s="215" t="s">
        <v>261</v>
      </c>
      <c r="C194" s="215" t="str">
        <f>if(isError(vlookup(B194,'node-RE'!C:C, 1, FALSE)), "NO", "YES")</f>
        <v>NO</v>
      </c>
      <c r="D194" s="218"/>
      <c r="E194" s="218" t="s">
        <v>978</v>
      </c>
      <c r="F194" s="1"/>
      <c r="K194" s="218"/>
      <c r="L194" s="218"/>
      <c r="M194" s="218"/>
      <c r="N194" s="218"/>
    </row>
    <row r="195">
      <c r="A195" s="214" t="s">
        <v>186</v>
      </c>
      <c r="B195" s="215" t="s">
        <v>208</v>
      </c>
      <c r="C195" s="215" t="str">
        <f>if(isError(vlookup(B195,'node-RE'!C:C, 1, FALSE)), "NO", "YES")</f>
        <v>YES</v>
      </c>
      <c r="D195" s="218"/>
      <c r="E195" s="218" t="s">
        <v>978</v>
      </c>
      <c r="F195" s="1"/>
      <c r="K195" s="218"/>
      <c r="L195" s="218"/>
      <c r="M195" s="218"/>
      <c r="N195" s="218"/>
    </row>
    <row r="196">
      <c r="A196" s="214" t="s">
        <v>445</v>
      </c>
      <c r="B196" s="215" t="s">
        <v>51</v>
      </c>
      <c r="C196" s="215" t="str">
        <f>if(isError(vlookup(B196,'node-RE'!C:C, 1, FALSE)), "NO", "YES")</f>
        <v>NO</v>
      </c>
      <c r="D196" s="218"/>
      <c r="E196" s="218" t="s">
        <v>978</v>
      </c>
      <c r="F196" s="1"/>
      <c r="K196" s="218"/>
      <c r="L196" s="218"/>
      <c r="M196" s="218"/>
      <c r="N196" s="218"/>
    </row>
    <row r="197">
      <c r="A197" s="214" t="s">
        <v>319</v>
      </c>
      <c r="B197" s="215" t="s">
        <v>106</v>
      </c>
      <c r="C197" s="215" t="str">
        <f>if(isError(vlookup(B197,'node-RE'!C:C, 1, FALSE)), "NO", "YES")</f>
        <v>NO</v>
      </c>
      <c r="D197" s="218"/>
      <c r="E197" s="218" t="s">
        <v>978</v>
      </c>
      <c r="F197" s="1"/>
      <c r="K197" s="218"/>
      <c r="L197" s="218"/>
      <c r="M197" s="218"/>
      <c r="N197" s="218"/>
    </row>
    <row r="198">
      <c r="A198" s="214" t="s">
        <v>197</v>
      </c>
      <c r="B198" s="215" t="s">
        <v>426</v>
      </c>
      <c r="C198" s="215" t="str">
        <f>if(isError(vlookup(B198,'node-RE'!C:C, 1, FALSE)), "NO", "YES")</f>
        <v>NO</v>
      </c>
      <c r="D198" s="218"/>
      <c r="E198" s="218" t="s">
        <v>978</v>
      </c>
      <c r="F198" s="1"/>
      <c r="K198" s="218"/>
      <c r="L198" s="218"/>
      <c r="M198" s="218"/>
      <c r="N198" s="218"/>
    </row>
    <row r="199">
      <c r="A199" s="214" t="s">
        <v>436</v>
      </c>
      <c r="B199" s="215" t="s">
        <v>283</v>
      </c>
      <c r="C199" s="215" t="str">
        <f>if(isError(vlookup(B199,'node-RE'!C:C, 1, FALSE)), "NO", "YES")</f>
        <v>YES</v>
      </c>
      <c r="D199" s="218"/>
      <c r="E199" s="218" t="s">
        <v>978</v>
      </c>
      <c r="F199" s="1"/>
      <c r="K199" s="218"/>
      <c r="L199" s="218"/>
      <c r="M199" s="218"/>
      <c r="N199" s="218"/>
    </row>
    <row r="200">
      <c r="A200" s="214" t="s">
        <v>37</v>
      </c>
      <c r="B200" s="215" t="s">
        <v>113</v>
      </c>
      <c r="C200" s="215" t="str">
        <f>if(isError(vlookup(B200,'node-RE'!C:C, 1, FALSE)), "NO", "YES")</f>
        <v>NO</v>
      </c>
      <c r="D200" s="218"/>
      <c r="E200" s="218" t="s">
        <v>978</v>
      </c>
      <c r="F200" s="1"/>
      <c r="K200" s="218"/>
      <c r="L200" s="218"/>
      <c r="M200" s="218"/>
      <c r="N200" s="218"/>
    </row>
    <row r="201">
      <c r="A201" s="214" t="s">
        <v>284</v>
      </c>
      <c r="B201" s="215" t="s">
        <v>196</v>
      </c>
      <c r="C201" s="215" t="str">
        <f>if(isError(vlookup(B201,'node-RE'!C:C, 1, FALSE)), "NO", "YES")</f>
        <v>NO</v>
      </c>
      <c r="D201" s="218"/>
      <c r="E201" s="218" t="s">
        <v>978</v>
      </c>
      <c r="F201" s="1"/>
      <c r="K201" s="217"/>
      <c r="L201" s="217"/>
      <c r="M201" s="217"/>
      <c r="N201" s="217"/>
    </row>
    <row r="202">
      <c r="A202" s="214" t="s">
        <v>125</v>
      </c>
      <c r="B202" s="215" t="s">
        <v>444</v>
      </c>
      <c r="C202" s="215" t="str">
        <f>if(isError(vlookup(B202,'node-RE'!C:C, 1, FALSE)), "NO", "YES")</f>
        <v>NO</v>
      </c>
      <c r="D202" s="218"/>
      <c r="E202" s="218" t="s">
        <v>978</v>
      </c>
      <c r="F202" s="1"/>
      <c r="K202" s="218"/>
      <c r="L202" s="218"/>
      <c r="M202" s="218"/>
      <c r="N202" s="218"/>
    </row>
    <row r="203">
      <c r="A203" s="214" t="s">
        <v>334</v>
      </c>
      <c r="B203" s="215" t="s">
        <v>135</v>
      </c>
      <c r="C203" s="215" t="str">
        <f>if(isError(vlookup(B203,'node-RE'!C:C, 1, FALSE)), "NO", "YES")</f>
        <v>NO</v>
      </c>
      <c r="D203" s="218"/>
      <c r="E203" s="218" t="s">
        <v>978</v>
      </c>
      <c r="F203" s="1"/>
      <c r="K203" s="218"/>
      <c r="L203" s="218"/>
      <c r="M203" s="218"/>
      <c r="N203" s="218"/>
    </row>
    <row r="204">
      <c r="A204" s="214" t="s">
        <v>306</v>
      </c>
      <c r="B204" s="215" t="s">
        <v>192</v>
      </c>
      <c r="C204" s="215" t="str">
        <f>if(isError(vlookup(B204,'node-RE'!C:C, 1, FALSE)), "NO", "YES")</f>
        <v>NO</v>
      </c>
      <c r="D204" s="218"/>
      <c r="E204" s="218" t="s">
        <v>978</v>
      </c>
      <c r="F204" s="1"/>
      <c r="K204" s="218"/>
      <c r="L204" s="218"/>
      <c r="M204" s="218"/>
      <c r="N204" s="218"/>
    </row>
    <row r="205">
      <c r="A205" s="214" t="s">
        <v>277</v>
      </c>
      <c r="B205" s="215" t="s">
        <v>385</v>
      </c>
      <c r="C205" s="215" t="str">
        <f>if(isError(vlookup(B205,'node-RE'!C:C, 1, FALSE)), "NO", "YES")</f>
        <v>NO</v>
      </c>
      <c r="D205" s="218"/>
      <c r="E205" s="218" t="s">
        <v>978</v>
      </c>
      <c r="F205" s="1"/>
      <c r="K205" s="218"/>
      <c r="L205" s="218"/>
      <c r="M205" s="218"/>
      <c r="N205" s="218"/>
    </row>
    <row r="206">
      <c r="A206" s="214" t="s">
        <v>175</v>
      </c>
      <c r="B206" s="215" t="s">
        <v>186</v>
      </c>
      <c r="C206" s="215" t="str">
        <f>if(isError(vlookup(B206,'node-RE'!C:C, 1, FALSE)), "NO", "YES")</f>
        <v>NO</v>
      </c>
      <c r="D206" s="218"/>
      <c r="E206" s="218" t="s">
        <v>978</v>
      </c>
      <c r="F206" s="1"/>
      <c r="K206" s="218"/>
      <c r="L206" s="218"/>
      <c r="M206" s="218"/>
      <c r="N206" s="218"/>
    </row>
    <row r="207">
      <c r="A207" s="214" t="s">
        <v>227</v>
      </c>
      <c r="B207" s="215" t="s">
        <v>445</v>
      </c>
      <c r="C207" s="215" t="str">
        <f>if(isError(vlookup(B207,'node-RE'!C:C, 1, FALSE)), "NO", "YES")</f>
        <v>NO</v>
      </c>
      <c r="D207" s="218"/>
      <c r="E207" s="218" t="s">
        <v>978</v>
      </c>
      <c r="F207" s="1"/>
      <c r="K207" s="217"/>
      <c r="L207" s="217"/>
      <c r="M207" s="217"/>
      <c r="N207" s="217"/>
    </row>
    <row r="208">
      <c r="A208" s="214" t="s">
        <v>310</v>
      </c>
      <c r="B208" s="215" t="s">
        <v>319</v>
      </c>
      <c r="C208" s="215" t="str">
        <f>if(isError(vlookup(B208,'node-RE'!C:C, 1, FALSE)), "NO", "YES")</f>
        <v>NO</v>
      </c>
      <c r="D208" s="218"/>
      <c r="E208" s="218" t="s">
        <v>978</v>
      </c>
      <c r="F208" s="1"/>
      <c r="K208" s="218"/>
      <c r="L208" s="218"/>
      <c r="M208" s="218"/>
      <c r="N208" s="218"/>
    </row>
    <row r="209">
      <c r="A209" s="214" t="s">
        <v>383</v>
      </c>
      <c r="B209" s="215" t="s">
        <v>197</v>
      </c>
      <c r="C209" s="215" t="str">
        <f>if(isError(vlookup(B209,'node-RE'!C:C, 1, FALSE)), "NO", "YES")</f>
        <v>NO</v>
      </c>
      <c r="D209" s="218"/>
      <c r="E209" s="218" t="s">
        <v>978</v>
      </c>
      <c r="F209" s="1"/>
      <c r="K209" s="218"/>
      <c r="L209" s="218"/>
      <c r="M209" s="218"/>
      <c r="N209" s="218"/>
    </row>
    <row r="210">
      <c r="A210" s="214" t="s">
        <v>49</v>
      </c>
      <c r="B210" s="215" t="s">
        <v>436</v>
      </c>
      <c r="C210" s="215" t="str">
        <f>if(isError(vlookup(B210,'node-RE'!C:C, 1, FALSE)), "NO", "YES")</f>
        <v>NO</v>
      </c>
      <c r="D210" s="218"/>
      <c r="E210" s="218" t="s">
        <v>978</v>
      </c>
      <c r="F210" s="1"/>
      <c r="K210" s="218"/>
      <c r="L210" s="218"/>
      <c r="M210" s="218"/>
      <c r="N210" s="218"/>
    </row>
    <row r="211">
      <c r="A211" s="214" t="s">
        <v>395</v>
      </c>
      <c r="B211" s="215" t="s">
        <v>37</v>
      </c>
      <c r="C211" s="215" t="str">
        <f>if(isError(vlookup(B211,'node-RE'!C:C, 1, FALSE)), "NO", "YES")</f>
        <v>NO</v>
      </c>
      <c r="D211" s="218"/>
      <c r="E211" s="218" t="s">
        <v>978</v>
      </c>
      <c r="F211" s="1"/>
      <c r="K211" s="217"/>
      <c r="L211" s="217"/>
      <c r="M211" s="217"/>
      <c r="N211" s="217"/>
    </row>
    <row r="212">
      <c r="A212" s="214" t="s">
        <v>187</v>
      </c>
      <c r="B212" s="215" t="s">
        <v>284</v>
      </c>
      <c r="C212" s="215" t="str">
        <f>if(isError(vlookup(B212,'node-RE'!C:C, 1, FALSE)), "NO", "YES")</f>
        <v>NO</v>
      </c>
      <c r="D212" s="218"/>
      <c r="E212" s="218" t="s">
        <v>978</v>
      </c>
      <c r="F212" s="1"/>
      <c r="K212" s="218"/>
      <c r="L212" s="218"/>
      <c r="M212" s="218"/>
      <c r="N212" s="218"/>
    </row>
    <row r="213">
      <c r="A213" s="214" t="s">
        <v>59</v>
      </c>
      <c r="B213" s="215" t="s">
        <v>125</v>
      </c>
      <c r="C213" s="215" t="str">
        <f>if(isError(vlookup(B213,'node-RE'!C:C, 1, FALSE)), "NO", "YES")</f>
        <v>NO</v>
      </c>
      <c r="D213" s="218"/>
      <c r="E213" s="218" t="s">
        <v>978</v>
      </c>
      <c r="F213" s="1"/>
      <c r="K213" s="218"/>
      <c r="L213" s="218"/>
      <c r="M213" s="218"/>
      <c r="N213" s="218"/>
    </row>
    <row r="214">
      <c r="A214" s="214" t="s">
        <v>65</v>
      </c>
      <c r="B214" s="215" t="s">
        <v>331</v>
      </c>
      <c r="C214" s="215" t="str">
        <f>if(isError(vlookup(B214,'node-RE'!C:C, 1, FALSE)), "NO", "YES")</f>
        <v>YES</v>
      </c>
      <c r="D214" s="218"/>
      <c r="E214" s="218" t="s">
        <v>978</v>
      </c>
      <c r="F214" s="1"/>
      <c r="K214" s="218"/>
      <c r="L214" s="218"/>
      <c r="M214" s="218"/>
      <c r="N214" s="218"/>
    </row>
    <row r="215">
      <c r="A215" s="214" t="s">
        <v>119</v>
      </c>
      <c r="B215" s="215" t="s">
        <v>334</v>
      </c>
      <c r="C215" s="215" t="str">
        <f>if(isError(vlookup(B215,'node-RE'!C:C, 1, FALSE)), "NO", "YES")</f>
        <v>NO</v>
      </c>
      <c r="D215" s="218"/>
      <c r="E215" s="218" t="s">
        <v>978</v>
      </c>
      <c r="F215" s="1"/>
      <c r="K215" s="218"/>
      <c r="L215" s="218"/>
      <c r="M215" s="218"/>
      <c r="N215" s="218"/>
    </row>
    <row r="216">
      <c r="A216" s="214" t="s">
        <v>150</v>
      </c>
      <c r="B216" s="215" t="s">
        <v>306</v>
      </c>
      <c r="C216" s="215" t="str">
        <f>if(isError(vlookup(B216,'node-RE'!C:C, 1, FALSE)), "NO", "YES")</f>
        <v>NO</v>
      </c>
      <c r="D216" s="218"/>
      <c r="E216" s="218" t="s">
        <v>978</v>
      </c>
      <c r="F216" s="1"/>
      <c r="K216" s="217"/>
      <c r="L216" s="217"/>
      <c r="M216" s="217"/>
      <c r="N216" s="217"/>
    </row>
    <row r="217">
      <c r="A217" s="214" t="s">
        <v>266</v>
      </c>
      <c r="B217" s="215" t="s">
        <v>277</v>
      </c>
      <c r="C217" s="215" t="str">
        <f>if(isError(vlookup(B217,'node-RE'!C:C, 1, FALSE)), "NO", "YES")</f>
        <v>NO</v>
      </c>
      <c r="D217" s="218"/>
      <c r="E217" s="218" t="s">
        <v>978</v>
      </c>
      <c r="F217" s="1"/>
      <c r="K217" s="218"/>
      <c r="L217" s="218"/>
      <c r="M217" s="218"/>
      <c r="N217" s="218"/>
    </row>
    <row r="218">
      <c r="A218" s="214" t="s">
        <v>280</v>
      </c>
      <c r="B218" s="215" t="s">
        <v>175</v>
      </c>
      <c r="C218" s="215" t="str">
        <f>if(isError(vlookup(B218,'node-RE'!C:C, 1, FALSE)), "NO", "YES")</f>
        <v>NO</v>
      </c>
      <c r="D218" s="218"/>
      <c r="E218" s="218" t="s">
        <v>978</v>
      </c>
      <c r="F218" s="1"/>
      <c r="K218" s="218"/>
      <c r="L218" s="218"/>
      <c r="M218" s="218"/>
      <c r="N218" s="218"/>
    </row>
    <row r="219">
      <c r="A219" s="214" t="s">
        <v>73</v>
      </c>
      <c r="B219" s="215" t="s">
        <v>351</v>
      </c>
      <c r="C219" s="215" t="str">
        <f>if(isError(vlookup(B219,'node-RE'!C:C, 1, FALSE)), "NO", "YES")</f>
        <v>YES</v>
      </c>
      <c r="D219" s="218"/>
      <c r="E219" s="218" t="s">
        <v>978</v>
      </c>
      <c r="F219" s="1"/>
      <c r="K219" s="217"/>
      <c r="L219" s="217"/>
      <c r="M219" s="217"/>
      <c r="N219" s="217"/>
    </row>
    <row r="220">
      <c r="A220" s="214" t="s">
        <v>479</v>
      </c>
      <c r="B220" s="215" t="s">
        <v>227</v>
      </c>
      <c r="C220" s="215" t="str">
        <f>if(isError(vlookup(B220,'node-RE'!C:C, 1, FALSE)), "NO", "YES")</f>
        <v>NO</v>
      </c>
      <c r="D220" s="218"/>
      <c r="E220" s="218" t="s">
        <v>978</v>
      </c>
      <c r="F220" s="1"/>
      <c r="K220" s="218"/>
      <c r="L220" s="218"/>
      <c r="M220" s="218"/>
      <c r="N220" s="218"/>
    </row>
    <row r="221">
      <c r="A221" s="214" t="s">
        <v>78</v>
      </c>
      <c r="B221" s="215" t="s">
        <v>52</v>
      </c>
      <c r="C221" s="215" t="str">
        <f>if(isError(vlookup(B221,'node-RE'!C:C, 1, FALSE)), "NO", "YES")</f>
        <v>YES</v>
      </c>
      <c r="D221" s="218"/>
      <c r="E221" s="218" t="s">
        <v>978</v>
      </c>
      <c r="F221" s="1"/>
      <c r="K221" s="217"/>
      <c r="L221" s="217"/>
      <c r="M221" s="217"/>
      <c r="N221" s="217"/>
    </row>
    <row r="222">
      <c r="B222" s="215" t="s">
        <v>231</v>
      </c>
      <c r="C222" s="215" t="str">
        <f>if(isError(vlookup(B222,'node-RE'!C:C, 1, FALSE)), "NO", "YES")</f>
        <v>YES</v>
      </c>
      <c r="D222" s="218"/>
      <c r="E222" s="218" t="s">
        <v>978</v>
      </c>
      <c r="F222" s="1"/>
      <c r="K222" s="218"/>
      <c r="L222" s="218"/>
      <c r="M222" s="218"/>
      <c r="N222" s="218"/>
    </row>
    <row r="223">
      <c r="B223" s="215" t="s">
        <v>310</v>
      </c>
      <c r="C223" s="215" t="str">
        <f>if(isError(vlookup(B223,'node-RE'!C:C, 1, FALSE)), "NO", "YES")</f>
        <v>NO</v>
      </c>
      <c r="D223" s="218"/>
      <c r="E223" s="218" t="s">
        <v>978</v>
      </c>
      <c r="F223" s="1"/>
      <c r="K223" s="218"/>
      <c r="L223" s="218"/>
      <c r="M223" s="218"/>
      <c r="N223" s="218"/>
    </row>
    <row r="224">
      <c r="B224" s="215" t="s">
        <v>383</v>
      </c>
      <c r="C224" s="215" t="str">
        <f>if(isError(vlookup(B224,'node-RE'!C:C, 1, FALSE)), "NO", "YES")</f>
        <v>NO</v>
      </c>
      <c r="D224" s="218"/>
      <c r="E224" s="218" t="s">
        <v>978</v>
      </c>
      <c r="F224" s="1"/>
      <c r="K224" s="218"/>
      <c r="L224" s="218"/>
      <c r="M224" s="218"/>
      <c r="N224" s="218"/>
    </row>
    <row r="225">
      <c r="B225" s="215" t="s">
        <v>49</v>
      </c>
      <c r="C225" s="215" t="str">
        <f>if(isError(vlookup(B225,'node-RE'!C:C, 1, FALSE)), "NO", "YES")</f>
        <v>NO</v>
      </c>
      <c r="D225" s="218"/>
      <c r="E225" s="218" t="s">
        <v>978</v>
      </c>
      <c r="F225" s="1"/>
      <c r="K225" s="218"/>
      <c r="L225" s="218"/>
      <c r="M225" s="218"/>
      <c r="N225" s="218"/>
    </row>
    <row r="226">
      <c r="B226" s="215" t="s">
        <v>395</v>
      </c>
      <c r="C226" s="215" t="str">
        <f>if(isError(vlookup(B226,'node-RE'!C:C, 1, FALSE)), "NO", "YES")</f>
        <v>NO</v>
      </c>
      <c r="D226" s="218"/>
      <c r="E226" s="218" t="s">
        <v>978</v>
      </c>
      <c r="F226" s="1"/>
      <c r="K226" s="218"/>
      <c r="L226" s="218"/>
      <c r="M226" s="218"/>
      <c r="N226" s="218"/>
    </row>
    <row r="227">
      <c r="B227" s="215" t="s">
        <v>44</v>
      </c>
      <c r="C227" s="215" t="str">
        <f>if(isError(vlookup(B227,'node-RE'!C:C, 1, FALSE)), "NO", "YES")</f>
        <v>YES</v>
      </c>
      <c r="D227" s="218"/>
      <c r="E227" s="218" t="s">
        <v>978</v>
      </c>
      <c r="F227" s="1"/>
      <c r="K227" s="218"/>
      <c r="L227" s="218"/>
      <c r="M227" s="218"/>
      <c r="N227" s="218"/>
    </row>
    <row r="228">
      <c r="B228" s="215" t="s">
        <v>187</v>
      </c>
      <c r="C228" s="215" t="str">
        <f>if(isError(vlookup(B228,'node-RE'!C:C, 1, FALSE)), "NO", "YES")</f>
        <v>NO</v>
      </c>
      <c r="D228" s="218"/>
      <c r="E228" s="218" t="s">
        <v>978</v>
      </c>
      <c r="F228" s="1"/>
      <c r="K228" s="217"/>
      <c r="L228" s="217"/>
      <c r="M228" s="217"/>
      <c r="N228" s="217"/>
    </row>
    <row r="229">
      <c r="B229" s="215" t="s">
        <v>59</v>
      </c>
      <c r="C229" s="215" t="str">
        <f>if(isError(vlookup(B229,'node-RE'!C:C, 1, FALSE)), "NO", "YES")</f>
        <v>NO</v>
      </c>
      <c r="D229" s="218"/>
      <c r="E229" s="218" t="s">
        <v>978</v>
      </c>
      <c r="F229" s="1"/>
      <c r="K229" s="218"/>
      <c r="L229" s="218"/>
      <c r="M229" s="218"/>
      <c r="N229" s="218"/>
    </row>
    <row r="230">
      <c r="B230" s="215" t="s">
        <v>65</v>
      </c>
      <c r="C230" s="215" t="str">
        <f>if(isError(vlookup(B230,'node-RE'!C:C, 1, FALSE)), "NO", "YES")</f>
        <v>NO</v>
      </c>
      <c r="D230" s="218"/>
      <c r="E230" s="218" t="s">
        <v>978</v>
      </c>
      <c r="F230" s="1"/>
      <c r="K230" s="217"/>
      <c r="L230" s="217"/>
      <c r="M230" s="217"/>
      <c r="N230" s="217"/>
    </row>
    <row r="231">
      <c r="B231" s="215" t="s">
        <v>119</v>
      </c>
      <c r="C231" s="215" t="str">
        <f>if(isError(vlookup(B231,'node-RE'!C:C, 1, FALSE)), "NO", "YES")</f>
        <v>NO</v>
      </c>
      <c r="D231" s="218"/>
      <c r="E231" s="218" t="s">
        <v>978</v>
      </c>
      <c r="F231" s="1"/>
      <c r="K231" s="218"/>
      <c r="L231" s="218"/>
      <c r="M231" s="218"/>
      <c r="N231" s="218"/>
    </row>
    <row r="232">
      <c r="B232" s="215" t="s">
        <v>150</v>
      </c>
      <c r="C232" s="215" t="str">
        <f>if(isError(vlookup(B232,'node-RE'!C:C, 1, FALSE)), "NO", "YES")</f>
        <v>NO</v>
      </c>
      <c r="D232" s="218"/>
      <c r="E232" s="218" t="s">
        <v>978</v>
      </c>
      <c r="F232" s="1"/>
      <c r="K232" s="218"/>
      <c r="L232" s="218"/>
      <c r="M232" s="218"/>
      <c r="N232" s="218"/>
    </row>
    <row r="233">
      <c r="B233" s="215" t="s">
        <v>266</v>
      </c>
      <c r="C233" s="215" t="str">
        <f>if(isError(vlookup(B233,'node-RE'!C:C, 1, FALSE)), "NO", "YES")</f>
        <v>NO</v>
      </c>
      <c r="D233" s="218"/>
      <c r="E233" s="218" t="s">
        <v>978</v>
      </c>
      <c r="F233" s="1"/>
      <c r="K233" s="218"/>
      <c r="L233" s="218"/>
      <c r="M233" s="218"/>
      <c r="N233" s="218"/>
    </row>
    <row r="234">
      <c r="B234" s="215" t="s">
        <v>280</v>
      </c>
      <c r="C234" s="215" t="str">
        <f>if(isError(vlookup(B234,'node-RE'!C:C, 1, FALSE)), "NO", "YES")</f>
        <v>NO</v>
      </c>
      <c r="D234" s="218"/>
      <c r="E234" s="218" t="s">
        <v>978</v>
      </c>
      <c r="F234" s="1"/>
      <c r="K234" s="217"/>
      <c r="L234" s="217"/>
      <c r="M234" s="217"/>
      <c r="N234" s="217"/>
    </row>
    <row r="235">
      <c r="B235" s="215" t="s">
        <v>73</v>
      </c>
      <c r="C235" s="215" t="str">
        <f>if(isError(vlookup(B235,'node-RE'!C:C, 1, FALSE)), "NO", "YES")</f>
        <v>NO</v>
      </c>
      <c r="D235" s="218"/>
      <c r="E235" s="218" t="s">
        <v>978</v>
      </c>
      <c r="F235" s="1"/>
      <c r="K235" s="218"/>
      <c r="L235" s="218"/>
      <c r="M235" s="218"/>
      <c r="N235" s="218"/>
    </row>
    <row r="236">
      <c r="B236" s="215" t="s">
        <v>479</v>
      </c>
      <c r="C236" s="215" t="str">
        <f>if(isError(vlookup(B236,'node-RE'!C:C, 1, FALSE)), "NO", "YES")</f>
        <v>NO</v>
      </c>
      <c r="D236" s="218"/>
      <c r="E236" s="218" t="s">
        <v>978</v>
      </c>
      <c r="F236" s="1"/>
      <c r="K236" s="218"/>
      <c r="L236" s="218"/>
      <c r="M236" s="218"/>
      <c r="N236" s="218"/>
    </row>
    <row r="237">
      <c r="B237" s="215" t="s">
        <v>78</v>
      </c>
      <c r="C237" s="215" t="str">
        <f>if(isError(vlookup(B237,'node-RE'!C:C, 1, FALSE)), "NO", "YES")</f>
        <v>NO</v>
      </c>
      <c r="D237" s="218"/>
      <c r="E237" s="218" t="s">
        <v>978</v>
      </c>
      <c r="F237" s="1"/>
      <c r="K237" s="218"/>
      <c r="L237" s="218"/>
      <c r="M237" s="218"/>
      <c r="N237" s="218"/>
    </row>
  </sheetData>
  <mergeCells count="1">
    <mergeCell ref="A2:E2"/>
  </mergeCell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2.63" defaultRowHeight="15.75"/>
  <cols>
    <col customWidth="1" min="1" max="1" width="27.75"/>
    <col customWidth="1" min="2" max="2" width="4.75"/>
    <col customWidth="1" min="3" max="3" width="21.63"/>
    <col customWidth="1" min="4" max="4" width="3.38"/>
    <col customWidth="1" min="5" max="5" width="34.0"/>
    <col customWidth="1" min="6" max="6" width="2.88"/>
    <col customWidth="1" min="7" max="7" width="33.0"/>
  </cols>
  <sheetData>
    <row r="1">
      <c r="A1" s="212" t="s">
        <v>979</v>
      </c>
      <c r="F1" s="95"/>
      <c r="G1" s="95"/>
    </row>
    <row r="2" ht="99.75" customHeight="1">
      <c r="A2" s="5" t="s">
        <v>980</v>
      </c>
      <c r="F2" s="5"/>
      <c r="G2" s="5"/>
    </row>
    <row r="3">
      <c r="A3" s="100" t="str">
        <f>"All reported services ("&amp;COUNTA(A4:A103)&amp;")"</f>
        <v>All reported services (100)</v>
      </c>
      <c r="B3" s="220"/>
      <c r="C3" s="213" t="str">
        <f>"Common reported services ("&amp;COUNTA(C4:C98)&amp;")"</f>
        <v>Common reported services (4)</v>
      </c>
      <c r="D3" s="213"/>
      <c r="E3" s="213" t="str">
        <f>"Downstream reported services ("&amp;COUNTA(E4:E98)&amp;")"</f>
        <v>Downstream reported services (32)</v>
      </c>
      <c r="F3" s="213"/>
      <c r="G3" s="213" t="str">
        <f>"Upstream reported services ("&amp;COUNTA(G4:G98)&amp;")"</f>
        <v>Upstream reported services (72)</v>
      </c>
    </row>
    <row r="4" ht="20.25" customHeight="1">
      <c r="A4" s="221" t="s">
        <v>286</v>
      </c>
      <c r="B4" s="222"/>
      <c r="C4" s="223" t="str">
        <f>vlookup(E8,G:G,1,FALSE)</f>
        <v>Ewaste</v>
      </c>
      <c r="D4" s="224"/>
      <c r="E4" s="224" t="s">
        <v>519</v>
      </c>
      <c r="F4" s="222"/>
      <c r="G4" s="222" t="s">
        <v>286</v>
      </c>
    </row>
    <row r="5" ht="20.25" customHeight="1">
      <c r="A5" s="221" t="s">
        <v>358</v>
      </c>
      <c r="B5" s="222"/>
      <c r="C5" s="223" t="str">
        <f>vlookup(E14,G:G,1,FALSE)</f>
        <v>Hazardous waste management (used tyres)</v>
      </c>
      <c r="D5" s="224"/>
      <c r="E5" s="224" t="s">
        <v>533</v>
      </c>
      <c r="F5" s="222"/>
      <c r="G5" s="222" t="s">
        <v>358</v>
      </c>
    </row>
    <row r="6" ht="20.25" customHeight="1">
      <c r="A6" s="225" t="s">
        <v>519</v>
      </c>
      <c r="B6" s="224"/>
      <c r="C6" s="223" t="str">
        <f>vlookup(E19,G:G,1,FALSE)</f>
        <v>Not provided</v>
      </c>
      <c r="D6" s="224"/>
      <c r="E6" s="224" t="s">
        <v>489</v>
      </c>
      <c r="F6" s="222"/>
      <c r="G6" s="222" t="s">
        <v>103</v>
      </c>
    </row>
    <row r="7" ht="20.25" customHeight="1">
      <c r="A7" s="221" t="s">
        <v>103</v>
      </c>
      <c r="B7" s="222"/>
      <c r="C7" s="223" t="str">
        <f>vlookup(E30,G:G,1,FALSE)</f>
        <v>Transport</v>
      </c>
      <c r="D7" s="224"/>
      <c r="E7" s="224" t="s">
        <v>525</v>
      </c>
      <c r="F7" s="222"/>
      <c r="G7" s="222" t="s">
        <v>384</v>
      </c>
    </row>
    <row r="8" ht="20.25" customHeight="1">
      <c r="A8" s="221" t="s">
        <v>384</v>
      </c>
      <c r="B8" s="222"/>
      <c r="C8" s="224"/>
      <c r="D8" s="224"/>
      <c r="E8" s="224" t="s">
        <v>321</v>
      </c>
      <c r="F8" s="222"/>
      <c r="G8" s="222" t="s">
        <v>338</v>
      </c>
    </row>
    <row r="9" ht="20.25" customHeight="1">
      <c r="A9" s="225" t="s">
        <v>533</v>
      </c>
      <c r="B9" s="224"/>
      <c r="C9" s="224"/>
      <c r="D9" s="224"/>
      <c r="E9" s="224" t="s">
        <v>527</v>
      </c>
      <c r="F9" s="222"/>
      <c r="G9" s="222" t="s">
        <v>298</v>
      </c>
    </row>
    <row r="10" ht="20.25" customHeight="1">
      <c r="A10" s="221" t="s">
        <v>338</v>
      </c>
      <c r="B10" s="222"/>
      <c r="C10" s="224"/>
      <c r="D10" s="224"/>
      <c r="E10" s="224" t="s">
        <v>512</v>
      </c>
      <c r="F10" s="222"/>
      <c r="G10" s="222" t="s">
        <v>289</v>
      </c>
    </row>
    <row r="11" ht="20.25" customHeight="1">
      <c r="A11" s="221" t="s">
        <v>298</v>
      </c>
      <c r="B11" s="222"/>
      <c r="C11" s="224"/>
      <c r="D11" s="224"/>
      <c r="E11" s="224" t="s">
        <v>459</v>
      </c>
      <c r="F11" s="222"/>
      <c r="G11" s="222" t="s">
        <v>376</v>
      </c>
    </row>
    <row r="12" ht="20.25" customHeight="1">
      <c r="A12" s="221" t="s">
        <v>289</v>
      </c>
      <c r="B12" s="222"/>
      <c r="C12" s="224"/>
      <c r="D12" s="224"/>
      <c r="E12" s="224" t="s">
        <v>468</v>
      </c>
      <c r="F12" s="222"/>
      <c r="G12" s="222" t="s">
        <v>202</v>
      </c>
    </row>
    <row r="13" ht="20.25" customHeight="1">
      <c r="A13" s="221" t="s">
        <v>376</v>
      </c>
      <c r="B13" s="222"/>
      <c r="C13" s="224"/>
      <c r="D13" s="224"/>
      <c r="E13" s="224" t="s">
        <v>532</v>
      </c>
      <c r="F13" s="222"/>
      <c r="G13" s="222" t="s">
        <v>335</v>
      </c>
    </row>
    <row r="14" ht="20.25" customHeight="1">
      <c r="A14" s="221" t="s">
        <v>202</v>
      </c>
      <c r="B14" s="222"/>
      <c r="C14" s="224"/>
      <c r="D14" s="224"/>
      <c r="E14" s="224" t="s">
        <v>348</v>
      </c>
      <c r="F14" s="222"/>
      <c r="G14" s="222" t="s">
        <v>354</v>
      </c>
    </row>
    <row r="15" ht="20.25" customHeight="1">
      <c r="A15" s="221" t="s">
        <v>335</v>
      </c>
      <c r="B15" s="222"/>
      <c r="C15" s="224"/>
      <c r="D15" s="224"/>
      <c r="E15" s="224" t="s">
        <v>481</v>
      </c>
      <c r="F15" s="222"/>
      <c r="G15" s="222" t="s">
        <v>176</v>
      </c>
    </row>
    <row r="16" ht="20.25" customHeight="1">
      <c r="A16" s="221" t="s">
        <v>354</v>
      </c>
      <c r="B16" s="222"/>
      <c r="C16" s="224"/>
      <c r="D16" s="224"/>
      <c r="E16" s="224" t="s">
        <v>472</v>
      </c>
      <c r="F16" s="222"/>
      <c r="G16" s="222" t="s">
        <v>311</v>
      </c>
    </row>
    <row r="17" ht="20.25" customHeight="1">
      <c r="A17" s="221" t="s">
        <v>176</v>
      </c>
      <c r="B17" s="222"/>
      <c r="C17" s="224"/>
      <c r="D17" s="224"/>
      <c r="E17" s="224" t="s">
        <v>534</v>
      </c>
      <c r="F17" s="222"/>
      <c r="G17" s="222" t="s">
        <v>307</v>
      </c>
    </row>
    <row r="18" ht="20.25" customHeight="1">
      <c r="A18" s="225" t="s">
        <v>489</v>
      </c>
      <c r="B18" s="224"/>
      <c r="C18" s="224"/>
      <c r="D18" s="224"/>
      <c r="E18" s="224" t="s">
        <v>475</v>
      </c>
      <c r="F18" s="222"/>
      <c r="G18" s="222" t="s">
        <v>345</v>
      </c>
    </row>
    <row r="19" ht="20.25" customHeight="1">
      <c r="A19" s="221" t="s">
        <v>311</v>
      </c>
      <c r="B19" s="222"/>
      <c r="C19" s="224"/>
      <c r="D19" s="224"/>
      <c r="E19" s="224" t="s">
        <v>34</v>
      </c>
      <c r="F19" s="222"/>
      <c r="G19" s="222" t="s">
        <v>318</v>
      </c>
    </row>
    <row r="20" ht="20.25" customHeight="1">
      <c r="A20" s="221" t="s">
        <v>307</v>
      </c>
      <c r="B20" s="222"/>
      <c r="C20" s="224"/>
      <c r="D20" s="224"/>
      <c r="E20" s="224" t="s">
        <v>516</v>
      </c>
      <c r="F20" s="222"/>
      <c r="G20" s="222" t="s">
        <v>228</v>
      </c>
    </row>
    <row r="21" ht="20.25" customHeight="1">
      <c r="A21" s="221" t="s">
        <v>345</v>
      </c>
      <c r="B21" s="222"/>
      <c r="C21" s="224"/>
      <c r="D21" s="224"/>
      <c r="E21" s="224" t="s">
        <v>530</v>
      </c>
      <c r="F21" s="222"/>
      <c r="G21" s="222" t="s">
        <v>115</v>
      </c>
    </row>
    <row r="22" ht="20.25" customHeight="1">
      <c r="A22" s="225" t="s">
        <v>525</v>
      </c>
      <c r="B22" s="224"/>
      <c r="C22" s="224"/>
      <c r="D22" s="224"/>
      <c r="E22" s="224" t="s">
        <v>438</v>
      </c>
      <c r="F22" s="222"/>
      <c r="G22" s="222" t="s">
        <v>180</v>
      </c>
    </row>
    <row r="23" ht="20.25" customHeight="1">
      <c r="A23" s="221" t="s">
        <v>318</v>
      </c>
      <c r="B23" s="222"/>
      <c r="C23" s="224"/>
      <c r="D23" s="224"/>
      <c r="E23" s="224" t="s">
        <v>498</v>
      </c>
      <c r="F23" s="222"/>
      <c r="G23" s="222" t="s">
        <v>111</v>
      </c>
    </row>
    <row r="24" ht="20.25" customHeight="1">
      <c r="A24" s="221" t="s">
        <v>228</v>
      </c>
      <c r="B24" s="222"/>
      <c r="C24" s="224"/>
      <c r="D24" s="224"/>
      <c r="E24" s="224" t="s">
        <v>421</v>
      </c>
      <c r="F24" s="222"/>
      <c r="G24" s="222" t="s">
        <v>93</v>
      </c>
    </row>
    <row r="25" ht="20.25" customHeight="1">
      <c r="A25" s="221" t="s">
        <v>115</v>
      </c>
      <c r="B25" s="222"/>
      <c r="C25" s="224"/>
      <c r="D25" s="224"/>
      <c r="E25" s="224" t="s">
        <v>429</v>
      </c>
      <c r="F25" s="222"/>
      <c r="G25" s="222" t="s">
        <v>99</v>
      </c>
    </row>
    <row r="26" ht="20.25" customHeight="1">
      <c r="A26" s="221" t="s">
        <v>180</v>
      </c>
      <c r="B26" s="222"/>
      <c r="C26" s="224"/>
      <c r="D26" s="224"/>
      <c r="E26" s="224" t="s">
        <v>485</v>
      </c>
      <c r="F26" s="222"/>
      <c r="G26" s="222" t="s">
        <v>159</v>
      </c>
    </row>
    <row r="27" ht="20.25" customHeight="1">
      <c r="A27" s="221" t="s">
        <v>111</v>
      </c>
      <c r="B27" s="222"/>
      <c r="C27" s="224"/>
      <c r="D27" s="224"/>
      <c r="E27" s="224" t="s">
        <v>524</v>
      </c>
      <c r="F27" s="222"/>
      <c r="G27" s="222" t="s">
        <v>153</v>
      </c>
    </row>
    <row r="28" ht="20.25" customHeight="1">
      <c r="A28" s="221" t="s">
        <v>93</v>
      </c>
      <c r="B28" s="222"/>
      <c r="C28" s="224"/>
      <c r="D28" s="224"/>
      <c r="E28" s="224" t="s">
        <v>465</v>
      </c>
      <c r="F28" s="222"/>
      <c r="G28" s="222" t="s">
        <v>317</v>
      </c>
    </row>
    <row r="29" ht="20.25" customHeight="1">
      <c r="A29" s="221" t="s">
        <v>99</v>
      </c>
      <c r="B29" s="222"/>
      <c r="C29" s="224"/>
      <c r="D29" s="224"/>
      <c r="E29" s="224" t="s">
        <v>523</v>
      </c>
      <c r="F29" s="222"/>
      <c r="G29" s="222" t="s">
        <v>321</v>
      </c>
    </row>
    <row r="30" ht="20.25" customHeight="1">
      <c r="A30" s="221" t="s">
        <v>159</v>
      </c>
      <c r="B30" s="222"/>
      <c r="C30" s="224"/>
      <c r="D30" s="224"/>
      <c r="E30" s="224" t="s">
        <v>36</v>
      </c>
      <c r="F30" s="222"/>
      <c r="G30" s="222" t="s">
        <v>209</v>
      </c>
    </row>
    <row r="31" ht="20.25" customHeight="1">
      <c r="A31" s="221" t="s">
        <v>153</v>
      </c>
      <c r="B31" s="222"/>
      <c r="C31" s="224"/>
      <c r="D31" s="224"/>
      <c r="E31" s="224" t="s">
        <v>452</v>
      </c>
      <c r="F31" s="222"/>
      <c r="G31" s="222" t="s">
        <v>366</v>
      </c>
    </row>
    <row r="32" ht="20.25" customHeight="1">
      <c r="A32" s="221" t="s">
        <v>317</v>
      </c>
      <c r="B32" s="222"/>
      <c r="C32" s="224"/>
      <c r="D32" s="224"/>
      <c r="E32" s="224" t="s">
        <v>484</v>
      </c>
      <c r="F32" s="222"/>
      <c r="G32" s="222" t="s">
        <v>85</v>
      </c>
    </row>
    <row r="33" ht="20.25" customHeight="1">
      <c r="A33" s="226" t="s">
        <v>321</v>
      </c>
      <c r="B33" s="224"/>
      <c r="C33" s="224"/>
      <c r="D33" s="224"/>
      <c r="E33" s="224" t="s">
        <v>457</v>
      </c>
      <c r="F33" s="222"/>
      <c r="G33" s="222" t="s">
        <v>313</v>
      </c>
    </row>
    <row r="34" ht="20.25" customHeight="1">
      <c r="A34" s="225" t="s">
        <v>527</v>
      </c>
      <c r="B34" s="222"/>
      <c r="C34" s="224"/>
      <c r="D34" s="224"/>
      <c r="E34" s="224" t="s">
        <v>372</v>
      </c>
      <c r="F34" s="222"/>
      <c r="G34" s="222" t="s">
        <v>214</v>
      </c>
    </row>
    <row r="35" ht="20.25" customHeight="1">
      <c r="A35" s="221" t="s">
        <v>209</v>
      </c>
      <c r="B35" s="224"/>
      <c r="C35" s="224"/>
      <c r="D35" s="224"/>
      <c r="E35" s="224" t="s">
        <v>521</v>
      </c>
      <c r="F35" s="222"/>
      <c r="G35" s="222" t="s">
        <v>348</v>
      </c>
    </row>
    <row r="36" ht="20.25" customHeight="1">
      <c r="A36" s="225" t="s">
        <v>512</v>
      </c>
      <c r="B36" s="222"/>
      <c r="F36" s="222"/>
      <c r="G36" s="222" t="s">
        <v>70</v>
      </c>
    </row>
    <row r="37" ht="20.25" customHeight="1">
      <c r="A37" s="221" t="s">
        <v>366</v>
      </c>
      <c r="B37" s="224"/>
      <c r="F37" s="222"/>
      <c r="G37" s="222" t="s">
        <v>168</v>
      </c>
    </row>
    <row r="38" ht="20.25" customHeight="1">
      <c r="A38" s="221" t="s">
        <v>85</v>
      </c>
      <c r="B38" s="222"/>
      <c r="F38" s="222"/>
      <c r="G38" s="222" t="s">
        <v>182</v>
      </c>
    </row>
    <row r="39" ht="20.25" customHeight="1">
      <c r="A39" s="221" t="s">
        <v>313</v>
      </c>
      <c r="B39" s="222"/>
      <c r="F39" s="222"/>
      <c r="G39" s="222" t="s">
        <v>233</v>
      </c>
    </row>
    <row r="40" ht="20.25" customHeight="1">
      <c r="A40" s="221" t="s">
        <v>214</v>
      </c>
      <c r="B40" s="222"/>
      <c r="F40" s="222"/>
      <c r="G40" s="222" t="s">
        <v>138</v>
      </c>
    </row>
    <row r="41" ht="20.25" customHeight="1">
      <c r="A41" s="225" t="s">
        <v>459</v>
      </c>
      <c r="B41" s="222"/>
      <c r="F41" s="222"/>
      <c r="G41" s="222" t="s">
        <v>339</v>
      </c>
    </row>
    <row r="42" ht="20.25" customHeight="1">
      <c r="A42" s="225" t="s">
        <v>468</v>
      </c>
      <c r="B42" s="224"/>
      <c r="F42" s="222"/>
      <c r="G42" s="222" t="s">
        <v>332</v>
      </c>
    </row>
    <row r="43" ht="20.25" customHeight="1">
      <c r="A43" s="225" t="s">
        <v>532</v>
      </c>
      <c r="B43" s="224"/>
      <c r="F43" s="222"/>
      <c r="G43" s="222" t="s">
        <v>320</v>
      </c>
    </row>
    <row r="44" ht="20.25" customHeight="1">
      <c r="A44" s="226" t="s">
        <v>348</v>
      </c>
      <c r="B44" s="224"/>
      <c r="F44" s="222"/>
      <c r="G44" s="222" t="s">
        <v>363</v>
      </c>
    </row>
    <row r="45" ht="20.25" customHeight="1">
      <c r="A45" s="221" t="s">
        <v>70</v>
      </c>
      <c r="B45" s="224"/>
      <c r="F45" s="222"/>
      <c r="G45" s="222" t="s">
        <v>309</v>
      </c>
    </row>
    <row r="46" ht="20.25" customHeight="1">
      <c r="A46" s="221" t="s">
        <v>168</v>
      </c>
      <c r="B46" s="222"/>
      <c r="F46" s="222"/>
      <c r="G46" s="222" t="s">
        <v>257</v>
      </c>
    </row>
    <row r="47" ht="20.25" customHeight="1">
      <c r="A47" s="221" t="s">
        <v>182</v>
      </c>
      <c r="B47" s="222"/>
      <c r="F47" s="222"/>
      <c r="G47" s="222" t="s">
        <v>397</v>
      </c>
    </row>
    <row r="48" ht="20.25" customHeight="1">
      <c r="A48" s="225" t="s">
        <v>481</v>
      </c>
      <c r="B48" s="222"/>
      <c r="F48" s="222"/>
      <c r="G48" s="222" t="s">
        <v>34</v>
      </c>
    </row>
    <row r="49" ht="20.25" customHeight="1">
      <c r="A49" s="221" t="s">
        <v>233</v>
      </c>
      <c r="B49" s="222"/>
      <c r="F49" s="222"/>
      <c r="G49" s="222" t="s">
        <v>400</v>
      </c>
    </row>
    <row r="50" ht="20.25" customHeight="1">
      <c r="A50" s="221" t="s">
        <v>138</v>
      </c>
      <c r="B50" s="224"/>
      <c r="F50" s="222"/>
      <c r="G50" s="222" t="s">
        <v>394</v>
      </c>
    </row>
    <row r="51" ht="20.25" customHeight="1">
      <c r="A51" s="221" t="s">
        <v>339</v>
      </c>
      <c r="B51" s="222"/>
      <c r="F51" s="222"/>
      <c r="G51" s="222" t="s">
        <v>398</v>
      </c>
    </row>
    <row r="52" ht="20.25" customHeight="1">
      <c r="A52" s="225" t="s">
        <v>472</v>
      </c>
      <c r="B52" s="222"/>
      <c r="F52" s="222"/>
      <c r="G52" s="222" t="s">
        <v>387</v>
      </c>
    </row>
    <row r="53" ht="20.25" customHeight="1">
      <c r="A53" s="221" t="s">
        <v>332</v>
      </c>
      <c r="B53" s="222"/>
      <c r="F53" s="222"/>
      <c r="G53" s="222" t="s">
        <v>382</v>
      </c>
    </row>
    <row r="54" ht="20.25" customHeight="1">
      <c r="A54" s="221" t="s">
        <v>320</v>
      </c>
      <c r="B54" s="224"/>
      <c r="F54" s="222"/>
      <c r="G54" s="222" t="s">
        <v>404</v>
      </c>
    </row>
    <row r="55" ht="20.25" customHeight="1">
      <c r="A55" s="221" t="s">
        <v>363</v>
      </c>
      <c r="B55" s="222"/>
      <c r="F55" s="222"/>
      <c r="G55" s="222" t="s">
        <v>156</v>
      </c>
    </row>
    <row r="56" ht="20.25" customHeight="1">
      <c r="A56" s="221" t="s">
        <v>309</v>
      </c>
      <c r="B56" s="222"/>
      <c r="F56" s="222"/>
      <c r="G56" s="222" t="s">
        <v>370</v>
      </c>
    </row>
    <row r="57" ht="20.25" customHeight="1">
      <c r="A57" s="221" t="s">
        <v>257</v>
      </c>
      <c r="B57" s="222"/>
      <c r="F57" s="222"/>
      <c r="G57" s="222" t="s">
        <v>120</v>
      </c>
    </row>
    <row r="58" ht="20.25" customHeight="1">
      <c r="A58" s="225" t="s">
        <v>534</v>
      </c>
      <c r="B58" s="222"/>
      <c r="F58" s="222"/>
      <c r="G58" s="222" t="s">
        <v>300</v>
      </c>
    </row>
    <row r="59" ht="20.25" customHeight="1">
      <c r="A59" s="225" t="s">
        <v>475</v>
      </c>
      <c r="B59" s="222"/>
      <c r="F59" s="222"/>
      <c r="G59" s="222" t="s">
        <v>352</v>
      </c>
    </row>
    <row r="60" ht="20.25" customHeight="1">
      <c r="A60" s="221" t="s">
        <v>397</v>
      </c>
      <c r="B60" s="224"/>
      <c r="F60" s="222"/>
      <c r="G60" s="222" t="s">
        <v>380</v>
      </c>
    </row>
    <row r="61" ht="20.25" customHeight="1">
      <c r="A61" s="225" t="s">
        <v>516</v>
      </c>
      <c r="B61" s="224"/>
      <c r="F61" s="222"/>
      <c r="G61" s="222" t="s">
        <v>295</v>
      </c>
    </row>
    <row r="62" ht="20.25" customHeight="1">
      <c r="A62" s="221" t="s">
        <v>400</v>
      </c>
      <c r="B62" s="222"/>
      <c r="F62" s="222"/>
      <c r="G62" s="222" t="s">
        <v>292</v>
      </c>
    </row>
    <row r="63" ht="20.25" customHeight="1">
      <c r="A63" s="221" t="s">
        <v>394</v>
      </c>
      <c r="B63" s="224"/>
      <c r="F63" s="222"/>
      <c r="G63" s="222" t="s">
        <v>96</v>
      </c>
    </row>
    <row r="64" ht="20.25" customHeight="1">
      <c r="A64" s="221" t="s">
        <v>398</v>
      </c>
      <c r="B64" s="222"/>
      <c r="F64" s="222"/>
      <c r="G64" s="222" t="s">
        <v>248</v>
      </c>
    </row>
    <row r="65" ht="20.25" customHeight="1">
      <c r="A65" s="221" t="s">
        <v>387</v>
      </c>
      <c r="B65" s="224"/>
      <c r="F65" s="222"/>
      <c r="G65" s="222" t="s">
        <v>36</v>
      </c>
    </row>
    <row r="66" ht="20.25" customHeight="1">
      <c r="A66" s="221" t="s">
        <v>382</v>
      </c>
      <c r="B66" s="222"/>
      <c r="F66" s="222"/>
      <c r="G66" s="222" t="s">
        <v>30</v>
      </c>
    </row>
    <row r="67" ht="20.25" customHeight="1">
      <c r="A67" s="221" t="s">
        <v>404</v>
      </c>
      <c r="B67" s="222"/>
      <c r="F67" s="222"/>
      <c r="G67" s="222" t="s">
        <v>131</v>
      </c>
    </row>
    <row r="68" ht="20.25" customHeight="1">
      <c r="A68" s="221" t="s">
        <v>156</v>
      </c>
      <c r="B68" s="222"/>
      <c r="F68" s="222"/>
      <c r="G68" s="222" t="s">
        <v>45</v>
      </c>
    </row>
    <row r="69" ht="20.25" customHeight="1">
      <c r="A69" s="221" t="s">
        <v>370</v>
      </c>
      <c r="B69" s="222"/>
      <c r="F69" s="222"/>
      <c r="G69" s="222" t="s">
        <v>147</v>
      </c>
    </row>
    <row r="70" ht="20.25" customHeight="1">
      <c r="A70" s="225" t="s">
        <v>530</v>
      </c>
      <c r="B70" s="222"/>
      <c r="F70" s="222"/>
      <c r="G70" s="222" t="s">
        <v>224</v>
      </c>
    </row>
    <row r="71" ht="20.25" customHeight="1">
      <c r="A71" s="225" t="s">
        <v>438</v>
      </c>
      <c r="B71" s="222"/>
      <c r="F71" s="222"/>
      <c r="G71" s="222" t="s">
        <v>218</v>
      </c>
    </row>
    <row r="72" ht="20.25" customHeight="1">
      <c r="A72" s="225" t="s">
        <v>498</v>
      </c>
      <c r="B72" s="222"/>
      <c r="F72" s="222"/>
      <c r="G72" s="222" t="s">
        <v>253</v>
      </c>
    </row>
    <row r="73" ht="20.25" customHeight="1">
      <c r="A73" s="225" t="s">
        <v>421</v>
      </c>
      <c r="B73" s="222"/>
      <c r="F73" s="222"/>
      <c r="G73" s="222" t="s">
        <v>172</v>
      </c>
    </row>
    <row r="74" ht="20.25" customHeight="1">
      <c r="A74" s="225" t="s">
        <v>429</v>
      </c>
      <c r="B74" s="224"/>
      <c r="F74" s="222"/>
      <c r="G74" s="222" t="s">
        <v>108</v>
      </c>
    </row>
    <row r="75" ht="20.25" customHeight="1">
      <c r="A75" s="221" t="s">
        <v>120</v>
      </c>
      <c r="B75" s="224"/>
      <c r="F75" s="222"/>
      <c r="G75" s="222" t="s">
        <v>144</v>
      </c>
    </row>
    <row r="76" ht="20.25" customHeight="1">
      <c r="A76" s="225" t="s">
        <v>485</v>
      </c>
      <c r="B76" s="224"/>
    </row>
    <row r="77" ht="20.25" customHeight="1">
      <c r="A77" s="221" t="s">
        <v>300</v>
      </c>
      <c r="B77" s="224"/>
    </row>
    <row r="78" ht="20.25" customHeight="1">
      <c r="A78" s="221" t="s">
        <v>352</v>
      </c>
      <c r="B78" s="224"/>
    </row>
    <row r="79" ht="20.25" customHeight="1">
      <c r="A79" s="225" t="s">
        <v>524</v>
      </c>
      <c r="B79" s="222"/>
    </row>
    <row r="80" ht="20.25" customHeight="1">
      <c r="A80" s="225" t="s">
        <v>465</v>
      </c>
      <c r="B80" s="224"/>
    </row>
    <row r="81" ht="20.25" customHeight="1">
      <c r="A81" s="221" t="s">
        <v>380</v>
      </c>
      <c r="B81" s="222"/>
    </row>
    <row r="82" ht="20.25" customHeight="1">
      <c r="A82" s="225" t="s">
        <v>523</v>
      </c>
      <c r="B82" s="222"/>
    </row>
    <row r="83" ht="20.25" customHeight="1">
      <c r="A83" s="221" t="s">
        <v>295</v>
      </c>
      <c r="B83" s="224"/>
    </row>
    <row r="84" ht="20.25" customHeight="1">
      <c r="A84" s="221" t="s">
        <v>292</v>
      </c>
      <c r="B84" s="224"/>
    </row>
    <row r="85" ht="20.25" customHeight="1">
      <c r="A85" s="221" t="s">
        <v>96</v>
      </c>
      <c r="B85" s="222"/>
    </row>
    <row r="86" ht="20.25" customHeight="1">
      <c r="A86" s="221" t="s">
        <v>248</v>
      </c>
      <c r="B86" s="224"/>
    </row>
    <row r="87" ht="20.25" customHeight="1">
      <c r="A87" s="226" t="s">
        <v>36</v>
      </c>
      <c r="B87" s="222"/>
    </row>
    <row r="88" ht="20.25" customHeight="1">
      <c r="A88" s="221" t="s">
        <v>30</v>
      </c>
      <c r="B88" s="222"/>
    </row>
    <row r="89" ht="20.25" customHeight="1">
      <c r="A89" s="221" t="s">
        <v>131</v>
      </c>
      <c r="B89" s="222"/>
    </row>
    <row r="90" ht="20.25" customHeight="1">
      <c r="A90" s="221" t="s">
        <v>45</v>
      </c>
      <c r="B90" s="222"/>
    </row>
    <row r="91" ht="20.25" customHeight="1">
      <c r="A91" s="225" t="s">
        <v>452</v>
      </c>
      <c r="B91" s="224"/>
    </row>
    <row r="92" ht="20.25" customHeight="1">
      <c r="A92" s="225" t="s">
        <v>484</v>
      </c>
      <c r="B92" s="222"/>
    </row>
    <row r="93" ht="20.25" customHeight="1">
      <c r="A93" s="221" t="s">
        <v>147</v>
      </c>
      <c r="B93" s="222"/>
    </row>
    <row r="94" ht="20.25" customHeight="1">
      <c r="A94" s="225" t="s">
        <v>457</v>
      </c>
      <c r="B94" s="222"/>
    </row>
    <row r="95" ht="20.25" customHeight="1">
      <c r="A95" s="221" t="s">
        <v>224</v>
      </c>
      <c r="B95" s="224"/>
    </row>
    <row r="96" ht="20.25" customHeight="1">
      <c r="A96" s="221" t="s">
        <v>218</v>
      </c>
      <c r="B96" s="224"/>
    </row>
    <row r="97" ht="20.25" customHeight="1">
      <c r="A97" s="221" t="s">
        <v>253</v>
      </c>
      <c r="B97" s="222"/>
    </row>
    <row r="98" ht="20.25" customHeight="1">
      <c r="A98" s="221" t="s">
        <v>172</v>
      </c>
      <c r="B98" s="224"/>
    </row>
    <row r="99" ht="20.25" customHeight="1">
      <c r="A99" s="225" t="s">
        <v>372</v>
      </c>
      <c r="B99" s="222"/>
    </row>
    <row r="100" ht="20.25" customHeight="1">
      <c r="A100" s="225" t="s">
        <v>521</v>
      </c>
      <c r="B100" s="222"/>
    </row>
    <row r="101" ht="20.25" customHeight="1">
      <c r="A101" s="221" t="s">
        <v>108</v>
      </c>
      <c r="B101" s="222"/>
    </row>
    <row r="102" ht="20.25" customHeight="1">
      <c r="A102" s="221" t="s">
        <v>144</v>
      </c>
      <c r="B102" s="222"/>
    </row>
    <row r="103" ht="20.25" customHeight="1">
      <c r="A103" s="226" t="s">
        <v>34</v>
      </c>
      <c r="B103" s="224"/>
    </row>
  </sheetData>
  <mergeCells count="1">
    <mergeCell ref="A2:E2"/>
  </mergeCell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2.63" defaultRowHeight="15.75"/>
  <cols>
    <col customWidth="1" min="1" max="1" width="21.63"/>
    <col customWidth="1" min="2" max="2" width="8.13"/>
    <col customWidth="1" min="3" max="3" width="17.75"/>
    <col customWidth="1" min="4" max="4" width="3.0"/>
    <col customWidth="1" min="5" max="5" width="17.75"/>
    <col customWidth="1" min="6" max="6" width="6.88"/>
    <col customWidth="1" min="7" max="7" width="22.5"/>
    <col customWidth="1" min="8" max="8" width="18.25"/>
  </cols>
  <sheetData>
    <row r="1">
      <c r="A1" s="212" t="s">
        <v>981</v>
      </c>
      <c r="H1" s="95"/>
    </row>
    <row r="2" ht="116.25" customHeight="1">
      <c r="A2" s="5" t="s">
        <v>982</v>
      </c>
      <c r="G2" s="5"/>
      <c r="H2" s="5"/>
    </row>
    <row r="3">
      <c r="A3" s="100" t="s">
        <v>983</v>
      </c>
      <c r="B3" s="220"/>
      <c r="C3" s="227" t="s">
        <v>984</v>
      </c>
      <c r="D3" s="227"/>
      <c r="E3" s="228" t="s">
        <v>985</v>
      </c>
      <c r="F3" s="227"/>
      <c r="G3" s="227" t="s">
        <v>986</v>
      </c>
      <c r="H3" s="227" t="s">
        <v>987</v>
      </c>
    </row>
    <row r="4">
      <c r="A4" s="229" t="s">
        <v>104</v>
      </c>
      <c r="B4" s="230"/>
      <c r="C4" s="231" t="s">
        <v>461</v>
      </c>
      <c r="D4" s="232" t="s">
        <v>975</v>
      </c>
      <c r="E4" s="233" t="str">
        <f>'analysis-rv-services'!A24</f>
        <v>Waste disposal</v>
      </c>
      <c r="F4" s="230"/>
      <c r="G4" s="230" t="s">
        <v>461</v>
      </c>
      <c r="H4" s="216" t="s">
        <v>104</v>
      </c>
    </row>
    <row r="5">
      <c r="A5" s="229" t="s">
        <v>289</v>
      </c>
      <c r="B5" s="230"/>
      <c r="C5" s="234" t="s">
        <v>185</v>
      </c>
      <c r="D5" s="235" t="s">
        <v>975</v>
      </c>
      <c r="E5" s="236" t="str">
        <f>'analysis-rv-services'!A8</f>
        <v>Feedstock</v>
      </c>
      <c r="F5" s="230"/>
      <c r="G5" s="230" t="s">
        <v>185</v>
      </c>
      <c r="H5" s="216" t="s">
        <v>289</v>
      </c>
    </row>
    <row r="6">
      <c r="A6" s="229" t="s">
        <v>72</v>
      </c>
      <c r="B6" s="230"/>
      <c r="C6" s="234" t="s">
        <v>235</v>
      </c>
      <c r="D6" s="235" t="s">
        <v>975</v>
      </c>
      <c r="E6" s="236" t="str">
        <f>vlookup(G6,H:H,1,FALSE)</f>
        <v>Gas</v>
      </c>
      <c r="F6" s="230"/>
      <c r="G6" s="230" t="s">
        <v>235</v>
      </c>
      <c r="H6" s="216" t="s">
        <v>72</v>
      </c>
    </row>
    <row r="7">
      <c r="A7" s="229" t="s">
        <v>154</v>
      </c>
      <c r="B7" s="230"/>
      <c r="C7" s="234" t="s">
        <v>483</v>
      </c>
      <c r="D7" s="235" t="s">
        <v>975</v>
      </c>
      <c r="E7" s="237" t="str">
        <f>'analysis-rv-services'!A10</f>
        <v>Gas</v>
      </c>
      <c r="F7" s="230"/>
      <c r="G7" s="230" t="s">
        <v>483</v>
      </c>
      <c r="H7" s="216" t="s">
        <v>154</v>
      </c>
    </row>
    <row r="8">
      <c r="A8" s="229" t="s">
        <v>87</v>
      </c>
      <c r="B8" s="230"/>
      <c r="C8" s="234" t="s">
        <v>34</v>
      </c>
      <c r="D8" s="235" t="s">
        <v>975</v>
      </c>
      <c r="E8" s="236" t="str">
        <f t="shared" ref="E8:E10" si="1">G8</f>
        <v>Not provided</v>
      </c>
      <c r="F8" s="230"/>
      <c r="G8" s="230" t="s">
        <v>34</v>
      </c>
      <c r="H8" s="216" t="s">
        <v>87</v>
      </c>
    </row>
    <row r="9">
      <c r="A9" s="229" t="s">
        <v>214</v>
      </c>
      <c r="B9" s="230"/>
      <c r="C9" s="234" t="s">
        <v>476</v>
      </c>
      <c r="D9" s="235" t="s">
        <v>975</v>
      </c>
      <c r="E9" s="236" t="str">
        <f t="shared" si="1"/>
        <v>Partners</v>
      </c>
      <c r="F9" s="230"/>
      <c r="G9" s="230" t="s">
        <v>476</v>
      </c>
      <c r="H9" s="216" t="s">
        <v>185</v>
      </c>
    </row>
    <row r="10">
      <c r="A10" s="229" t="s">
        <v>235</v>
      </c>
      <c r="B10" s="230"/>
      <c r="C10" s="234" t="s">
        <v>112</v>
      </c>
      <c r="D10" s="235" t="s">
        <v>975</v>
      </c>
      <c r="E10" s="236" t="str">
        <f t="shared" si="1"/>
        <v>Power</v>
      </c>
      <c r="F10" s="230"/>
      <c r="G10" s="230" t="s">
        <v>112</v>
      </c>
      <c r="H10" s="216" t="s">
        <v>214</v>
      </c>
    </row>
    <row r="11">
      <c r="A11" s="229" t="s">
        <v>265</v>
      </c>
      <c r="B11" s="230"/>
      <c r="C11" s="234" t="s">
        <v>502</v>
      </c>
      <c r="D11" s="235" t="s">
        <v>975</v>
      </c>
      <c r="E11" s="238" t="str">
        <f>'analysis-rv-services'!A26</f>
        <v>Waste processing</v>
      </c>
      <c r="F11" s="230"/>
      <c r="G11" s="230" t="s">
        <v>502</v>
      </c>
      <c r="H11" s="216" t="s">
        <v>235</v>
      </c>
    </row>
    <row r="12">
      <c r="A12" s="229" t="s">
        <v>340</v>
      </c>
      <c r="B12" s="230"/>
      <c r="C12" s="234" t="s">
        <v>425</v>
      </c>
      <c r="D12" s="235" t="s">
        <v>975</v>
      </c>
      <c r="E12" s="236" t="str">
        <f t="shared" ref="E12:E15" si="2">G12</f>
        <v>Recycled material</v>
      </c>
      <c r="F12" s="230"/>
      <c r="G12" s="230" t="s">
        <v>425</v>
      </c>
      <c r="H12" s="216" t="s">
        <v>265</v>
      </c>
    </row>
    <row r="13">
      <c r="A13" s="229" t="s">
        <v>476</v>
      </c>
      <c r="B13" s="230"/>
      <c r="C13" s="234" t="s">
        <v>170</v>
      </c>
      <c r="D13" s="235" t="s">
        <v>975</v>
      </c>
      <c r="E13" s="236" t="str">
        <f t="shared" si="2"/>
        <v>Techonology</v>
      </c>
      <c r="F13" s="230"/>
      <c r="G13" s="230" t="s">
        <v>170</v>
      </c>
      <c r="H13" s="216" t="s">
        <v>340</v>
      </c>
    </row>
    <row r="14">
      <c r="A14" s="229" t="s">
        <v>178</v>
      </c>
      <c r="B14" s="230"/>
      <c r="C14" s="234" t="s">
        <v>36</v>
      </c>
      <c r="D14" s="235" t="s">
        <v>975</v>
      </c>
      <c r="E14" s="236" t="str">
        <f t="shared" si="2"/>
        <v>Transport</v>
      </c>
      <c r="F14" s="230"/>
      <c r="G14" s="230" t="s">
        <v>36</v>
      </c>
      <c r="H14" s="216" t="s">
        <v>287</v>
      </c>
    </row>
    <row r="15">
      <c r="A15" s="229" t="s">
        <v>112</v>
      </c>
      <c r="B15" s="230"/>
      <c r="C15" s="239" t="s">
        <v>188</v>
      </c>
      <c r="D15" s="240" t="s">
        <v>975</v>
      </c>
      <c r="E15" s="241" t="str">
        <f t="shared" si="2"/>
        <v>Waste collection</v>
      </c>
      <c r="F15" s="230"/>
      <c r="G15" s="230" t="s">
        <v>188</v>
      </c>
      <c r="H15" s="216" t="s">
        <v>94</v>
      </c>
    </row>
    <row r="16">
      <c r="A16" s="229" t="s">
        <v>502</v>
      </c>
      <c r="B16" s="1"/>
      <c r="C16" s="242" t="s">
        <v>104</v>
      </c>
      <c r="D16" s="232" t="s">
        <v>975</v>
      </c>
      <c r="E16" s="243" t="str">
        <f t="shared" ref="E16:E20" si="3">H4</f>
        <v>Asbestos</v>
      </c>
      <c r="F16" s="1"/>
      <c r="G16" s="1"/>
      <c r="H16" s="216" t="s">
        <v>112</v>
      </c>
    </row>
    <row r="17">
      <c r="A17" s="229" t="s">
        <v>425</v>
      </c>
      <c r="B17" s="1"/>
      <c r="C17" s="244" t="s">
        <v>289</v>
      </c>
      <c r="D17" s="235" t="s">
        <v>975</v>
      </c>
      <c r="E17" s="245" t="str">
        <f t="shared" si="3"/>
        <v>Cleaning</v>
      </c>
      <c r="F17" s="1"/>
      <c r="G17" s="1"/>
      <c r="H17" s="216" t="s">
        <v>149</v>
      </c>
    </row>
    <row r="18">
      <c r="A18" s="229" t="s">
        <v>149</v>
      </c>
      <c r="B18" s="1"/>
      <c r="C18" s="244" t="s">
        <v>72</v>
      </c>
      <c r="D18" s="235" t="s">
        <v>975</v>
      </c>
      <c r="E18" s="245" t="str">
        <f t="shared" si="3"/>
        <v>Components</v>
      </c>
      <c r="F18" s="1"/>
      <c r="G18" s="1"/>
      <c r="H18" s="216" t="s">
        <v>100</v>
      </c>
    </row>
    <row r="19">
      <c r="A19" s="229" t="s">
        <v>100</v>
      </c>
      <c r="B19" s="1"/>
      <c r="C19" s="244" t="s">
        <v>154</v>
      </c>
      <c r="D19" s="235" t="s">
        <v>975</v>
      </c>
      <c r="E19" s="245" t="str">
        <f t="shared" si="3"/>
        <v>Consultant services</v>
      </c>
      <c r="F19" s="1"/>
      <c r="G19" s="1"/>
      <c r="H19" s="216" t="s">
        <v>170</v>
      </c>
    </row>
    <row r="20">
      <c r="A20" s="229" t="s">
        <v>170</v>
      </c>
      <c r="B20" s="1"/>
      <c r="C20" s="244" t="s">
        <v>87</v>
      </c>
      <c r="D20" s="235" t="s">
        <v>975</v>
      </c>
      <c r="E20" s="245" t="str">
        <f t="shared" si="3"/>
        <v>Feedstock</v>
      </c>
      <c r="F20" s="1"/>
      <c r="G20" s="1"/>
      <c r="H20" s="216" t="s">
        <v>327</v>
      </c>
    </row>
    <row r="21">
      <c r="A21" s="229" t="s">
        <v>327</v>
      </c>
      <c r="B21" s="1"/>
      <c r="C21" s="244" t="s">
        <v>185</v>
      </c>
      <c r="D21" s="235" t="s">
        <v>975</v>
      </c>
      <c r="E21" s="238" t="str">
        <f>E20</f>
        <v>Feedstock</v>
      </c>
      <c r="F21" s="1"/>
      <c r="G21" s="1"/>
      <c r="H21" s="216" t="s">
        <v>36</v>
      </c>
    </row>
    <row r="22">
      <c r="A22" s="229" t="s">
        <v>36</v>
      </c>
      <c r="B22" s="1"/>
      <c r="C22" s="244" t="s">
        <v>214</v>
      </c>
      <c r="D22" s="235" t="s">
        <v>975</v>
      </c>
      <c r="E22" s="245" t="str">
        <f t="shared" ref="E22:E25" si="4">H10</f>
        <v>Fuel</v>
      </c>
      <c r="F22" s="1"/>
      <c r="G22" s="1"/>
      <c r="H22" s="216" t="s">
        <v>188</v>
      </c>
    </row>
    <row r="23">
      <c r="A23" s="229" t="s">
        <v>188</v>
      </c>
      <c r="B23" s="1"/>
      <c r="C23" s="244" t="s">
        <v>235</v>
      </c>
      <c r="D23" s="235" t="s">
        <v>975</v>
      </c>
      <c r="E23" s="245" t="str">
        <f t="shared" si="4"/>
        <v>Gas</v>
      </c>
      <c r="F23" s="1"/>
      <c r="G23" s="1"/>
      <c r="H23" s="216" t="s">
        <v>251</v>
      </c>
    </row>
    <row r="24">
      <c r="A24" s="229" t="s">
        <v>934</v>
      </c>
      <c r="B24" s="1"/>
      <c r="C24" s="244" t="s">
        <v>265</v>
      </c>
      <c r="D24" s="235" t="s">
        <v>975</v>
      </c>
      <c r="E24" s="245" t="str">
        <f t="shared" si="4"/>
        <v>HSE</v>
      </c>
      <c r="F24" s="1"/>
      <c r="G24" s="1"/>
      <c r="H24" s="216" t="s">
        <v>141</v>
      </c>
    </row>
    <row r="25">
      <c r="A25" s="229" t="s">
        <v>253</v>
      </c>
      <c r="B25" s="1"/>
      <c r="C25" s="244" t="s">
        <v>340</v>
      </c>
      <c r="D25" s="235" t="s">
        <v>975</v>
      </c>
      <c r="E25" s="245" t="str">
        <f t="shared" si="4"/>
        <v>Local government</v>
      </c>
      <c r="F25" s="1"/>
      <c r="G25" s="1"/>
      <c r="H25" s="216" t="s">
        <v>254</v>
      </c>
    </row>
    <row r="26">
      <c r="A26" s="229" t="s">
        <v>935</v>
      </c>
      <c r="B26" s="1"/>
      <c r="C26" s="244" t="s">
        <v>287</v>
      </c>
      <c r="D26" s="235" t="s">
        <v>975</v>
      </c>
      <c r="E26" s="246" t="s">
        <v>34</v>
      </c>
      <c r="F26" s="1"/>
      <c r="G26" s="1"/>
      <c r="H26" s="216" t="s">
        <v>372</v>
      </c>
    </row>
    <row r="27">
      <c r="A27" s="229" t="s">
        <v>109</v>
      </c>
      <c r="B27" s="1"/>
      <c r="C27" s="244" t="s">
        <v>94</v>
      </c>
      <c r="D27" s="235" t="s">
        <v>975</v>
      </c>
      <c r="E27" s="246" t="s">
        <v>178</v>
      </c>
      <c r="F27" s="1"/>
      <c r="G27" s="1"/>
      <c r="H27" s="216" t="s">
        <v>109</v>
      </c>
    </row>
    <row r="28">
      <c r="A28" s="229" t="s">
        <v>34</v>
      </c>
      <c r="B28" s="1"/>
      <c r="C28" s="244" t="s">
        <v>112</v>
      </c>
      <c r="D28" s="235" t="s">
        <v>975</v>
      </c>
      <c r="E28" s="245" t="str">
        <f t="shared" ref="E28:E34" si="5">H16</f>
        <v>Power</v>
      </c>
      <c r="F28" s="1"/>
      <c r="G28" s="1"/>
      <c r="H28" s="216"/>
    </row>
    <row r="29">
      <c r="A29" s="247"/>
      <c r="B29" s="1"/>
      <c r="C29" s="244" t="s">
        <v>149</v>
      </c>
      <c r="D29" s="235" t="s">
        <v>975</v>
      </c>
      <c r="E29" s="245" t="str">
        <f t="shared" si="5"/>
        <v>Regulator</v>
      </c>
      <c r="F29" s="1"/>
      <c r="G29" s="1"/>
      <c r="H29" s="216"/>
    </row>
    <row r="30">
      <c r="A30" s="247"/>
      <c r="B30" s="1"/>
      <c r="C30" s="244" t="s">
        <v>100</v>
      </c>
      <c r="D30" s="235" t="s">
        <v>975</v>
      </c>
      <c r="E30" s="245" t="str">
        <f t="shared" si="5"/>
        <v>Repairs and maintenance</v>
      </c>
      <c r="F30" s="1"/>
      <c r="G30" s="1"/>
      <c r="H30" s="216"/>
    </row>
    <row r="31">
      <c r="A31" s="247"/>
      <c r="B31" s="1"/>
      <c r="C31" s="244" t="s">
        <v>170</v>
      </c>
      <c r="D31" s="235" t="s">
        <v>975</v>
      </c>
      <c r="E31" s="245" t="str">
        <f t="shared" si="5"/>
        <v>Techonology</v>
      </c>
      <c r="F31" s="1"/>
      <c r="G31" s="1"/>
      <c r="H31" s="216"/>
    </row>
    <row r="32">
      <c r="A32" s="247"/>
      <c r="B32" s="1"/>
      <c r="C32" s="244" t="s">
        <v>327</v>
      </c>
      <c r="D32" s="235" t="s">
        <v>975</v>
      </c>
      <c r="E32" s="245" t="str">
        <f t="shared" si="5"/>
        <v>Telecommunications</v>
      </c>
      <c r="F32" s="1"/>
      <c r="G32" s="1"/>
      <c r="H32" s="216"/>
    </row>
    <row r="33">
      <c r="A33" s="247"/>
      <c r="B33" s="1"/>
      <c r="C33" s="244" t="s">
        <v>36</v>
      </c>
      <c r="D33" s="235" t="s">
        <v>975</v>
      </c>
      <c r="E33" s="245" t="str">
        <f t="shared" si="5"/>
        <v>Transport</v>
      </c>
      <c r="F33" s="1"/>
      <c r="G33" s="1"/>
      <c r="H33" s="216"/>
    </row>
    <row r="34">
      <c r="A34" s="247"/>
      <c r="B34" s="1"/>
      <c r="C34" s="244" t="s">
        <v>188</v>
      </c>
      <c r="D34" s="235" t="s">
        <v>975</v>
      </c>
      <c r="E34" s="245" t="str">
        <f t="shared" si="5"/>
        <v>Waste collection</v>
      </c>
      <c r="F34" s="1"/>
      <c r="G34" s="1"/>
      <c r="H34" s="216"/>
    </row>
    <row r="35">
      <c r="A35" s="247"/>
      <c r="B35" s="1"/>
      <c r="C35" s="244" t="s">
        <v>251</v>
      </c>
      <c r="D35" s="235" t="s">
        <v>975</v>
      </c>
      <c r="E35" s="246" t="str">
        <f>'analysis-rv-services'!A23</f>
        <v>Waste collection</v>
      </c>
      <c r="F35" s="1"/>
      <c r="G35" s="1"/>
      <c r="H35" s="216"/>
    </row>
    <row r="36">
      <c r="A36" s="247"/>
      <c r="B36" s="1"/>
      <c r="C36" s="244" t="s">
        <v>141</v>
      </c>
      <c r="D36" s="235" t="s">
        <v>975</v>
      </c>
      <c r="E36" s="246" t="str">
        <f>'analysis-rv-services'!A24</f>
        <v>Waste disposal</v>
      </c>
      <c r="F36" s="1"/>
      <c r="G36" s="1"/>
      <c r="H36" s="216"/>
    </row>
    <row r="37">
      <c r="A37" s="247"/>
      <c r="B37" s="1"/>
      <c r="C37" s="244" t="s">
        <v>254</v>
      </c>
      <c r="D37" s="235" t="s">
        <v>975</v>
      </c>
      <c r="E37" s="246" t="str">
        <f>'analysis-rv-services'!A25</f>
        <v>Waste generation</v>
      </c>
      <c r="F37" s="1"/>
      <c r="G37" s="1"/>
      <c r="H37" s="216"/>
    </row>
    <row r="38">
      <c r="A38" s="247"/>
      <c r="B38" s="1"/>
      <c r="C38" s="244" t="s">
        <v>372</v>
      </c>
      <c r="D38" s="235" t="s">
        <v>975</v>
      </c>
      <c r="E38" s="246" t="str">
        <f>'analysis-rv-services'!A26</f>
        <v>Waste processing</v>
      </c>
      <c r="F38" s="1"/>
      <c r="G38" s="1"/>
      <c r="H38" s="216"/>
    </row>
    <row r="39">
      <c r="A39" s="247"/>
      <c r="B39" s="1"/>
      <c r="C39" s="248" t="s">
        <v>109</v>
      </c>
      <c r="D39" s="240" t="s">
        <v>975</v>
      </c>
      <c r="E39" s="249" t="str">
        <f>H27</f>
        <v>Water</v>
      </c>
      <c r="F39" s="1"/>
      <c r="G39" s="1"/>
      <c r="H39" s="216"/>
    </row>
  </sheetData>
  <mergeCells count="1">
    <mergeCell ref="A2:F2"/>
  </mergeCells>
  <drawing r:id="rId1"/>
</worksheet>
</file>