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Source &gt;&gt;" sheetId="2" r:id="rId5"/>
    <sheet state="visible" name="source-upstream" sheetId="3" r:id="rId6"/>
    <sheet state="visible" name="source-downstream" sheetId="4" r:id="rId7"/>
    <sheet state="visible" name="Data input &gt;&gt;" sheetId="5" r:id="rId8"/>
    <sheet state="visible" name="node-master" sheetId="6" r:id="rId9"/>
    <sheet state="visible" name="link-upstream" sheetId="7" r:id="rId10"/>
    <sheet state="hidden" name="node-RE" sheetId="8" r:id="rId11"/>
    <sheet state="hidden" name="node-non-RE" sheetId="9" r:id="rId12"/>
    <sheet state="visible" name="link-downstream" sheetId="10" r:id="rId13"/>
    <sheet state="visible" name="meta-link-question-map" sheetId="11" r:id="rId14"/>
    <sheet state="visible" name="schema-essential-wrrr-services" sheetId="12" r:id="rId15"/>
    <sheet state="visible" name="schema-rv-services" sheetId="13" r:id="rId16"/>
    <sheet state="visible" name="schema-yn" sheetId="14" r:id="rId17"/>
    <sheet state="visible" name="schema-frequency" sheetId="15" r:id="rId18"/>
    <sheet state="visible" name="schema-resilience-options" sheetId="16" r:id="rId19"/>
    <sheet state="visible" name="schema-geographic-dependency" sheetId="17" r:id="rId20"/>
    <sheet state="visible" name="Supporting &gt;&gt;" sheetId="18" r:id="rId21"/>
    <sheet state="visible" name="data-cleansing-maps" sheetId="19" r:id="rId22"/>
    <sheet state="visible" name="analysis _non-RE-nodes" sheetId="20" r:id="rId23"/>
    <sheet state="visible" name="analysis_reported_services" sheetId="21" r:id="rId24"/>
    <sheet state="visible" name="analysis-rv-services" sheetId="22" r:id="rId25"/>
  </sheets>
  <definedNames>
    <definedName name="FREQUENCY_MAP">'data-cleansing-maps'!$B$5:$D$22</definedName>
    <definedName name="YN_MAP">'data-cleansing-maps'!$F$5:$H$10</definedName>
    <definedName name="RESILIENCE_OPTION_MAP">'data-cleansing-maps'!$J$5:$L$10</definedName>
    <definedName hidden="1" localSheetId="2" name="_xlnm._FilterDatabase">'source-upstream'!$A$1:$N$285</definedName>
    <definedName hidden="1" localSheetId="3" name="_xlnm._FilterDatabase">'source-downstream'!$A$1:$N$83</definedName>
    <definedName hidden="1" localSheetId="6" name="_xlnm._FilterDatabase">'link-upstream'!$A$1:$N$285</definedName>
    <definedName hidden="1" localSheetId="9" name="_xlnm._FilterDatabase">'link-downstream'!$A$1:$N$83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B1">
      <text>
        <t xml:space="preserve">Full name of responsible entities. For convenience, the 'id' field is a a </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F1">
      <text>
        <t xml:space="preserve">An 'array' of ids matched to the schema 'tbl-essential-waste-services' . This is the preffered way to tage Responsible Entitites with their essential waste services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'slugified' version of the name field that removes spaces and special characters (required when setting identifiers in code/script)</t>
      </text>
    </comment>
    <comment authorId="0" ref="B1">
      <text>
        <t xml:space="preserve">field-description</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sharedStrings.xml><?xml version="1.0" encoding="utf-8"?>
<sst xmlns="http://schemas.openxmlformats.org/spreadsheetml/2006/main" count="6512" uniqueCount="746">
  <si>
    <t xml:space="preserve">WRRR Service Interdependency Map: </t>
  </si>
  <si>
    <t>Data Input Model</t>
  </si>
  <si>
    <r>
      <rPr>
        <rFont val="Roboto"/>
        <color theme="1"/>
        <sz val="8.0"/>
      </rPr>
      <t xml:space="preserve">This spreadsheet contains data transformations and tables for data schema and meta information that support the 'shaping' or 'wrangling' of source (DEECA aggregated RERCC plan) data, into structured data tables that can be loaded to a data visualisation tool.
Documention has been added on the "Source &gt;&gt;" , "Data input &gt;&gt;" and "Supporting &gt;&gt;" tabs, which correspond to sets of relvant tables
</t>
    </r>
    <r>
      <rPr>
        <rFont val="Roboto"/>
        <b/>
        <color theme="1"/>
        <sz val="8.0"/>
      </rPr>
      <t xml:space="preserve">Importantly the "Data input &gt;&gt;' tables (10) are those that are proposed to be loaded into the Services Map tool </t>
    </r>
  </si>
  <si>
    <t>P</t>
  </si>
  <si>
    <t>Source data</t>
  </si>
  <si>
    <r>
      <rPr>
        <rFont val="Roboto"/>
        <color theme="1"/>
      </rPr>
      <t xml:space="preserve">These tables are direct copies of tables provided y DEECA in the spreadsheet </t>
    </r>
    <r>
      <rPr>
        <rFont val="Roboto"/>
        <b/>
        <color theme="1"/>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</si>
  <si>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</si>
  <si>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</si>
  <si>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</si>
  <si>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</si>
  <si>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</si>
  <si>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</si>
  <si>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</si>
  <si>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</si>
  <si>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</si>
  <si>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</si>
  <si>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</si>
  <si>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</si>
  <si>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</si>
  <si>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</si>
  <si>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</si>
  <si>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</si>
  <si>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</si>
  <si>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</si>
  <si>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</si>
  <si>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</si>
  <si>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</si>
  <si>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</si>
  <si>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</si>
  <si>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</si>
  <si>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</si>
  <si>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</si>
  <si>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</si>
  <si>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</si>
  <si>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</si>
  <si>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</si>
  <si>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</si>
  <si>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</si>
  <si>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</si>
  <si>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</si>
  <si>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</si>
  <si>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</si>
  <si>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</si>
  <si>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</si>
  <si>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</si>
  <si>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</si>
  <si>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</si>
  <si>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</si>
  <si>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</si>
  <si>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</si>
  <si>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</si>
  <si>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</si>
  <si>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</si>
  <si>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</si>
  <si>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</si>
  <si>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</si>
  <si>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</si>
  <si>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</si>
  <si>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</si>
  <si>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</si>
  <si>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</si>
  <si>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</si>
  <si>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</si>
  <si>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</si>
  <si>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</si>
  <si>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</si>
  <si>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</si>
  <si>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</si>
  <si>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</si>
  <si>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</si>
  <si>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</si>
  <si>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</si>
  <si>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</si>
  <si>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</si>
  <si>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</si>
  <si>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</si>
  <si>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</si>
  <si>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</si>
  <si>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</si>
  <si>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</si>
  <si>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</si>
  <si>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</si>
  <si>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</si>
  <si>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</si>
  <si>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</si>
  <si>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</si>
  <si>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</si>
  <si>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</si>
  <si>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</si>
  <si>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</si>
  <si>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</si>
  <si>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</si>
  <si>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</si>
  <si>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</si>
  <si>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</si>
  <si>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</si>
  <si>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</si>
  <si>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</si>
  <si>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</si>
  <si>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</si>
  <si>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</si>
  <si>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</si>
  <si>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</si>
  <si>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</si>
  <si>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</si>
  <si>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</si>
  <si>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</si>
  <si>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</si>
  <si>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</si>
  <si>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</si>
  <si>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</si>
  <si>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</si>
  <si>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</si>
  <si>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</si>
  <si>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</si>
  <si>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</si>
  <si>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</si>
  <si>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</si>
  <si>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</si>
  <si>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</si>
  <si>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</si>
  <si>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</si>
  <si>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</si>
  <si>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</si>
  <si>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</si>
  <si>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</si>
  <si>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</si>
  <si>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</si>
  <si>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</si>
  <si>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</si>
  <si>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</si>
  <si>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</si>
  <si>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</si>
  <si>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</si>
  <si>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</si>
  <si>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</si>
  <si>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</si>
  <si>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</si>
  <si>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</si>
  <si>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</si>
  <si>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</si>
  <si>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</si>
  <si>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</si>
  <si>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</si>
  <si>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</si>
  <si>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</si>
  <si>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</si>
  <si>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</si>
  <si>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</si>
  <si>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</si>
  <si>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</si>
  <si>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</si>
  <si>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</si>
  <si>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</si>
  <si>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</si>
  <si>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</si>
  <si>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</si>
  <si>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</si>
  <si>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</si>
  <si>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</si>
  <si>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</si>
  <si>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</si>
  <si>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</si>
  <si>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</si>
  <si>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</si>
  <si>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</si>
  <si>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</si>
  <si>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</si>
  <si>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</si>
  <si>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</si>
  <si>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</si>
  <si>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</si>
  <si>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</si>
  <si>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</si>
  <si>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</si>
  <si>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</si>
  <si>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</si>
  <si>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</si>
  <si>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</si>
  <si>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</si>
  <si>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</si>
  <si>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</si>
  <si>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</si>
  <si>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</si>
  <si>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</si>
  <si>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</si>
  <si>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</si>
  <si>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</si>
  <si>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</si>
  <si>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</si>
  <si>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</si>
  <si>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</si>
  <si>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</si>
  <si>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</si>
  <si>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</si>
  <si>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</si>
  <si>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</si>
  <si>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</si>
  <si>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</si>
  <si>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</si>
  <si>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</si>
  <si>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</si>
  <si>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</si>
  <si>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</si>
  <si>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</si>
  <si>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</si>
  <si>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</si>
  <si>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</si>
  <si>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</si>
  <si>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</si>
  <si>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</si>
  <si>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</si>
  <si>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</si>
  <si>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</si>
  <si>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</si>
  <si>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</si>
  <si>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</si>
  <si>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</si>
  <si>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</si>
  <si>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</si>
  <si>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</si>
  <si>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</si>
  <si>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</si>
  <si>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</si>
  <si>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</si>
  <si>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</si>
  <si>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</si>
  <si>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</si>
  <si>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</si>
  <si>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</si>
  <si>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</si>
  <si>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</si>
  <si>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</si>
  <si>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</si>
  <si>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</si>
  <si>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</si>
  <si>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</si>
  <si>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</si>
  <si>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</si>
  <si>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</si>
  <si>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</si>
  <si>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</si>
  <si>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</si>
  <si>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</si>
  <si>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</si>
  <si>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</si>
  <si>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</si>
  <si>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</si>
  <si>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</si>
  <si>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</si>
  <si>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</si>
  <si>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</si>
  <si>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</si>
  <si>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</si>
  <si>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</si>
  <si>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</si>
  <si>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</si>
  <si>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</si>
  <si>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</si>
  <si>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</si>
  <si>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</si>
  <si>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</si>
  <si>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</si>
  <si>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</si>
  <si>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</si>
  <si>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</si>
  <si>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</si>
  <si>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</si>
  <si>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</si>
  <si>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</si>
  <si>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</si>
  <si>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</si>
  <si>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</si>
  <si>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</si>
  <si>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</si>
  <si>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</si>
  <si>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</si>
  <si>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</si>
  <si>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</si>
  <si>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</si>
  <si>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</si>
  <si>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</si>
  <si>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</si>
  <si>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</si>
  <si>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</si>
  <si>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</si>
  <si>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</si>
  <si>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</si>
  <si>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</si>
  <si>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</si>
  <si>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</si>
  <si>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</si>
  <si>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</si>
  <si>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</si>
  <si>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</si>
  <si>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</si>
  <si>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</si>
  <si>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</si>
  <si>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</si>
  <si>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</si>
  <si>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</si>
  <si>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</si>
  <si>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</si>
  <si>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</si>
  <si>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</si>
  <si>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</si>
  <si>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</si>
  <si>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</si>
  <si>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</si>
  <si>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</si>
  <si>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</si>
  <si>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</si>
  <si>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</si>
  <si>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</si>
  <si>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</si>
  <si>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</si>
  <si>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</si>
  <si>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</si>
  <si>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</si>
  <si>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</si>
  <si>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</si>
  <si>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</si>
  <si>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</si>
  <si>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</si>
  <si>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</si>
  <si>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</si>
  <si>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</si>
  <si>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</si>
  <si>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</si>
  <si>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</si>
  <si>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</si>
  <si>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</si>
  <si>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</si>
  <si>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</si>
  <si>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</si>
  <si>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</si>
  <si>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</si>
  <si>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</si>
  <si>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</si>
  <si>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</si>
  <si>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</si>
  <si>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</si>
  <si>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</si>
  <si>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</si>
  <si>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</si>
  <si>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</si>
  <si>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</si>
  <si>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</si>
  <si>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</si>
  <si>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</si>
  <si>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</si>
  <si>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</si>
  <si>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</si>
  <si>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</si>
  <si>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</si>
  <si>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</si>
  <si>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</si>
  <si>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</si>
  <si>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</si>
  <si>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</si>
  <si>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</si>
  <si>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</si>
  <si>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</si>
  <si>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</si>
  <si>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</si>
  <si>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</si>
  <si>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</si>
  <si>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</si>
  <si>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</si>
  <si>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</si>
  <si>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</si>
  <si>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</si>
  <si>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</si>
  <si>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</si>
  <si>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</si>
  <si>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</si>
  <si>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</si>
  <si>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</si>
  <si>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</si>
  <si>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</si>
  <si>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</si>
  <si>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</si>
  <si>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</si>
  <si>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</si>
  <si>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</si>
  <si>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</si>
  <si>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</si>
  <si>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</si>
  <si>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</si>
  <si>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</si>
  <si>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</si>
  <si>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</si>
  <si>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</si>
  <si>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</si>
  <si>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</si>
  <si>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</si>
  <si>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</si>
  <si>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</si>
  <si>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</si>
  <si>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</si>
  <si>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</si>
  <si>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</si>
  <si>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</si>
  <si>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</si>
  <si>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</si>
  <si>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</si>
  <si>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</si>
  <si>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</si>
  <si>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</si>
  <si>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</si>
  <si>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</si>
  <si>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</si>
  <si>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</si>
  <si>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</si>
  <si>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</si>
  <si>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</si>
  <si>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</si>
  <si>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</si>
  <si>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</si>
  <si>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</si>
  <si>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</si>
  <si>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</si>
  <si>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</si>
  <si>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</si>
  <si>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</si>
  <si>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</si>
  <si>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</si>
  <si>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</si>
  <si>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</si>
  <si>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</si>
  <si>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</si>
  <si>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</si>
  <si>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</si>
  <si>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</si>
  <si>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</si>
  <si>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</si>
  <si>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</si>
  <si>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</si>
  <si>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</si>
  <si>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</si>
  <si>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</si>
  <si>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</si>
  <si>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</si>
  <si>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</si>
  <si>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</si>
  <si>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</si>
  <si>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</si>
  <si>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</si>
  <si>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</si>
  <si>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</si>
  <si>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</si>
  <si>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</si>
  <si>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</si>
  <si>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</si>
  <si>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</si>
  <si>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</si>
  <si>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</si>
  <si>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</si>
  <si>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</si>
  <si>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</si>
  <si>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</si>
  <si>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</si>
  <si>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</si>
  <si>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</si>
  <si>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</si>
  <si>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</si>
  <si>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</si>
  <si>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</si>
  <si>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</si>
  <si>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</si>
  <si>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</si>
  <si>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</si>
  <si>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</si>
  <si>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</si>
  <si>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</si>
  <si>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</si>
  <si>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</si>
  <si>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</si>
  <si>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</si>
  <si>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</si>
  <si>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</si>
  <si>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</si>
  <si>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</si>
  <si>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</si>
  <si>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</si>
  <si>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</si>
  <si>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</si>
  <si>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</si>
  <si>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</si>
  <si>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</si>
  <si>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</si>
  <si>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</si>
  <si>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</si>
  <si>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</si>
  <si>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</si>
  <si>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</si>
  <si>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</si>
  <si>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</si>
  <si>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</si>
  <si>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</si>
  <si>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</si>
  <si>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</si>
  <si>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</si>
  <si>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</si>
  <si>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</si>
  <si>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</si>
  <si>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</si>
  <si>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</si>
  <si>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</si>
  <si>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</si>
  <si>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</si>
  <si>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</si>
  <si>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</si>
  <si>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</si>
  <si>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</si>
  <si>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</si>
  <si>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</si>
  <si>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</si>
  <si>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</si>
  <si>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</si>
  <si>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</si>
  <si>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</si>
  <si>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</si>
  <si>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</si>
  <si>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</si>
  <si>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</si>
  <si>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</si>
  <si>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</si>
  <si>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</si>
  <si>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</si>
  <si>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</si>
  <si>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</si>
  <si>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</si>
  <si>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</si>
  <si>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</si>
  <si>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</si>
  <si>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</si>
  <si>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Tab name</t>
  </si>
  <si>
    <t>Description</t>
  </si>
  <si>
    <t>Preparation</t>
  </si>
  <si>
    <t>Expected update frequency</t>
  </si>
  <si>
    <t>Notes</t>
  </si>
  <si>
    <t>node-master</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</si>
  <si>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t>
  </si>
  <si>
    <t>Manual</t>
  </si>
  <si>
    <t>Annual update</t>
  </si>
  <si>
    <t>This is very highly recommended. Technically however, the nodes (without added meta information_ can be extracted from the link tables</t>
  </si>
  <si>
    <t>link-upstream</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</si>
  <si>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</si>
  <si>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</si>
  <si>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</si>
  <si>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link-downstream</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</si>
  <si>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</si>
  <si>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meta-link-fields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</si>
  <si>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</si>
  <si>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</si>
  <si>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</si>
  <si>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</si>
  <si>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</si>
  <si>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</si>
  <si>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</si>
  <si>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</si>
  <si>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schema-frequency</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</si>
  <si>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</si>
  <si>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</si>
  <si>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</si>
  <si>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</si>
  <si>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</si>
  <si>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id</t>
  </si>
  <si>
    <t>entity-name</t>
  </si>
  <si>
    <t>label</t>
  </si>
  <si>
    <t>label-short</t>
  </si>
  <si>
    <t>description</t>
  </si>
  <si>
    <t>essential-wrrr-services</t>
  </si>
  <si>
    <t>isRE</t>
  </si>
  <si>
    <t>["construction-and-demolition-services",
"recycling-services-glass" ]</t>
  </si>
  <si>
    <t>yes</t>
  </si>
  <si>
    <t>["organics-services"]</t>
  </si>
  <si>
    <t>["construction-and-demolition-services"]</t>
  </si>
  <si>
    <t>["construction-and-demolition-services",
"container-deposit-scheme-services-cds",
"hazardous-waste-services",
"landfill-services",
"municipal-resource-recovery-centre-and-transfer-station-services",
"organics-services",
"recycling-services-comingled",
"recycling-services-glass",
"residual-waste-services"]</t>
  </si>
  <si>
    <t>["e-waste-services",
"hazardous-waste-services"]</t>
  </si>
  <si>
    <t>["landfill-services"]</t>
  </si>
  <si>
    <t>["hazardous-waste-services", 
"landfill-services"]</t>
  </si>
  <si>
    <t>["metal-recycling-services"]</t>
  </si>
  <si>
    <t>["hazardous-waste-services", 
"organics-services",
"recycling-services-comingled"]</t>
  </si>
  <si>
    <t>["hazardous-waste-services", 
"landfill-services",
"organics-services"]</t>
  </si>
  <si>
    <t>["container-deposit-scheme-services-cds"]</t>
  </si>
  <si>
    <t>["e-waste-services",
"hazardous-waste-services",
"metal-recycling-services",
"organics-services",
"recycling-services-comingled",
"residual-waste-services"]</t>
  </si>
  <si>
    <t>["e-waste-services"]</t>
  </si>
  <si>
    <t>["organics-services",
"recycling-services-comingled",
"residual-waste-services"]</t>
  </si>
  <si>
    <t>["hazardous-waste-services"]</t>
  </si>
  <si>
    <t>[]</t>
  </si>
  <si>
    <t>["municipal-resource-recovery-centre-and-transfer-station-services",
"recycling-services-comingled",
"recycling-services-glass"]</t>
  </si>
  <si>
    <t>no</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</si>
  <si>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</si>
  <si>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</si>
  <si>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</si>
  <si>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</si>
  <si>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</si>
  <si>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</si>
  <si>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</si>
  <si>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</si>
  <si>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</si>
  <si>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</si>
  <si>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</si>
  <si>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</si>
  <si>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</si>
  <si>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</si>
  <si>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isRE_2024</t>
  </si>
  <si>
    <t>isRE_2025</t>
  </si>
  <si>
    <t>isRE_2026</t>
  </si>
  <si>
    <t>isRE_2027</t>
  </si>
  <si>
    <t>isRE_2028</t>
  </si>
  <si>
    <t>isRE_2029</t>
  </si>
  <si>
    <t>isRE_2030</t>
  </si>
  <si>
    <t>essential-waste-services</t>
  </si>
  <si>
    <t>essential-waste-streams</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</si>
  <si>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</si>
  <si>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</si>
  <si>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</si>
  <si>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</si>
  <si>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</si>
  <si>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</si>
  <si>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</si>
  <si>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</si>
  <si>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</si>
  <si>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</si>
  <si>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</si>
  <si>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</si>
  <si>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</si>
  <si>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</si>
  <si>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</si>
  <si>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</si>
  <si>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</si>
  <si>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</si>
  <si>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</si>
  <si>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</si>
  <si>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</si>
  <si>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</si>
  <si>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</si>
  <si>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</si>
  <si>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</si>
  <si>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</si>
  <si>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</si>
  <si>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</si>
  <si>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</si>
  <si>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</si>
  <si>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</si>
  <si>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</si>
  <si>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</si>
  <si>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</si>
  <si>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</si>
  <si>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</si>
  <si>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</si>
  <si>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</si>
  <si>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</si>
  <si>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</si>
  <si>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</si>
  <si>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</si>
  <si>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</si>
  <si>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</si>
  <si>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</si>
  <si>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</si>
  <si>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</si>
  <si>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</si>
  <si>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</si>
  <si>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</si>
  <si>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</si>
  <si>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</si>
  <si>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</si>
  <si>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</si>
  <si>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</si>
  <si>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</si>
  <si>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</si>
  <si>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</si>
  <si>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</si>
  <si>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</si>
  <si>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</si>
  <si>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</si>
  <si>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</si>
  <si>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</si>
  <si>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</si>
  <si>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</si>
  <si>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</si>
  <si>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</si>
  <si>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</si>
  <si>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</si>
  <si>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</si>
  <si>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</si>
  <si>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</si>
  <si>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</si>
  <si>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</si>
  <si>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</si>
  <si>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</si>
  <si>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</si>
  <si>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</si>
  <si>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</si>
  <si>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</si>
  <si>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</si>
  <si>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</si>
  <si>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</si>
  <si>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</si>
  <si>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</si>
  <si>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</si>
  <si>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</si>
  <si>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</si>
  <si>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</si>
  <si>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</si>
  <si>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</si>
  <si>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</si>
  <si>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</si>
  <si>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</si>
  <si>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</si>
  <si>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</si>
  <si>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</si>
  <si>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</si>
  <si>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</si>
  <si>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</si>
  <si>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</si>
  <si>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</si>
  <si>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</si>
  <si>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</si>
  <si>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rFont val="Roboto"/>
        <color theme="1"/>
      </rPr>
      <t xml:space="preserve">The following tables contain intermediate analysis and data cleansing maps. </t>
    </r>
    <r>
      <rPr>
        <rFont val="Roboto"/>
        <b/>
        <color theme="1"/>
      </rPr>
      <t xml:space="preserve">These tables are not loaded to the Services Map visualisation </t>
    </r>
    <r>
      <rPr>
        <rFont val="Roboto"/>
        <color theme="1"/>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</si>
  <si>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</si>
  <si>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</si>
  <si>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</si>
  <si>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</si>
  <si>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</si>
  <si>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</si>
  <si>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</si>
  <si>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</si>
  <si>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</si>
  <si>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</si>
  <si>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</si>
  <si>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</si>
  <si>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</si>
  <si>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</si>
  <si>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</si>
  <si>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rFont val="Roboto"/>
        <color theme="1"/>
        <sz val="8.0"/>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rFont val="Roboto"/>
        <b/>
        <color theme="1"/>
        <sz val="8.0"/>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rFont val="Roboto"/>
        <color theme="1"/>
        <sz val="8.0"/>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</si>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</sst>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8.0"/>
      <color theme="1"/>
      <name val="Roboto"/>
    </font>
    <font>
      <b/>
      <sz val="20.0"/>
      <color theme="1"/>
      <name val="Roboto"/>
    </font>
    <font>
      <sz val="16.0"/>
      <color theme="1"/>
      <name val="Roboto"/>
    </font>
    <font>
      <color theme="1"/>
      <name val="Roboto"/>
    </font>
    <font>
      <b/>
      <sz val="60.0"/>
      <color theme="1"/>
      <name val="Roboto"/>
    </font>
    <font>
      <b/>
      <sz val="8.0"/>
      <color theme="1"/>
      <name val="Roboto"/>
    </font>
    <font>
      <b/>
      <sz val="8.0"/>
      <color rgb="FFFFFFFF"/>
      <name val="Roboto"/>
    </font>
    <font>
      <sz val="8.0"/>
      <color rgb="FF000000"/>
      <name val="Roboto"/>
    </font>
    <font>
      <b/>
      <sz val="8.0"/>
      <color rgb="FF8E7CC3"/>
      <name val="Roboto"/>
    </font>
    <font>
      <i/>
      <sz val="6.0"/>
      <color theme="1"/>
      <name val="Roboto"/>
    </font>
    <font>
      <i/>
      <sz val="8.0"/>
      <color theme="1"/>
      <name val="Roboto"/>
    </font>
    <font>
      <color theme="1"/>
      <name val="Arial"/>
      <scheme val="minor"/>
    </font>
    <font>
      <sz val="8.0"/>
      <color rgb="FFFFFFFF"/>
      <name val="Roboto"/>
    </font>
    <font>
      <sz val="8.0"/>
      <color rgb="FF1155CC"/>
      <name val="Roboto"/>
    </font>
    <font>
      <sz val="8.0"/>
      <color rgb="FF9900FF"/>
      <name val="Roboto"/>
    </font>
    <font>
      <sz val="8.0"/>
      <color rgb="FFFF6D01"/>
      <name val="Roboto"/>
    </font>
    <font>
      <sz val="8.0"/>
      <color theme="8"/>
      <name val="Roboto"/>
    </font>
    <font>
      <sz val="8.0"/>
      <color rgb="FF4282D0"/>
      <name val="Roboto"/>
    </font>
    <font>
      <b/>
      <sz val="19.0"/>
      <color theme="1"/>
      <name val="Roboto"/>
    </font>
    <font>
      <sz val="8.0"/>
      <color rgb="FFFF9900"/>
      <name val="Roboto"/>
    </font>
    <font>
      <b/>
      <sz val="17.0"/>
      <color theme="1"/>
      <name val="Roboto"/>
    </font>
    <font>
      <sz val="8.0"/>
      <color rgb="FF666666"/>
      <name val="Roboto"/>
    </font>
    <font>
      <sz val="8.0"/>
      <color rgb="FF0B5394"/>
      <name val="Roboto"/>
    </font>
    <font>
      <b/>
      <sz val="8.0"/>
      <color rgb="FF0B5394"/>
      <name val="Roboto"/>
    </font>
    <font>
      <sz val="8.0"/>
      <color rgb="FFE36C00"/>
      <name val="Roboto"/>
    </font>
    <font>
      <b/>
      <sz val="8.0"/>
      <color rgb="FFE36C00"/>
      <name val="Roboto"/>
    </font>
    <font>
      <i/>
      <sz val="8.0"/>
      <color rgb="FFFFFFFF"/>
      <name val="Roboto"/>
    </font>
  </fonts>
  <fills count="15">
    <fill>
      <patternFill patternType="none"/>
    </fill>
    <fill>
      <patternFill patternType="lightGray"/>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999999"/>
        <bgColor rgb="FF999999"/>
      </patternFill>
    </fill>
  </fills>
  <borders count="29">
    <border/>
    <border>
      <bottom style="thin">
        <color rgb="FF000000"/>
      </bottom>
    </border>
    <border>
      <top style="thin">
        <color rgb="FF4282D0"/>
      </top>
      <bottom style="thin">
        <color rgb="FF4282D0"/>
      </bottom>
    </border>
    <border>
      <left style="thin">
        <color rgb="FF4282D0"/>
      </left>
      <top style="thin">
        <color rgb="FF4282D0"/>
      </top>
      <bottom style="thin">
        <color rgb="FF4282D0"/>
      </bottom>
    </border>
    <border>
      <right style="thin">
        <color rgb="FF000000"/>
      </right>
      <top style="thin">
        <color rgb="FF4282D0"/>
      </top>
      <bottom style="thin">
        <color rgb="FF4282D0"/>
      </bottom>
    </border>
    <border>
      <top style="thin">
        <color rgb="FF4282D0"/>
      </top>
      <bottom style="thin">
        <color rgb="FFFFA655"/>
      </bottom>
    </border>
    <border>
      <right style="thin">
        <color rgb="FF4282D0"/>
      </right>
      <top style="thin">
        <color rgb="FF4282D0"/>
      </top>
      <bottom style="thin">
        <color rgb="FF4282D0"/>
      </bottom>
    </border>
    <border>
      <top style="thin">
        <color rgb="FFFFA655"/>
      </top>
      <bottom style="thin">
        <color rgb="FFFFA655"/>
      </bottom>
    </border>
    <border>
      <top style="thin">
        <color rgb="FFFFA655"/>
      </top>
      <bottom style="thin">
        <color rgb="FF4282D0"/>
      </bottom>
    </border>
    <border>
      <right style="thin">
        <color rgb="FF4282D0"/>
      </right>
      <top style="thin">
        <color rgb="FFFFA655"/>
      </top>
      <bottom style="thin">
        <color rgb="FF4282D0"/>
      </bottom>
    </border>
    <border>
      <right style="thin">
        <color rgb="FF4282D0"/>
      </right>
      <top style="thin">
        <color rgb="FF4282D0"/>
      </top>
      <bottom style="thin">
        <color rgb="FFFFA655"/>
      </bottom>
    </border>
    <border>
      <bottom style="medium">
        <color rgb="FF000000"/>
      </bottom>
    </border>
    <border>
      <top style="thin">
        <color rgb="FF000000"/>
      </top>
      <bottom style="thin">
        <color rgb="FF000000"/>
      </bottom>
    </border>
    <border>
      <bottom style="dotted">
        <color rgb="FF000000"/>
      </bottom>
    </border>
    <border>
      <top style="dotted">
        <color rgb="FF000000"/>
      </top>
      <bottom style="dotted">
        <color rgb="FF000000"/>
      </bottom>
    </border>
    <border>
      <top style="dotted">
        <color rgb="FF000000"/>
      </top>
      <bottom style="medium">
        <color rgb="FF000000"/>
      </bottom>
    </border>
    <border>
      <top style="medium">
        <color rgb="FF000000"/>
      </top>
      <bottom style="dotted">
        <color rgb="FF000000"/>
      </bottom>
    </border>
    <border>
      <top style="dotted">
        <color rgb="FF000000"/>
      </top>
    </border>
    <border>
      <bottom style="dotted">
        <color rgb="FFCCCCCC"/>
      </bottom>
    </border>
    <border>
      <top style="dotted">
        <color rgb="FFCCCCCC"/>
      </top>
      <bottom style="dotted">
        <color rgb="FFCCCCCC"/>
      </bottom>
    </border>
    <border>
      <top style="dotted">
        <color rgb="FFCCCCCC"/>
      </top>
      <bottom style="thin">
        <color rgb="FF000000"/>
      </bottom>
    </border>
    <border>
      <top style="dotted">
        <color rgb="FFCCCCCC"/>
      </top>
      <bottom style="thin">
        <color rgb="FFFFFFFF"/>
      </bottom>
    </border>
    <border>
      <top style="dotted">
        <color rgb="FFCCCCCC"/>
      </top>
    </border>
    <border>
      <left style="dotted">
        <color rgb="FF000000"/>
      </left>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right style="dotted">
        <color rgb="FF000000"/>
      </right>
      <bottom style="dotted">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0" xfId="0" applyAlignment="1" applyFont="1">
      <alignment readingOrder="0" shrinkToFit="0" wrapText="1"/>
    </xf>
    <xf borderId="1" fillId="0" fontId="6" numFmtId="0" xfId="0" applyAlignment="1" applyBorder="1" applyFont="1">
      <alignment readingOrder="0"/>
    </xf>
    <xf borderId="1" fillId="0" fontId="4" numFmtId="0" xfId="0" applyBorder="1" applyFont="1"/>
    <xf borderId="2" fillId="2" fontId="7" numFmtId="0" xfId="0" applyAlignment="1" applyBorder="1" applyFill="1" applyFont="1">
      <alignment readingOrder="0" shrinkToFit="0" vertical="top" wrapText="1"/>
    </xf>
    <xf borderId="3" fillId="3" fontId="8" numFmtId="0" xfId="0" applyAlignment="1" applyBorder="1" applyFill="1" applyFont="1">
      <alignment readingOrder="0" shrinkToFit="0" vertical="top" wrapText="1"/>
    </xf>
    <xf borderId="2" fillId="3" fontId="8" numFmtId="0" xfId="0" applyAlignment="1" applyBorder="1" applyFont="1">
      <alignment readingOrder="0" shrinkToFit="0" vertical="top" wrapText="1"/>
    </xf>
    <xf borderId="2" fillId="3" fontId="8" numFmtId="0" xfId="0" applyAlignment="1" applyBorder="1" applyFont="1">
      <alignment shrinkToFit="0" vertical="top" wrapText="1"/>
    </xf>
    <xf borderId="2" fillId="3" fontId="8" numFmtId="0" xfId="0" applyAlignment="1" applyBorder="1" applyFont="1">
      <alignment vertical="top"/>
    </xf>
    <xf borderId="3"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shrinkToFit="0" vertical="top" wrapText="1"/>
    </xf>
    <xf borderId="2" fillId="0" fontId="8" numFmtId="0" xfId="0" applyAlignment="1" applyBorder="1" applyFont="1">
      <alignment vertical="top"/>
    </xf>
    <xf borderId="2" fillId="0" fontId="8" numFmtId="0" xfId="0" applyAlignment="1" applyBorder="1" applyFont="1">
      <alignment shrinkToFit="0" vertical="top" wrapText="0"/>
    </xf>
    <xf borderId="2" fillId="3" fontId="8" numFmtId="0" xfId="0" applyAlignment="1" applyBorder="1" applyFont="1">
      <alignment shrinkToFit="0" vertical="top" wrapText="0"/>
    </xf>
    <xf borderId="2" fillId="4" fontId="8" numFmtId="0" xfId="0" applyAlignment="1" applyBorder="1" applyFill="1" applyFont="1">
      <alignment readingOrder="0" shrinkToFit="0" vertical="top" wrapText="1"/>
    </xf>
    <xf borderId="2" fillId="0" fontId="8" numFmtId="0" xfId="0" applyAlignment="1" applyBorder="1" applyFont="1">
      <alignment readingOrder="0" shrinkToFit="0" vertical="bottom" wrapText="1"/>
    </xf>
    <xf borderId="4" fillId="4" fontId="8" numFmtId="0" xfId="0" applyAlignment="1" applyBorder="1" applyFont="1">
      <alignment readingOrder="0" shrinkToFit="0" vertical="bottom" wrapText="1"/>
    </xf>
    <xf borderId="2" fillId="3" fontId="8" numFmtId="0" xfId="0" applyAlignment="1" applyBorder="1" applyFont="1">
      <alignment readingOrder="0" shrinkToFit="0" vertical="bottom" wrapText="1"/>
    </xf>
    <xf borderId="2" fillId="3" fontId="8" numFmtId="0" xfId="0" applyAlignment="1" applyBorder="1" applyFont="1">
      <alignment readingOrder="0" shrinkToFit="0" vertical="top" wrapText="0"/>
    </xf>
    <xf borderId="2" fillId="0" fontId="8" numFmtId="0" xfId="0" applyAlignment="1" applyBorder="1" applyFont="1">
      <alignment readingOrder="0" shrinkToFit="0" vertical="top" wrapText="0"/>
    </xf>
    <xf borderId="5" fillId="5" fontId="6" numFmtId="0" xfId="0" applyAlignment="1" applyBorder="1" applyFill="1" applyFont="1">
      <alignment readingOrder="0" shrinkToFit="0" vertical="top" wrapText="1"/>
    </xf>
    <xf borderId="2" fillId="5" fontId="6" numFmtId="0" xfId="0" applyAlignment="1" applyBorder="1" applyFont="1">
      <alignment readingOrder="0" shrinkToFit="0" vertical="top" wrapText="1"/>
    </xf>
    <xf borderId="2" fillId="4" fontId="6" numFmtId="0" xfId="0" applyAlignment="1" applyBorder="1" applyFont="1">
      <alignment readingOrder="0" shrinkToFit="0" vertical="top" wrapText="1"/>
    </xf>
    <xf borderId="6" fillId="5" fontId="6" numFmtId="0" xfId="0" applyAlignment="1" applyBorder="1" applyFont="1">
      <alignment readingOrder="0" shrinkToFit="0" vertical="top" wrapText="1"/>
    </xf>
    <xf borderId="3" fillId="6" fontId="8" numFmtId="0" xfId="0" applyAlignment="1" applyBorder="1" applyFill="1" applyFont="1">
      <alignment readingOrder="0" shrinkToFit="0" vertical="top" wrapText="1"/>
    </xf>
    <xf borderId="7" fillId="6" fontId="8" numFmtId="0" xfId="0" applyAlignment="1" applyBorder="1" applyFont="1">
      <alignment readingOrder="0" shrinkToFit="0" vertical="top" wrapText="1"/>
    </xf>
    <xf borderId="2" fillId="6" fontId="8" numFmtId="0" xfId="0" applyAlignment="1" applyBorder="1" applyFont="1">
      <alignment readingOrder="0" shrinkToFit="0" vertical="top" wrapText="1"/>
    </xf>
    <xf borderId="8" fillId="6" fontId="8" numFmtId="0" xfId="0" applyAlignment="1" applyBorder="1" applyFont="1">
      <alignment shrinkToFit="0" vertical="top" wrapText="1"/>
    </xf>
    <xf borderId="8" fillId="6" fontId="8" numFmtId="0" xfId="0" applyAlignment="1" applyBorder="1" applyFont="1">
      <alignment readingOrder="0" shrinkToFit="0" vertical="top" wrapText="1"/>
    </xf>
    <xf borderId="9" fillId="6" fontId="8" numFmtId="0" xfId="0" applyAlignment="1" applyBorder="1" applyFont="1">
      <alignment shrinkToFit="0" vertical="top" wrapText="1"/>
    </xf>
    <xf borderId="7" fillId="0" fontId="8" numFmtId="0" xfId="0" applyAlignment="1" applyBorder="1" applyFont="1">
      <alignment readingOrder="0" shrinkToFit="0" vertical="top" wrapText="1"/>
    </xf>
    <xf borderId="8" fillId="0" fontId="8" numFmtId="0" xfId="0" applyAlignment="1" applyBorder="1" applyFont="1">
      <alignment readingOrder="0" shrinkToFit="0" vertical="top" wrapText="1"/>
    </xf>
    <xf borderId="6" fillId="0" fontId="8" numFmtId="0" xfId="0" applyAlignment="1" applyBorder="1" applyFont="1">
      <alignment shrinkToFit="0" vertical="top" wrapText="1"/>
    </xf>
    <xf borderId="2" fillId="6" fontId="8" numFmtId="0" xfId="0" applyAlignment="1" applyBorder="1" applyFont="1">
      <alignment shrinkToFit="0" vertical="top" wrapText="1"/>
    </xf>
    <xf borderId="6" fillId="6" fontId="8" numFmtId="0" xfId="0" applyAlignment="1" applyBorder="1" applyFont="1">
      <alignment shrinkToFit="0" vertical="top" wrapText="1"/>
    </xf>
    <xf borderId="2" fillId="7" fontId="8" numFmtId="0" xfId="0" applyAlignment="1" applyBorder="1" applyFill="1" applyFont="1">
      <alignment readingOrder="0" shrinkToFit="0" vertical="top" wrapText="1"/>
    </xf>
    <xf borderId="3" fillId="7" fontId="8" numFmtId="0" xfId="0" applyAlignment="1" applyBorder="1" applyFont="1">
      <alignment readingOrder="0" shrinkToFit="0" vertical="top" wrapText="1"/>
    </xf>
    <xf borderId="2" fillId="7" fontId="8" numFmtId="0" xfId="0" applyAlignment="1" applyBorder="1" applyFont="1">
      <alignment shrinkToFit="0" vertical="top" wrapText="1"/>
    </xf>
    <xf borderId="6" fillId="7" fontId="8" numFmtId="0" xfId="0" applyAlignment="1" applyBorder="1" applyFont="1">
      <alignment shrinkToFit="0" vertical="top" wrapText="1"/>
    </xf>
    <xf borderId="7" fillId="6" fontId="8" numFmtId="0" xfId="0" applyAlignment="1" applyBorder="1" applyFont="1">
      <alignment readingOrder="0" shrinkToFit="0" vertical="bottom" wrapText="1"/>
    </xf>
    <xf borderId="7" fillId="7" fontId="8" numFmtId="0" xfId="0" applyAlignment="1" applyBorder="1" applyFont="1">
      <alignment readingOrder="0" shrinkToFit="0" vertical="top" wrapText="1"/>
    </xf>
    <xf borderId="5" fillId="6" fontId="8" numFmtId="0" xfId="0" applyAlignment="1" applyBorder="1" applyFont="1">
      <alignment readingOrder="0" shrinkToFit="0" vertical="top" wrapText="1"/>
    </xf>
    <xf borderId="5" fillId="6" fontId="8" numFmtId="0" xfId="0" applyAlignment="1" applyBorder="1" applyFont="1">
      <alignment shrinkToFit="0" vertical="top" wrapText="1"/>
    </xf>
    <xf borderId="10" fillId="6" fontId="8" numFmtId="0" xfId="0" applyAlignment="1" applyBorder="1" applyFont="1">
      <alignment shrinkToFit="0" vertical="top" wrapText="1"/>
    </xf>
    <xf borderId="2" fillId="0" fontId="8" numFmtId="0" xfId="0" applyAlignment="1" applyBorder="1" applyFont="1">
      <alignment horizontal="left" readingOrder="0" shrinkToFit="0" vertical="top"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11" fillId="0" fontId="6" numFmtId="0" xfId="0" applyAlignment="1" applyBorder="1" applyFont="1">
      <alignment readingOrder="0" shrinkToFit="0" vertical="center" wrapText="1"/>
    </xf>
    <xf borderId="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0" fillId="8" fontId="7" numFmtId="0" xfId="0" applyAlignment="1" applyFill="1" applyFont="1">
      <alignment readingOrder="0" vertical="center"/>
    </xf>
    <xf borderId="0" fillId="8" fontId="7" numFmtId="0" xfId="0" applyAlignment="1" applyFont="1">
      <alignment readingOrder="0" shrinkToFit="0" vertical="center" wrapText="1"/>
    </xf>
    <xf borderId="13" fillId="9" fontId="6" numFmtId="0" xfId="0" applyAlignment="1" applyBorder="1" applyFill="1" applyFont="1">
      <alignment readingOrder="0" shrinkToFit="0" vertical="top" wrapText="1"/>
    </xf>
    <xf borderId="13" fillId="0" fontId="1" numFmtId="0" xfId="0" applyAlignment="1" applyBorder="1" applyFont="1">
      <alignment readingOrder="0" shrinkToFit="0" vertical="top" wrapText="0"/>
    </xf>
    <xf borderId="13" fillId="0" fontId="1" numFmtId="0" xfId="0" applyAlignment="1" applyBorder="1" applyFont="1">
      <alignment readingOrder="0" vertical="top"/>
    </xf>
    <xf borderId="13" fillId="0" fontId="6" numFmtId="0" xfId="0" applyAlignment="1" applyBorder="1" applyFont="1">
      <alignment readingOrder="0" vertical="top"/>
    </xf>
    <xf borderId="13" fillId="0" fontId="1" numFmtId="0" xfId="0" applyAlignment="1" applyBorder="1" applyFont="1">
      <alignment readingOrder="0" shrinkToFit="0" vertical="top" wrapText="1"/>
    </xf>
    <xf borderId="14" fillId="9" fontId="6" numFmtId="0" xfId="0" applyAlignment="1" applyBorder="1" applyFont="1">
      <alignment readingOrder="0" shrinkToFit="0" vertical="top" wrapText="1"/>
    </xf>
    <xf borderId="14" fillId="0" fontId="1" numFmtId="0" xfId="0" applyAlignment="1" applyBorder="1" applyFont="1">
      <alignment readingOrder="0" shrinkToFit="0" vertical="top" wrapText="0"/>
    </xf>
    <xf borderId="14" fillId="0" fontId="1" numFmtId="0" xfId="0" applyAlignment="1" applyBorder="1" applyFont="1">
      <alignment readingOrder="0" vertical="top"/>
    </xf>
    <xf borderId="14" fillId="0" fontId="6" numFmtId="0" xfId="0" applyAlignment="1" applyBorder="1" applyFont="1">
      <alignment readingOrder="0" vertical="top"/>
    </xf>
    <xf borderId="14" fillId="0" fontId="1" numFmtId="0" xfId="0" applyAlignment="1" applyBorder="1" applyFont="1">
      <alignment readingOrder="0" shrinkToFit="0" vertical="top" wrapText="1"/>
    </xf>
    <xf borderId="15" fillId="9" fontId="6" numFmtId="0" xfId="0" applyAlignment="1" applyBorder="1" applyFont="1">
      <alignment readingOrder="0" shrinkToFit="0" vertical="top" wrapText="1"/>
    </xf>
    <xf borderId="15" fillId="0" fontId="1" numFmtId="0" xfId="0" applyAlignment="1" applyBorder="1" applyFont="1">
      <alignment readingOrder="0" shrinkToFit="0" vertical="top" wrapText="0"/>
    </xf>
    <xf borderId="15" fillId="0" fontId="1" numFmtId="0" xfId="0" applyAlignment="1" applyBorder="1" applyFont="1">
      <alignment readingOrder="0" vertical="top"/>
    </xf>
    <xf borderId="15" fillId="0" fontId="6" numFmtId="0" xfId="0" applyAlignment="1" applyBorder="1" applyFont="1">
      <alignment readingOrder="0" vertical="top"/>
    </xf>
    <xf borderId="11" fillId="0" fontId="1" numFmtId="0" xfId="0" applyAlignment="1" applyBorder="1" applyFont="1">
      <alignment readingOrder="0" shrinkToFit="0" vertical="top" wrapText="1"/>
    </xf>
    <xf borderId="13" fillId="10" fontId="6" numFmtId="0" xfId="0" applyAlignment="1" applyBorder="1" applyFill="1" applyFont="1">
      <alignment readingOrder="0" shrinkToFit="0" vertical="top" wrapText="1"/>
    </xf>
    <xf borderId="16" fillId="0" fontId="1" numFmtId="0" xfId="0" applyAlignment="1" applyBorder="1" applyFont="1">
      <alignment readingOrder="0" shrinkToFit="0" vertical="top" wrapText="1"/>
    </xf>
    <xf borderId="14" fillId="10" fontId="6" numFmtId="0" xfId="0" applyAlignment="1" applyBorder="1" applyFont="1">
      <alignment readingOrder="0" shrinkToFit="0" vertical="top" wrapText="1"/>
    </xf>
    <xf borderId="17" fillId="10" fontId="6" numFmtId="0" xfId="0" applyAlignment="1" applyBorder="1" applyFont="1">
      <alignment readingOrder="0" shrinkToFit="0" vertical="top" wrapText="1"/>
    </xf>
    <xf borderId="17" fillId="0" fontId="1" numFmtId="0" xfId="0" applyAlignment="1" applyBorder="1" applyFont="1">
      <alignment readingOrder="0" vertical="top"/>
    </xf>
    <xf borderId="0" fillId="8" fontId="7" numFmtId="0" xfId="0" applyAlignment="1" applyFont="1">
      <alignment readingOrder="0" shrinkToFit="0" vertical="top" wrapText="1"/>
    </xf>
    <xf borderId="0" fillId="8" fontId="9" numFmtId="0" xfId="0" applyAlignment="1" applyFont="1">
      <alignment readingOrder="0" shrinkToFit="0" vertical="top" wrapText="1"/>
    </xf>
    <xf borderId="13" fillId="0" fontId="6" numFmtId="0" xfId="0" applyAlignment="1" applyBorder="1" applyFont="1">
      <alignment readingOrder="0" shrinkToFit="0" vertical="top" wrapText="1"/>
    </xf>
    <xf borderId="13" fillId="0" fontId="10" numFmtId="0" xfId="0" applyAlignment="1" applyBorder="1" applyFont="1">
      <alignment readingOrder="0" shrinkToFit="0" vertical="top" wrapText="1"/>
    </xf>
    <xf borderId="14" fillId="0" fontId="6" numFmtId="0" xfId="0" applyAlignment="1" applyBorder="1" applyFont="1">
      <alignment readingOrder="0" shrinkToFit="0" vertical="top" wrapText="1"/>
    </xf>
    <xf borderId="14" fillId="0" fontId="10" numFmtId="0" xfId="0" applyAlignment="1" applyBorder="1" applyFont="1">
      <alignment readingOrder="0" shrinkToFit="0" vertical="top" wrapText="1"/>
    </xf>
    <xf borderId="14" fillId="0" fontId="11" numFmtId="0" xfId="0" applyAlignment="1" applyBorder="1" applyFont="1">
      <alignment readingOrder="0" shrinkToFit="0" vertical="top" wrapText="1"/>
    </xf>
    <xf borderId="17" fillId="0" fontId="6" numFmtId="0" xfId="0" applyAlignment="1" applyBorder="1" applyFont="1">
      <alignment readingOrder="0" shrinkToFit="0" vertical="top" wrapText="1"/>
    </xf>
    <xf borderId="17" fillId="0" fontId="1" numFmtId="0" xfId="0" applyAlignment="1" applyBorder="1" applyFont="1">
      <alignment readingOrder="0" shrinkToFit="0" vertical="top" wrapText="1"/>
    </xf>
    <xf borderId="17" fillId="0" fontId="10" numFmtId="0" xfId="0" applyAlignment="1" applyBorder="1" applyFont="1">
      <alignment readingOrder="0" shrinkToFit="0" vertical="top" wrapText="1"/>
    </xf>
    <xf borderId="17" fillId="0" fontId="11" numFmtId="0" xfId="0" applyAlignment="1" applyBorder="1" applyFont="1">
      <alignment readingOrder="0" shrinkToFit="0" vertical="top" wrapText="1"/>
    </xf>
    <xf borderId="0" fillId="0" fontId="6" numFmtId="0" xfId="0" applyAlignment="1" applyFont="1">
      <alignment readingOrder="0"/>
    </xf>
    <xf borderId="17" fillId="0" fontId="1" numFmtId="0" xfId="0" applyAlignment="1" applyBorder="1" applyFont="1">
      <alignment readingOrder="0" shrinkToFit="0" vertical="top" wrapText="0"/>
    </xf>
    <xf borderId="17" fillId="9" fontId="6" numFmtId="0" xfId="0" applyAlignment="1" applyBorder="1" applyFont="1">
      <alignment readingOrder="0" shrinkToFit="0" vertical="top" wrapText="1"/>
    </xf>
    <xf borderId="17" fillId="0" fontId="6" numFmtId="0" xfId="0" applyAlignment="1" applyBorder="1" applyFont="1">
      <alignment readingOrder="0" vertical="top"/>
    </xf>
    <xf borderId="0" fillId="8" fontId="7" numFmtId="0" xfId="0" applyAlignment="1" applyFont="1">
      <alignment readingOrder="0"/>
    </xf>
    <xf borderId="0" fillId="8" fontId="7" numFmtId="0" xfId="0" applyAlignment="1" applyFont="1">
      <alignment readingOrder="0" shrinkToFit="0" wrapText="1"/>
    </xf>
    <xf borderId="13" fillId="0" fontId="1" numFmtId="0" xfId="0" applyAlignment="1" applyBorder="1" applyFont="1">
      <alignment readingOrder="0" shrinkToFit="0" vertical="bottom" wrapText="0"/>
    </xf>
    <xf borderId="13" fillId="0" fontId="1" numFmtId="0" xfId="0" applyAlignment="1" applyBorder="1" applyFont="1">
      <alignment readingOrder="0"/>
    </xf>
    <xf borderId="13" fillId="0" fontId="1" numFmtId="0" xfId="0" applyAlignment="1" applyBorder="1" applyFont="1">
      <alignment readingOrder="0" shrinkToFit="0" wrapText="1"/>
    </xf>
    <xf borderId="13" fillId="0" fontId="6" numFmtId="0" xfId="0" applyAlignment="1" applyBorder="1" applyFont="1">
      <alignment readingOrder="0" shrinkToFit="0" wrapText="1"/>
    </xf>
    <xf borderId="13" fillId="0" fontId="6" numFmtId="0" xfId="0" applyAlignment="1" applyBorder="1" applyFont="1">
      <alignment readingOrder="0"/>
    </xf>
    <xf borderId="14" fillId="0" fontId="1" numFmtId="0" xfId="0" applyAlignment="1" applyBorder="1" applyFont="1">
      <alignment readingOrder="0" shrinkToFit="0" vertical="bottom" wrapText="0"/>
    </xf>
    <xf borderId="14" fillId="0" fontId="1" numFmtId="0" xfId="0" applyAlignment="1" applyBorder="1" applyFont="1">
      <alignment readingOrder="0"/>
    </xf>
    <xf borderId="14" fillId="0" fontId="6" numFmtId="0" xfId="0" applyAlignment="1" applyBorder="1" applyFont="1">
      <alignment readingOrder="0"/>
    </xf>
    <xf borderId="13" fillId="0" fontId="12" numFmtId="0" xfId="0" applyAlignment="1" applyBorder="1" applyFont="1">
      <alignment shrinkToFit="0" wrapText="1"/>
    </xf>
    <xf borderId="14" fillId="0" fontId="12" numFmtId="0" xfId="0" applyBorder="1" applyFont="1"/>
    <xf borderId="17" fillId="0" fontId="1" numFmtId="0" xfId="0" applyAlignment="1" applyBorder="1" applyFont="1">
      <alignment readingOrder="0" shrinkToFit="0" vertical="bottom" wrapText="0"/>
    </xf>
    <xf borderId="17" fillId="0" fontId="1" numFmtId="0" xfId="0" applyAlignment="1" applyBorder="1" applyFont="1">
      <alignment readingOrder="0"/>
    </xf>
    <xf borderId="0" fillId="0" fontId="1" numFmtId="0" xfId="0" applyAlignment="1" applyFont="1">
      <alignment readingOrder="0" shrinkToFit="0" wrapText="1"/>
    </xf>
    <xf borderId="0" fillId="0" fontId="12" numFmtId="0" xfId="0" applyAlignment="1" applyFont="1">
      <alignment shrinkToFit="0" wrapText="1"/>
    </xf>
    <xf borderId="17" fillId="0" fontId="12" numFmtId="0" xfId="0" applyBorder="1" applyFont="1"/>
    <xf borderId="0" fillId="11" fontId="6" numFmtId="0" xfId="0" applyAlignment="1" applyFill="1" applyFont="1">
      <alignment readingOrder="0"/>
    </xf>
    <xf borderId="18" fillId="0" fontId="6" numFmtId="0" xfId="0" applyAlignment="1" applyBorder="1" applyFont="1">
      <alignment readingOrder="0" shrinkToFit="0" vertical="top" wrapText="1"/>
    </xf>
    <xf borderId="18" fillId="2" fontId="13" numFmtId="0" xfId="0" applyAlignment="1" applyBorder="1" applyFont="1">
      <alignment readingOrder="0" shrinkToFit="0" vertical="top" wrapText="1"/>
    </xf>
    <xf borderId="18" fillId="2" fontId="7" numFmtId="0" xfId="0" applyAlignment="1" applyBorder="1" applyFont="1">
      <alignment readingOrder="0" shrinkToFit="0" vertical="top" wrapText="1"/>
    </xf>
    <xf borderId="18" fillId="0" fontId="1" numFmtId="0" xfId="0" applyAlignment="1" applyBorder="1" applyFont="1">
      <alignment readingOrder="0" shrinkToFit="0" vertical="top" wrapText="1"/>
    </xf>
    <xf borderId="19" fillId="0" fontId="6" numFmtId="0" xfId="0" applyAlignment="1" applyBorder="1" applyFont="1">
      <alignment readingOrder="0" shrinkToFit="0" vertical="top" wrapText="1"/>
    </xf>
    <xf borderId="19" fillId="2" fontId="13" numFmtId="0" xfId="0" applyAlignment="1" applyBorder="1" applyFont="1">
      <alignment readingOrder="0" shrinkToFit="0" vertical="top" wrapText="1"/>
    </xf>
    <xf borderId="19" fillId="2" fontId="7" numFmtId="0" xfId="0" applyAlignment="1" applyBorder="1" applyFont="1">
      <alignment readingOrder="0" shrinkToFit="0" vertical="top" wrapText="1"/>
    </xf>
    <xf borderId="19" fillId="0" fontId="1" numFmtId="0" xfId="0" applyAlignment="1" applyBorder="1" applyFont="1">
      <alignment readingOrder="0" shrinkToFit="0" vertical="top" wrapText="1"/>
    </xf>
    <xf borderId="19" fillId="0" fontId="14" numFmtId="0" xfId="0" applyAlignment="1" applyBorder="1" applyFont="1">
      <alignment readingOrder="0" shrinkToFit="0" vertical="top" wrapText="1"/>
    </xf>
    <xf borderId="19" fillId="0" fontId="15" numFmtId="0" xfId="0" applyAlignment="1" applyBorder="1" applyFont="1">
      <alignment readingOrder="0" shrinkToFit="0" vertical="top" wrapText="1"/>
    </xf>
    <xf borderId="20" fillId="0" fontId="1" numFmtId="0" xfId="0" applyAlignment="1" applyBorder="1" applyFont="1">
      <alignment readingOrder="0" shrinkToFit="0" vertical="top" wrapText="1"/>
    </xf>
    <xf borderId="21" fillId="2" fontId="13" numFmtId="0" xfId="0" applyAlignment="1" applyBorder="1" applyFont="1">
      <alignment readingOrder="0" shrinkToFit="0" vertical="top" wrapText="1"/>
    </xf>
    <xf borderId="21" fillId="2" fontId="7" numFmtId="0" xfId="0" applyAlignment="1" applyBorder="1" applyFont="1">
      <alignment readingOrder="0" shrinkToFit="0" vertical="top" wrapText="1"/>
    </xf>
    <xf borderId="20" fillId="0" fontId="15" numFmtId="0" xfId="0" applyAlignment="1" applyBorder="1" applyFont="1">
      <alignment readingOrder="0" shrinkToFit="0" vertical="top" wrapText="1"/>
    </xf>
    <xf borderId="18" fillId="5" fontId="13" numFmtId="0" xfId="0" applyAlignment="1" applyBorder="1" applyFont="1">
      <alignment readingOrder="0" shrinkToFit="0" vertical="top" wrapText="1"/>
    </xf>
    <xf borderId="18" fillId="5" fontId="7" numFmtId="0" xfId="0" applyAlignment="1" applyBorder="1" applyFont="1">
      <alignment readingOrder="0" shrinkToFit="0" vertical="top" wrapText="1"/>
    </xf>
    <xf borderId="19" fillId="5" fontId="13" numFmtId="0" xfId="0" applyAlignment="1" applyBorder="1" applyFont="1">
      <alignment readingOrder="0" shrinkToFit="0" vertical="top" wrapText="1"/>
    </xf>
    <xf borderId="19" fillId="5" fontId="7" numFmtId="0" xfId="0" applyAlignment="1" applyBorder="1" applyFont="1">
      <alignment readingOrder="0" shrinkToFit="0" vertical="top" wrapText="1"/>
    </xf>
    <xf borderId="19" fillId="0" fontId="16" numFmtId="0" xfId="0" applyAlignment="1" applyBorder="1" applyFont="1">
      <alignment readingOrder="0" shrinkToFit="0" vertical="top" wrapText="1"/>
    </xf>
    <xf borderId="19" fillId="0" fontId="1" numFmtId="0" xfId="0" applyAlignment="1" applyBorder="1" applyFont="1">
      <alignment shrinkToFit="0" vertical="top" wrapText="1"/>
    </xf>
    <xf borderId="19" fillId="4" fontId="7" numFmtId="0" xfId="0" applyAlignment="1" applyBorder="1" applyFont="1">
      <alignment readingOrder="0" shrinkToFit="0" vertical="top" wrapText="1"/>
    </xf>
    <xf borderId="22" fillId="0" fontId="15" numFmtId="0" xfId="0" applyAlignment="1" applyBorder="1" applyFont="1">
      <alignment readingOrder="0" shrinkToFit="0" vertical="top" wrapText="1"/>
    </xf>
    <xf borderId="19" fillId="0" fontId="17" numFmtId="0" xfId="0" applyAlignment="1" applyBorder="1" applyFont="1">
      <alignment readingOrder="0" shrinkToFit="0" vertical="top" wrapText="1"/>
    </xf>
    <xf borderId="22" fillId="0" fontId="1" numFmtId="0" xfId="0" applyAlignment="1" applyBorder="1" applyFont="1">
      <alignment readingOrder="0" shrinkToFit="0" vertical="top" wrapText="1"/>
    </xf>
    <xf borderId="22" fillId="5" fontId="13" numFmtId="0" xfId="0" applyAlignment="1" applyBorder="1" applyFont="1">
      <alignment readingOrder="0" shrinkToFit="0" vertical="top" wrapText="1"/>
    </xf>
    <xf borderId="22" fillId="5" fontId="7" numFmtId="0" xfId="0" applyAlignment="1" applyBorder="1" applyFont="1">
      <alignment readingOrder="0" shrinkToFit="0" vertical="top" wrapText="1"/>
    </xf>
    <xf borderId="0" fillId="8" fontId="7" numFmtId="0" xfId="0" applyAlignment="1" applyFont="1">
      <alignment horizontal="center" readingOrder="0"/>
    </xf>
    <xf borderId="0" fillId="12" fontId="8" numFmtId="0" xfId="0" applyAlignment="1" applyFill="1" applyFont="1">
      <alignment readingOrder="0" shrinkToFit="0" vertical="top" wrapText="1"/>
    </xf>
    <xf borderId="0" fillId="0" fontId="8"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13" fontId="8" numFmtId="0" xfId="0" applyAlignment="1" applyFill="1" applyFont="1">
      <alignment horizontal="left" readingOrder="0" shrinkToFit="0" vertical="top" wrapText="1"/>
    </xf>
    <xf borderId="0" fillId="13" fontId="8" numFmtId="0" xfId="0" applyAlignment="1" applyFont="1">
      <alignment horizontal="left" readingOrder="0" shrinkToFit="0" vertical="top" wrapText="0"/>
    </xf>
    <xf borderId="13" fillId="0" fontId="8" numFmtId="0" xfId="0" applyAlignment="1" applyBorder="1" applyFont="1">
      <alignment horizontal="left" shrinkToFit="0" vertical="top" wrapText="1"/>
    </xf>
    <xf borderId="13" fillId="10" fontId="8" numFmtId="0" xfId="0" applyAlignment="1" applyBorder="1" applyFont="1">
      <alignment readingOrder="0" shrinkToFit="0" vertical="top" wrapText="1"/>
    </xf>
    <xf borderId="13" fillId="0" fontId="8" numFmtId="0" xfId="0" applyAlignment="1" applyBorder="1" applyFont="1">
      <alignment horizontal="left" readingOrder="0" shrinkToFit="0" vertical="top" wrapText="1"/>
    </xf>
    <xf borderId="14" fillId="0" fontId="8" numFmtId="0" xfId="0" applyAlignment="1" applyBorder="1" applyFont="1">
      <alignment horizontal="left" shrinkToFit="0" vertical="top" wrapText="1"/>
    </xf>
    <xf borderId="14" fillId="10" fontId="8" numFmtId="0" xfId="0" applyAlignment="1" applyBorder="1" applyFont="1">
      <alignment readingOrder="0" shrinkToFit="0" vertical="top" wrapText="1"/>
    </xf>
    <xf borderId="14" fillId="0" fontId="8" numFmtId="0" xfId="0" applyAlignment="1" applyBorder="1" applyFont="1">
      <alignment horizontal="left" readingOrder="0" shrinkToFit="0" vertical="top" wrapText="1"/>
    </xf>
    <xf borderId="17" fillId="0" fontId="8" numFmtId="0" xfId="0" applyAlignment="1" applyBorder="1" applyFont="1">
      <alignment horizontal="left" shrinkToFit="0" vertical="top" wrapText="1"/>
    </xf>
    <xf borderId="17" fillId="10" fontId="8" numFmtId="0" xfId="0" applyAlignment="1" applyBorder="1" applyFont="1">
      <alignment readingOrder="0" shrinkToFit="0" vertical="top" wrapText="1"/>
    </xf>
    <xf borderId="17" fillId="0" fontId="8" numFmtId="0" xfId="0" applyAlignment="1" applyBorder="1" applyFont="1">
      <alignment horizontal="left" readingOrder="0" shrinkToFit="0" vertical="top" wrapText="1"/>
    </xf>
    <xf borderId="13" fillId="10" fontId="1" numFmtId="0" xfId="0" applyAlignment="1" applyBorder="1" applyFont="1">
      <alignment readingOrder="0" shrinkToFit="0" vertical="top" wrapText="1"/>
    </xf>
    <xf borderId="13" fillId="0" fontId="11" numFmtId="0" xfId="0" applyAlignment="1" applyBorder="1" applyFont="1">
      <alignment readingOrder="0" shrinkToFit="0" vertical="top" wrapText="1"/>
    </xf>
    <xf borderId="14" fillId="10" fontId="1" numFmtId="0" xfId="0" applyAlignment="1" applyBorder="1" applyFont="1">
      <alignment readingOrder="0" shrinkToFit="0" vertical="top" wrapText="1"/>
    </xf>
    <xf borderId="14" fillId="0" fontId="11" numFmtId="0" xfId="0" applyAlignment="1" applyBorder="1" applyFont="1">
      <alignment shrinkToFit="0" vertical="top" wrapText="1"/>
    </xf>
    <xf borderId="17" fillId="10" fontId="1" numFmtId="0" xfId="0" applyAlignment="1" applyBorder="1" applyFont="1">
      <alignment readingOrder="0" shrinkToFit="0" vertical="top" wrapText="1"/>
    </xf>
    <xf borderId="17" fillId="0" fontId="11" numFmtId="0" xfId="0" applyAlignment="1" applyBorder="1" applyFont="1">
      <alignment shrinkToFit="0" vertical="top" wrapText="1"/>
    </xf>
    <xf borderId="13" fillId="9" fontId="1" numFmtId="0" xfId="0" applyAlignment="1" applyBorder="1" applyFont="1">
      <alignment readingOrder="0" shrinkToFit="0" vertical="top" wrapText="1"/>
    </xf>
    <xf borderId="13" fillId="0" fontId="8" numFmtId="0" xfId="0" applyAlignment="1" applyBorder="1" applyFont="1">
      <alignment readingOrder="0" vertical="top"/>
    </xf>
    <xf borderId="13" fillId="0" fontId="18" numFmtId="0" xfId="0" applyAlignment="1" applyBorder="1" applyFont="1">
      <alignment vertical="top"/>
    </xf>
    <xf borderId="14" fillId="0" fontId="1" numFmtId="0" xfId="0" applyAlignment="1" applyBorder="1" applyFont="1">
      <alignment vertical="top"/>
    </xf>
    <xf borderId="14" fillId="9" fontId="1" numFmtId="0" xfId="0" applyAlignment="1" applyBorder="1" applyFont="1">
      <alignment readingOrder="0" shrinkToFit="0" vertical="top" wrapText="1"/>
    </xf>
    <xf borderId="14" fillId="0" fontId="8" numFmtId="0" xfId="0" applyAlignment="1" applyBorder="1" applyFont="1">
      <alignment readingOrder="0" vertical="top"/>
    </xf>
    <xf borderId="14" fillId="0" fontId="18" numFmtId="0" xfId="0" applyAlignment="1" applyBorder="1" applyFont="1">
      <alignment vertical="top"/>
    </xf>
    <xf borderId="14" fillId="0" fontId="1" numFmtId="0" xfId="0" applyAlignment="1" applyBorder="1" applyFont="1">
      <alignment horizontal="right" readingOrder="0" vertical="top"/>
    </xf>
    <xf borderId="14" fillId="0" fontId="18" numFmtId="0" xfId="0" applyAlignment="1" applyBorder="1" applyFont="1">
      <alignment readingOrder="0" vertical="top"/>
    </xf>
    <xf borderId="14" fillId="0" fontId="12" numFmtId="0" xfId="0" applyAlignment="1" applyBorder="1" applyFont="1">
      <alignment vertical="top"/>
    </xf>
    <xf borderId="17" fillId="9" fontId="1" numFmtId="0" xfId="0" applyAlignment="1" applyBorder="1" applyFont="1">
      <alignment readingOrder="0" shrinkToFit="0" vertical="top" wrapText="1"/>
    </xf>
    <xf borderId="17" fillId="0" fontId="1" numFmtId="0" xfId="0" applyAlignment="1" applyBorder="1" applyFont="1">
      <alignment horizontal="right" readingOrder="0" vertical="top"/>
    </xf>
    <xf borderId="17" fillId="0" fontId="18" numFmtId="0" xfId="0" applyAlignment="1" applyBorder="1" applyFont="1">
      <alignment vertical="top"/>
    </xf>
    <xf borderId="17" fillId="0" fontId="8" numFmtId="0" xfId="0" applyAlignment="1" applyBorder="1" applyFont="1">
      <alignment readingOrder="0" shrinkToFit="0" vertical="top" wrapText="1"/>
    </xf>
    <xf borderId="0" fillId="9"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4" numFmtId="0" xfId="0" applyAlignment="1" applyFont="1">
      <alignment readingOrder="0" shrinkToFit="0" vertical="top" wrapText="1"/>
    </xf>
    <xf borderId="0" fillId="0" fontId="19" numFmtId="0" xfId="0" applyAlignment="1" applyFont="1">
      <alignment readingOrder="0"/>
    </xf>
    <xf borderId="0" fillId="0" fontId="1" numFmtId="0" xfId="0" applyAlignment="1" applyFont="1">
      <alignment horizontal="center"/>
    </xf>
    <xf borderId="0" fillId="0" fontId="6" numFmtId="0" xfId="0" applyAlignment="1" applyFont="1">
      <alignment readingOrder="0" shrinkToFit="0" wrapText="1"/>
    </xf>
    <xf borderId="0" fillId="0" fontId="18" numFmtId="0" xfId="0" applyFont="1"/>
    <xf borderId="0" fillId="0" fontId="18" numFmtId="0" xfId="0" applyAlignment="1" applyFont="1">
      <alignment vertical="center"/>
    </xf>
    <xf borderId="23" fillId="0" fontId="18" numFmtId="0" xfId="0" applyAlignment="1" applyBorder="1" applyFont="1">
      <alignment vertical="center"/>
    </xf>
    <xf borderId="17" fillId="0" fontId="1" numFmtId="0" xfId="0" applyAlignment="1" applyBorder="1" applyFont="1">
      <alignment horizontal="center" readingOrder="0" vertical="center"/>
    </xf>
    <xf borderId="24" fillId="0" fontId="1" numFmtId="0" xfId="0" applyAlignment="1" applyBorder="1" applyFont="1">
      <alignment readingOrder="0" vertical="center"/>
    </xf>
    <xf borderId="0" fillId="0" fontId="12" numFmtId="0" xfId="0" applyAlignment="1" applyFont="1">
      <alignment vertical="center"/>
    </xf>
    <xf borderId="23" fillId="0" fontId="1" numFmtId="0" xfId="0" applyAlignment="1" applyBorder="1" applyFont="1">
      <alignment readingOrder="0" shrinkToFit="0" vertical="center" wrapText="1"/>
    </xf>
    <xf borderId="23" fillId="0" fontId="1" numFmtId="0" xfId="0" applyAlignment="1" applyBorder="1" applyFont="1">
      <alignment shrinkToFit="0" vertical="center" wrapText="1"/>
    </xf>
    <xf borderId="0" fillId="0" fontId="20" numFmtId="0" xfId="0" applyAlignment="1" applyFont="1">
      <alignment vertical="center"/>
    </xf>
    <xf borderId="25" fillId="0" fontId="18" numFmtId="0" xfId="0" applyAlignment="1" applyBorder="1" applyFont="1">
      <alignment vertical="center"/>
    </xf>
    <xf borderId="0" fillId="0" fontId="1" numFmtId="0" xfId="0" applyAlignment="1" applyFont="1">
      <alignment horizontal="center" readingOrder="0" vertical="center"/>
    </xf>
    <xf borderId="26" fillId="0" fontId="1" numFmtId="0" xfId="0" applyAlignment="1" applyBorder="1" applyFont="1">
      <alignment readingOrder="0" vertical="center"/>
    </xf>
    <xf borderId="25" fillId="0" fontId="1" numFmtId="0" xfId="0" applyAlignment="1" applyBorder="1" applyFont="1">
      <alignment readingOrder="0" shrinkToFit="0" vertical="center" wrapText="1"/>
    </xf>
    <xf borderId="25" fillId="0" fontId="1" numFmtId="0" xfId="0" applyAlignment="1" applyBorder="1" applyFont="1">
      <alignment shrinkToFit="0" vertical="center" wrapText="1"/>
    </xf>
    <xf borderId="25" fillId="0" fontId="12" numFmtId="0" xfId="0" applyAlignment="1" applyBorder="1" applyFont="1">
      <alignment vertical="center"/>
    </xf>
    <xf borderId="0" fillId="0" fontId="8" numFmtId="0" xfId="0" applyAlignment="1" applyFont="1">
      <alignment vertical="center"/>
    </xf>
    <xf borderId="27" fillId="0" fontId="1" numFmtId="0" xfId="0" applyAlignment="1" applyBorder="1" applyFont="1">
      <alignment readingOrder="0" shrinkToFit="0" vertical="center" wrapText="1"/>
    </xf>
    <xf borderId="13" fillId="0" fontId="1" numFmtId="0" xfId="0" applyAlignment="1" applyBorder="1" applyFont="1">
      <alignment horizontal="center" readingOrder="0" vertical="center"/>
    </xf>
    <xf borderId="28" fillId="0" fontId="1" numFmtId="0" xfId="0" applyAlignment="1" applyBorder="1" applyFont="1">
      <alignment readingOrder="0" vertical="center"/>
    </xf>
    <xf borderId="27" fillId="0" fontId="1" numFmtId="0" xfId="0" applyAlignment="1" applyBorder="1" applyFont="1">
      <alignment shrinkToFit="0" vertical="center" wrapText="1"/>
    </xf>
    <xf borderId="25" fillId="0" fontId="20" numFmtId="0" xfId="0" applyAlignment="1" applyBorder="1" applyFont="1">
      <alignment vertical="center"/>
    </xf>
    <xf borderId="25" fillId="0" fontId="8" numFmtId="0" xfId="0" applyAlignment="1" applyBorder="1" applyFont="1">
      <alignment vertical="center"/>
    </xf>
    <xf borderId="0" fillId="0" fontId="1" numFmtId="0" xfId="0" applyAlignment="1" applyFont="1">
      <alignment vertical="center"/>
    </xf>
    <xf borderId="25" fillId="0" fontId="1" numFmtId="0" xfId="0" applyAlignment="1" applyBorder="1" applyFont="1">
      <alignment vertical="center"/>
    </xf>
    <xf borderId="27" fillId="0" fontId="18" numFmtId="0" xfId="0" applyAlignment="1" applyBorder="1" applyFont="1">
      <alignment vertical="center"/>
    </xf>
    <xf borderId="0" fillId="0" fontId="21" numFmtId="0" xfId="0" applyAlignment="1" applyFont="1">
      <alignment readingOrder="0"/>
    </xf>
    <xf borderId="0" fillId="14" fontId="7" numFmtId="0" xfId="0" applyAlignment="1" applyFill="1" applyFont="1">
      <alignment readingOrder="0" vertical="center"/>
    </xf>
    <xf borderId="0" fillId="12" fontId="6" numFmtId="0" xfId="0" applyFont="1"/>
    <xf borderId="0" fillId="0" fontId="22" numFmtId="0" xfId="0" applyFont="1"/>
    <xf borderId="0" fillId="0" fontId="23" numFmtId="0" xfId="0" applyFont="1"/>
    <xf borderId="0" fillId="0" fontId="17" numFmtId="0" xfId="0" applyFont="1"/>
    <xf borderId="0" fillId="0" fontId="23" numFmtId="0" xfId="0" applyFont="1"/>
    <xf borderId="0" fillId="0" fontId="6" numFmtId="0" xfId="0" applyFont="1"/>
    <xf borderId="0" fillId="0" fontId="7" numFmtId="0" xfId="0" applyAlignment="1" applyFont="1">
      <alignment readingOrder="0"/>
    </xf>
    <xf borderId="0" fillId="10" fontId="24" numFmtId="0" xfId="0" applyAlignment="1" applyFont="1">
      <alignment shrinkToFit="0" wrapText="1"/>
    </xf>
    <xf borderId="0" fillId="0" fontId="23" numFmtId="0" xfId="0" applyAlignment="1" applyFont="1">
      <alignment shrinkToFit="0" wrapText="1"/>
    </xf>
    <xf borderId="0" fillId="0" fontId="1" numFmtId="0" xfId="0" applyAlignment="1" applyFont="1">
      <alignment shrinkToFit="0" wrapText="1"/>
    </xf>
    <xf borderId="0" fillId="0" fontId="25" numFmtId="0" xfId="0" applyAlignment="1" applyFont="1">
      <alignment shrinkToFit="0" wrapText="1"/>
    </xf>
    <xf borderId="0" fillId="10" fontId="26" numFmtId="0" xfId="0" applyAlignment="1" applyFont="1">
      <alignment shrinkToFit="0" wrapText="1"/>
    </xf>
    <xf borderId="0" fillId="10" fontId="6" numFmtId="0" xfId="0" applyAlignment="1" applyFont="1">
      <alignment shrinkToFit="0" wrapText="1"/>
    </xf>
    <xf borderId="0" fillId="14" fontId="7" numFmtId="0" xfId="0" applyAlignment="1" applyFont="1">
      <alignment readingOrder="0"/>
    </xf>
    <xf borderId="0" fillId="14" fontId="27" numFmtId="0" xfId="0" applyAlignment="1" applyFont="1">
      <alignment readingOrder="0"/>
    </xf>
    <xf borderId="0" fillId="9" fontId="6" numFmtId="0" xfId="0" applyAlignment="1" applyFont="1">
      <alignment horizontal="left" shrinkToFit="0" vertical="top" wrapText="1"/>
    </xf>
    <xf borderId="0" fillId="0" fontId="25" numFmtId="0" xfId="0" applyAlignment="1" applyFont="1">
      <alignment horizontal="left" readingOrder="0" shrinkToFit="0" vertical="top" wrapText="1"/>
    </xf>
    <xf borderId="23" fillId="0" fontId="25" numFmtId="0" xfId="0" applyAlignment="1" applyBorder="1" applyFont="1">
      <alignment horizontal="left" readingOrder="0" shrinkToFit="0" vertical="top" wrapText="1"/>
    </xf>
    <xf borderId="17" fillId="0" fontId="1" numFmtId="0" xfId="0" applyAlignment="1" applyBorder="1" applyFont="1">
      <alignment horizontal="center" readingOrder="0"/>
    </xf>
    <xf borderId="24" fillId="0" fontId="1" numFmtId="0" xfId="0" applyBorder="1" applyFont="1"/>
    <xf borderId="25" fillId="0" fontId="25" numFmtId="0" xfId="0" applyAlignment="1" applyBorder="1" applyFont="1">
      <alignment horizontal="left" readingOrder="0" shrinkToFit="0" vertical="top" wrapText="1"/>
    </xf>
    <xf borderId="0" fillId="0" fontId="1" numFmtId="0" xfId="0" applyAlignment="1" applyFont="1">
      <alignment horizontal="center" readingOrder="0"/>
    </xf>
    <xf borderId="26" fillId="0" fontId="25" numFmtId="0" xfId="0" applyBorder="1" applyFont="1"/>
    <xf borderId="26" fillId="0" fontId="8" numFmtId="0" xfId="0" applyAlignment="1" applyBorder="1" applyFont="1">
      <alignment readingOrder="0"/>
    </xf>
    <xf borderId="26" fillId="0" fontId="1" numFmtId="0" xfId="0" applyBorder="1" applyFont="1"/>
    <xf borderId="27" fillId="0" fontId="25" numFmtId="0" xfId="0" applyAlignment="1" applyBorder="1" applyFont="1">
      <alignment horizontal="left" readingOrder="0" shrinkToFit="0" vertical="top" wrapText="1"/>
    </xf>
    <xf borderId="13" fillId="0" fontId="1" numFmtId="0" xfId="0" applyAlignment="1" applyBorder="1" applyFont="1">
      <alignment horizontal="center" readingOrder="0"/>
    </xf>
    <xf borderId="28" fillId="0" fontId="25" numFmtId="0" xfId="0" applyBorder="1" applyFont="1"/>
    <xf borderId="23" fillId="0" fontId="23" numFmtId="0" xfId="0" applyBorder="1" applyFont="1"/>
    <xf borderId="24" fillId="0" fontId="23" numFmtId="0" xfId="0" applyBorder="1" applyFont="1"/>
    <xf borderId="25" fillId="0" fontId="23" numFmtId="0" xfId="0" applyBorder="1" applyFont="1"/>
    <xf borderId="26" fillId="0" fontId="23" numFmtId="0" xfId="0" applyBorder="1" applyFont="1"/>
    <xf borderId="26" fillId="0" fontId="1" numFmtId="0" xfId="0" applyAlignment="1" applyBorder="1" applyFont="1">
      <alignment readingOrder="0"/>
    </xf>
    <xf borderId="0" fillId="0" fontId="6" numFmtId="0" xfId="0" applyAlignment="1" applyFont="1">
      <alignment horizontal="left" shrinkToFit="0" vertical="top" wrapText="1"/>
    </xf>
    <xf borderId="27" fillId="0" fontId="23" numFmtId="0" xfId="0" applyBorder="1" applyFont="1"/>
    <xf borderId="28" fillId="0" fontId="2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19.88"/>
    <col customWidth="1" min="3" max="3" width="39.75"/>
    <col customWidth="1" min="4" max="4" width="45.38"/>
  </cols>
  <sheetData>
    <row r="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2" t="s">
        <v>0</v>
      </c>
      <c r="C2" s="1"/>
      <c r="D2" s="1"/>
      <c r="E2" s="1"/>
      <c r="F2" s="1"/>
      <c r="G2" s="1"/>
      <c r="H2" s="1"/>
      <c r="I2" s="1"/>
      <c r="J2" s="1"/>
      <c r="K2" s="1"/>
      <c r="L2" s="1"/>
      <c r="M2" s="1"/>
      <c r="N2" s="1"/>
      <c r="O2" s="1"/>
      <c r="P2" s="1"/>
      <c r="Q2" s="1"/>
      <c r="R2" s="1"/>
      <c r="S2" s="1"/>
      <c r="T2" s="1"/>
      <c r="U2" s="1"/>
      <c r="V2" s="1"/>
      <c r="W2" s="1"/>
      <c r="X2" s="1"/>
      <c r="Y2" s="1"/>
      <c r="Z2" s="1"/>
    </row>
    <row r="3" ht="34.5" customHeight="1">
      <c r="A3" s="1"/>
      <c r="B3" s="3" t="s">
        <v>1</v>
      </c>
      <c r="C3" s="4"/>
      <c r="D3" s="1"/>
      <c r="E3" s="1"/>
      <c r="F3" s="1"/>
      <c r="G3" s="1"/>
      <c r="H3" s="1"/>
      <c r="I3" s="1"/>
      <c r="J3" s="1"/>
      <c r="K3" s="1"/>
      <c r="L3" s="1"/>
      <c r="M3" s="1"/>
      <c r="N3" s="1"/>
      <c r="O3" s="1"/>
      <c r="P3" s="1"/>
      <c r="Q3" s="1"/>
      <c r="R3" s="1"/>
      <c r="S3" s="1"/>
      <c r="T3" s="1"/>
      <c r="U3" s="1"/>
      <c r="V3" s="1"/>
      <c r="W3" s="1"/>
      <c r="X3" s="1"/>
      <c r="Y3" s="1"/>
      <c r="Z3" s="1"/>
    </row>
    <row r="4" ht="108.75" customHeight="1">
      <c r="A4" s="1"/>
      <c r="B4" s="5" t="s">
        <v>2</v>
      </c>
      <c r="D4" s="1"/>
      <c r="E4" s="1"/>
      <c r="F4" s="1"/>
      <c r="G4" s="6"/>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
    <mergeCell ref="B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4.25"/>
    <col customWidth="1" min="3" max="3" width="31.75"/>
  </cols>
  <sheetData>
    <row r="1">
      <c r="A1" s="7" t="s">
        <v>3</v>
      </c>
      <c r="B1" s="8"/>
      <c r="C1" s="8"/>
      <c r="D1" s="8"/>
    </row>
    <row r="2">
      <c r="A2" s="8"/>
      <c r="B2" s="8"/>
      <c r="C2" s="8"/>
      <c r="D2" s="8"/>
    </row>
    <row r="3">
      <c r="A3" s="8"/>
      <c r="B3" s="9" t="s">
        <v>4</v>
      </c>
      <c r="C3" s="8"/>
      <c r="D3" s="8"/>
    </row>
    <row r="4">
      <c r="A4" s="8"/>
      <c r="B4" s="8"/>
      <c r="C4" s="8"/>
      <c r="D4" s="8"/>
    </row>
    <row r="5">
      <c r="A5" s="8"/>
      <c r="B5" s="10" t="s">
        <v>5</v>
      </c>
      <c r="D5" s="8"/>
    </row>
    <row r="6">
      <c r="A6" s="8"/>
      <c r="B6" s="8"/>
      <c r="C6" s="8"/>
      <c r="D6" s="8"/>
    </row>
    <row r="7">
      <c r="A7" s="8"/>
      <c r="B7" s="11" t="s">
        <v>6</v>
      </c>
      <c r="C7" s="11" t="s">
        <v>7</v>
      </c>
      <c r="D7" s="8"/>
    </row>
    <row r="8">
      <c r="A8" s="8"/>
      <c r="B8" s="6" t="s">
        <v>8</v>
      </c>
      <c r="C8" s="6" t="s">
        <v>9</v>
      </c>
      <c r="D8" s="8"/>
    </row>
    <row r="9">
      <c r="A9" s="8"/>
      <c r="B9" s="6" t="s">
        <v>8</v>
      </c>
      <c r="C9" s="6" t="s">
        <v>10</v>
      </c>
      <c r="D9" s="8"/>
    </row>
    <row r="10">
      <c r="A10" s="8"/>
      <c r="B10" s="8"/>
      <c r="C10" s="8"/>
      <c r="D10" s="8"/>
    </row>
    <row r="11">
      <c r="A11" s="8"/>
      <c r="B11" s="8"/>
      <c r="C11" s="8"/>
      <c r="D11" s="8"/>
    </row>
    <row r="12">
      <c r="A12" s="8"/>
      <c r="B12" s="11" t="s">
        <v>11</v>
      </c>
      <c r="C12" s="12"/>
      <c r="D12" s="8"/>
    </row>
    <row r="13" ht="63.75" customHeight="1">
      <c r="A13" s="8"/>
      <c r="B13" s="5" t="s">
        <v>12</v>
      </c>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sheetData>
  <mergeCells count="2">
    <mergeCell ref="B5:C5"/>
    <mergeCell ref="B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282D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6.63"/>
    <col customWidth="1" min="10" max="10" width="20.38"/>
  </cols>
  <sheetData>
    <row r="1" ht="45.0" customHeight="1">
      <c r="A1" s="13" t="s">
        <v>13</v>
      </c>
      <c r="B1" s="13" t="s">
        <v>14</v>
      </c>
      <c r="C1" s="13" t="s">
        <v>15</v>
      </c>
      <c r="D1" s="13" t="s">
        <v>16</v>
      </c>
      <c r="E1" s="13" t="s">
        <v>17</v>
      </c>
      <c r="F1" s="13" t="s">
        <v>18</v>
      </c>
      <c r="G1" s="13" t="s">
        <v>19</v>
      </c>
      <c r="H1" s="13" t="s">
        <v>20</v>
      </c>
      <c r="I1" s="13" t="s">
        <v>21</v>
      </c>
      <c r="J1" s="13" t="s">
        <v>22</v>
      </c>
      <c r="K1" s="13" t="s">
        <v>23</v>
      </c>
      <c r="L1" s="13" t="s">
        <v>24</v>
      </c>
      <c r="M1" s="13" t="s">
        <v>25</v>
      </c>
      <c r="N1" s="13" t="s">
        <v>26</v>
      </c>
    </row>
    <row r="2" ht="25.5" customHeight="1">
      <c r="A2" s="14" t="s">
        <v>27</v>
      </c>
      <c r="B2" s="15" t="s">
        <v>28</v>
      </c>
      <c r="C2" s="15" t="s">
        <v>29</v>
      </c>
      <c r="D2" s="15" t="s">
        <v>30</v>
      </c>
      <c r="E2" s="15" t="s">
        <v>31</v>
      </c>
      <c r="F2" s="15" t="s">
        <v>31</v>
      </c>
      <c r="G2" s="15" t="s">
        <v>32</v>
      </c>
      <c r="H2" s="15" t="s">
        <v>33</v>
      </c>
      <c r="I2" s="15" t="s">
        <v>34</v>
      </c>
      <c r="J2" s="15" t="s">
        <v>35</v>
      </c>
      <c r="K2" s="15"/>
      <c r="L2" s="16"/>
      <c r="M2" s="15" t="s">
        <v>36</v>
      </c>
      <c r="N2" s="17"/>
    </row>
    <row r="3" ht="25.5" customHeight="1">
      <c r="A3" s="18" t="s">
        <v>27</v>
      </c>
      <c r="B3" s="19" t="s">
        <v>37</v>
      </c>
      <c r="C3" s="19" t="s">
        <v>29</v>
      </c>
      <c r="D3" s="19" t="s">
        <v>30</v>
      </c>
      <c r="E3" s="19" t="s">
        <v>31</v>
      </c>
      <c r="F3" s="19" t="s">
        <v>31</v>
      </c>
      <c r="G3" s="19" t="s">
        <v>32</v>
      </c>
      <c r="H3" s="19" t="s">
        <v>33</v>
      </c>
      <c r="I3" s="19" t="s">
        <v>34</v>
      </c>
      <c r="J3" s="19" t="s">
        <v>35</v>
      </c>
      <c r="K3" s="19"/>
      <c r="L3" s="20"/>
      <c r="M3" s="19" t="s">
        <v>36</v>
      </c>
      <c r="N3" s="21"/>
    </row>
    <row r="4" ht="25.5" customHeight="1">
      <c r="A4" s="14" t="s">
        <v>27</v>
      </c>
      <c r="B4" s="15" t="s">
        <v>38</v>
      </c>
      <c r="C4" s="15" t="s">
        <v>29</v>
      </c>
      <c r="D4" s="15" t="s">
        <v>30</v>
      </c>
      <c r="E4" s="15" t="s">
        <v>31</v>
      </c>
      <c r="F4" s="15" t="s">
        <v>31</v>
      </c>
      <c r="G4" s="15" t="s">
        <v>32</v>
      </c>
      <c r="H4" s="15" t="s">
        <v>33</v>
      </c>
      <c r="I4" s="15" t="s">
        <v>34</v>
      </c>
      <c r="J4" s="15" t="s">
        <v>35</v>
      </c>
      <c r="K4" s="15"/>
      <c r="L4" s="16"/>
      <c r="M4" s="15" t="s">
        <v>36</v>
      </c>
      <c r="N4" s="17"/>
    </row>
    <row r="5" ht="25.5" customHeight="1">
      <c r="A5" s="18" t="s">
        <v>27</v>
      </c>
      <c r="B5" s="19" t="s">
        <v>39</v>
      </c>
      <c r="C5" s="19" t="s">
        <v>29</v>
      </c>
      <c r="D5" s="19" t="s">
        <v>30</v>
      </c>
      <c r="E5" s="19" t="s">
        <v>31</v>
      </c>
      <c r="F5" s="19" t="s">
        <v>31</v>
      </c>
      <c r="G5" s="19" t="s">
        <v>32</v>
      </c>
      <c r="H5" s="19" t="s">
        <v>33</v>
      </c>
      <c r="I5" s="19" t="s">
        <v>34</v>
      </c>
      <c r="J5" s="19" t="s">
        <v>35</v>
      </c>
      <c r="K5" s="19"/>
      <c r="L5" s="20"/>
      <c r="M5" s="19" t="s">
        <v>36</v>
      </c>
      <c r="N5" s="21"/>
    </row>
    <row r="6" ht="25.5" customHeight="1">
      <c r="A6" s="14" t="s">
        <v>27</v>
      </c>
      <c r="B6" s="15" t="s">
        <v>40</v>
      </c>
      <c r="C6" s="15" t="s">
        <v>29</v>
      </c>
      <c r="D6" s="15" t="s">
        <v>30</v>
      </c>
      <c r="E6" s="15" t="s">
        <v>31</v>
      </c>
      <c r="F6" s="15" t="s">
        <v>31</v>
      </c>
      <c r="G6" s="15" t="s">
        <v>32</v>
      </c>
      <c r="H6" s="15" t="s">
        <v>33</v>
      </c>
      <c r="I6" s="15" t="s">
        <v>34</v>
      </c>
      <c r="J6" s="15" t="s">
        <v>35</v>
      </c>
      <c r="K6" s="15"/>
      <c r="L6" s="16"/>
      <c r="M6" s="15" t="s">
        <v>36</v>
      </c>
      <c r="N6" s="17"/>
    </row>
    <row r="7" ht="25.5" customHeight="1">
      <c r="A7" s="18" t="s">
        <v>27</v>
      </c>
      <c r="B7" s="19" t="s">
        <v>41</v>
      </c>
      <c r="C7" s="19" t="s">
        <v>29</v>
      </c>
      <c r="D7" s="19" t="s">
        <v>30</v>
      </c>
      <c r="E7" s="19" t="s">
        <v>31</v>
      </c>
      <c r="F7" s="19" t="s">
        <v>31</v>
      </c>
      <c r="G7" s="19" t="s">
        <v>32</v>
      </c>
      <c r="H7" s="19" t="s">
        <v>33</v>
      </c>
      <c r="I7" s="19" t="s">
        <v>34</v>
      </c>
      <c r="J7" s="19" t="s">
        <v>35</v>
      </c>
      <c r="K7" s="19"/>
      <c r="L7" s="20"/>
      <c r="M7" s="19" t="s">
        <v>36</v>
      </c>
      <c r="N7" s="21"/>
    </row>
    <row r="8" ht="25.5" customHeight="1">
      <c r="A8" s="14" t="s">
        <v>27</v>
      </c>
      <c r="B8" s="15" t="s">
        <v>42</v>
      </c>
      <c r="C8" s="15" t="s">
        <v>29</v>
      </c>
      <c r="D8" s="15" t="s">
        <v>30</v>
      </c>
      <c r="E8" s="15" t="s">
        <v>31</v>
      </c>
      <c r="F8" s="15" t="s">
        <v>31</v>
      </c>
      <c r="G8" s="15" t="s">
        <v>32</v>
      </c>
      <c r="H8" s="15" t="s">
        <v>33</v>
      </c>
      <c r="I8" s="15" t="s">
        <v>34</v>
      </c>
      <c r="J8" s="15" t="s">
        <v>35</v>
      </c>
      <c r="K8" s="15"/>
      <c r="L8" s="16"/>
      <c r="M8" s="15" t="s">
        <v>36</v>
      </c>
      <c r="N8" s="17"/>
    </row>
    <row r="9" ht="25.5" customHeight="1">
      <c r="A9" s="18" t="s">
        <v>27</v>
      </c>
      <c r="B9" s="19" t="s">
        <v>43</v>
      </c>
      <c r="C9" s="19" t="s">
        <v>29</v>
      </c>
      <c r="D9" s="19" t="s">
        <v>30</v>
      </c>
      <c r="E9" s="19" t="s">
        <v>31</v>
      </c>
      <c r="F9" s="19" t="s">
        <v>31</v>
      </c>
      <c r="G9" s="19" t="s">
        <v>32</v>
      </c>
      <c r="H9" s="19" t="s">
        <v>33</v>
      </c>
      <c r="I9" s="19" t="s">
        <v>34</v>
      </c>
      <c r="J9" s="19" t="s">
        <v>35</v>
      </c>
      <c r="K9" s="19"/>
      <c r="L9" s="20"/>
      <c r="M9" s="19" t="s">
        <v>36</v>
      </c>
      <c r="N9" s="21"/>
    </row>
    <row r="10" ht="25.5" customHeight="1">
      <c r="A10" s="14" t="s">
        <v>27</v>
      </c>
      <c r="B10" s="15" t="s">
        <v>38</v>
      </c>
      <c r="C10" s="15" t="s">
        <v>29</v>
      </c>
      <c r="D10" s="15" t="s">
        <v>30</v>
      </c>
      <c r="E10" s="15" t="s">
        <v>31</v>
      </c>
      <c r="F10" s="15" t="s">
        <v>31</v>
      </c>
      <c r="G10" s="15" t="s">
        <v>32</v>
      </c>
      <c r="H10" s="15" t="s">
        <v>33</v>
      </c>
      <c r="I10" s="15" t="s">
        <v>34</v>
      </c>
      <c r="J10" s="15" t="s">
        <v>35</v>
      </c>
      <c r="K10" s="15"/>
      <c r="L10" s="16"/>
      <c r="M10" s="15" t="s">
        <v>36</v>
      </c>
      <c r="N10" s="17"/>
    </row>
    <row r="11" ht="25.5" customHeight="1">
      <c r="A11" s="18" t="s">
        <v>27</v>
      </c>
      <c r="B11" s="19" t="s">
        <v>44</v>
      </c>
      <c r="C11" s="19" t="s">
        <v>29</v>
      </c>
      <c r="D11" s="19" t="s">
        <v>30</v>
      </c>
      <c r="E11" s="19" t="s">
        <v>31</v>
      </c>
      <c r="F11" s="19" t="s">
        <v>31</v>
      </c>
      <c r="G11" s="19" t="s">
        <v>32</v>
      </c>
      <c r="H11" s="19" t="s">
        <v>33</v>
      </c>
      <c r="I11" s="19" t="s">
        <v>34</v>
      </c>
      <c r="J11" s="19" t="s">
        <v>35</v>
      </c>
      <c r="K11" s="19"/>
      <c r="L11" s="20"/>
      <c r="M11" s="19" t="s">
        <v>36</v>
      </c>
      <c r="N11" s="21"/>
    </row>
    <row r="12" ht="25.5" customHeight="1">
      <c r="A12" s="14" t="s">
        <v>27</v>
      </c>
      <c r="B12" s="15" t="s">
        <v>44</v>
      </c>
      <c r="C12" s="15" t="s">
        <v>29</v>
      </c>
      <c r="D12" s="15" t="s">
        <v>45</v>
      </c>
      <c r="E12" s="15" t="s">
        <v>31</v>
      </c>
      <c r="F12" s="15" t="s">
        <v>31</v>
      </c>
      <c r="G12" s="15" t="s">
        <v>32</v>
      </c>
      <c r="H12" s="15" t="s">
        <v>33</v>
      </c>
      <c r="I12" s="15" t="s">
        <v>34</v>
      </c>
      <c r="J12" s="15" t="s">
        <v>46</v>
      </c>
      <c r="K12" s="15"/>
      <c r="L12" s="16"/>
      <c r="M12" s="15" t="s">
        <v>36</v>
      </c>
      <c r="N12" s="17"/>
    </row>
    <row r="13" ht="25.5" customHeight="1">
      <c r="A13" s="18" t="s">
        <v>27</v>
      </c>
      <c r="B13" s="19" t="s">
        <v>47</v>
      </c>
      <c r="C13" s="19" t="s">
        <v>29</v>
      </c>
      <c r="D13" s="19" t="s">
        <v>45</v>
      </c>
      <c r="E13" s="19" t="s">
        <v>31</v>
      </c>
      <c r="F13" s="19" t="s">
        <v>31</v>
      </c>
      <c r="G13" s="19" t="s">
        <v>32</v>
      </c>
      <c r="H13" s="19" t="s">
        <v>33</v>
      </c>
      <c r="I13" s="19" t="s">
        <v>34</v>
      </c>
      <c r="J13" s="19" t="s">
        <v>46</v>
      </c>
      <c r="K13" s="19"/>
      <c r="L13" s="20"/>
      <c r="M13" s="19" t="s">
        <v>36</v>
      </c>
      <c r="N13" s="21"/>
    </row>
    <row r="14" ht="25.5" customHeight="1">
      <c r="A14" s="14" t="s">
        <v>27</v>
      </c>
      <c r="B14" s="15" t="s">
        <v>48</v>
      </c>
      <c r="C14" s="15" t="s">
        <v>29</v>
      </c>
      <c r="D14" s="15" t="s">
        <v>45</v>
      </c>
      <c r="E14" s="15" t="s">
        <v>31</v>
      </c>
      <c r="F14" s="15" t="s">
        <v>31</v>
      </c>
      <c r="G14" s="15" t="s">
        <v>32</v>
      </c>
      <c r="H14" s="15" t="s">
        <v>33</v>
      </c>
      <c r="I14" s="15" t="s">
        <v>34</v>
      </c>
      <c r="J14" s="15" t="s">
        <v>46</v>
      </c>
      <c r="K14" s="15"/>
      <c r="L14" s="16"/>
      <c r="M14" s="15" t="s">
        <v>36</v>
      </c>
      <c r="N14" s="17"/>
    </row>
    <row r="15" ht="25.5" customHeight="1">
      <c r="A15" s="18" t="s">
        <v>27</v>
      </c>
      <c r="B15" s="19" t="s">
        <v>49</v>
      </c>
      <c r="C15" s="19" t="s">
        <v>29</v>
      </c>
      <c r="D15" s="19" t="s">
        <v>45</v>
      </c>
      <c r="E15" s="19" t="s">
        <v>31</v>
      </c>
      <c r="F15" s="19" t="s">
        <v>31</v>
      </c>
      <c r="G15" s="19" t="s">
        <v>32</v>
      </c>
      <c r="H15" s="19" t="s">
        <v>33</v>
      </c>
      <c r="I15" s="19" t="s">
        <v>34</v>
      </c>
      <c r="J15" s="19" t="s">
        <v>46</v>
      </c>
      <c r="K15" s="19"/>
      <c r="L15" s="20"/>
      <c r="M15" s="19" t="s">
        <v>36</v>
      </c>
      <c r="N15" s="21"/>
    </row>
    <row r="16" ht="25.5" customHeight="1">
      <c r="A16" s="14" t="s">
        <v>27</v>
      </c>
      <c r="B16" s="15" t="s">
        <v>50</v>
      </c>
      <c r="C16" s="15" t="s">
        <v>29</v>
      </c>
      <c r="D16" s="15" t="s">
        <v>45</v>
      </c>
      <c r="E16" s="15" t="s">
        <v>31</v>
      </c>
      <c r="F16" s="15" t="s">
        <v>31</v>
      </c>
      <c r="G16" s="15" t="s">
        <v>32</v>
      </c>
      <c r="H16" s="15" t="s">
        <v>33</v>
      </c>
      <c r="I16" s="15" t="s">
        <v>34</v>
      </c>
      <c r="J16" s="15" t="s">
        <v>46</v>
      </c>
      <c r="K16" s="15"/>
      <c r="L16" s="16"/>
      <c r="M16" s="15" t="s">
        <v>36</v>
      </c>
      <c r="N16" s="17"/>
    </row>
    <row r="17" ht="25.5" customHeight="1">
      <c r="A17" s="18" t="s">
        <v>27</v>
      </c>
      <c r="B17" s="19" t="s">
        <v>51</v>
      </c>
      <c r="C17" s="19" t="s">
        <v>29</v>
      </c>
      <c r="D17" s="19" t="s">
        <v>45</v>
      </c>
      <c r="E17" s="19" t="s">
        <v>31</v>
      </c>
      <c r="F17" s="19" t="s">
        <v>31</v>
      </c>
      <c r="G17" s="19" t="s">
        <v>32</v>
      </c>
      <c r="H17" s="19" t="s">
        <v>33</v>
      </c>
      <c r="I17" s="19" t="s">
        <v>34</v>
      </c>
      <c r="J17" s="19" t="s">
        <v>46</v>
      </c>
      <c r="K17" s="19"/>
      <c r="L17" s="20"/>
      <c r="M17" s="19" t="s">
        <v>36</v>
      </c>
      <c r="N17" s="21"/>
    </row>
    <row r="18" ht="25.5" customHeight="1">
      <c r="A18" s="14" t="s">
        <v>27</v>
      </c>
      <c r="B18" s="15" t="s">
        <v>52</v>
      </c>
      <c r="C18" s="15" t="s">
        <v>29</v>
      </c>
      <c r="D18" s="15" t="s">
        <v>45</v>
      </c>
      <c r="E18" s="15" t="s">
        <v>31</v>
      </c>
      <c r="F18" s="15" t="s">
        <v>31</v>
      </c>
      <c r="G18" s="15" t="s">
        <v>32</v>
      </c>
      <c r="H18" s="15" t="s">
        <v>33</v>
      </c>
      <c r="I18" s="15" t="s">
        <v>34</v>
      </c>
      <c r="J18" s="15" t="s">
        <v>46</v>
      </c>
      <c r="K18" s="15"/>
      <c r="L18" s="16"/>
      <c r="M18" s="15" t="s">
        <v>36</v>
      </c>
      <c r="N18" s="17"/>
    </row>
    <row r="19" ht="25.5" customHeight="1">
      <c r="A19" s="18" t="s">
        <v>53</v>
      </c>
      <c r="B19" s="19" t="s">
        <v>54</v>
      </c>
      <c r="C19" s="19" t="s">
        <v>29</v>
      </c>
      <c r="D19" s="19" t="s">
        <v>36</v>
      </c>
      <c r="E19" s="19" t="s">
        <v>32</v>
      </c>
      <c r="F19" s="19" t="s">
        <v>31</v>
      </c>
      <c r="G19" s="19" t="s">
        <v>32</v>
      </c>
      <c r="H19" s="19" t="s">
        <v>55</v>
      </c>
      <c r="I19" s="19" t="s">
        <v>34</v>
      </c>
      <c r="J19" s="19" t="s">
        <v>56</v>
      </c>
      <c r="K19" s="19"/>
      <c r="L19" s="20"/>
      <c r="M19" s="19" t="s">
        <v>36</v>
      </c>
      <c r="N19" s="22"/>
    </row>
    <row r="20" ht="25.5" customHeight="1">
      <c r="A20" s="14" t="s">
        <v>53</v>
      </c>
      <c r="B20" s="15" t="s">
        <v>57</v>
      </c>
      <c r="C20" s="15" t="s">
        <v>29</v>
      </c>
      <c r="D20" s="15" t="s">
        <v>36</v>
      </c>
      <c r="E20" s="15" t="s">
        <v>32</v>
      </c>
      <c r="F20" s="15" t="s">
        <v>31</v>
      </c>
      <c r="G20" s="15" t="s">
        <v>32</v>
      </c>
      <c r="H20" s="15" t="s">
        <v>55</v>
      </c>
      <c r="I20" s="15" t="s">
        <v>34</v>
      </c>
      <c r="J20" s="15" t="s">
        <v>56</v>
      </c>
      <c r="K20" s="15"/>
      <c r="L20" s="16"/>
      <c r="M20" s="15" t="s">
        <v>36</v>
      </c>
      <c r="N20" s="23"/>
    </row>
    <row r="21" ht="25.5" customHeight="1">
      <c r="A21" s="18" t="s">
        <v>53</v>
      </c>
      <c r="B21" s="19" t="s">
        <v>58</v>
      </c>
      <c r="C21" s="19" t="s">
        <v>29</v>
      </c>
      <c r="D21" s="19" t="s">
        <v>36</v>
      </c>
      <c r="E21" s="19" t="s">
        <v>32</v>
      </c>
      <c r="F21" s="19" t="s">
        <v>31</v>
      </c>
      <c r="G21" s="19" t="s">
        <v>32</v>
      </c>
      <c r="H21" s="19" t="s">
        <v>55</v>
      </c>
      <c r="I21" s="19" t="s">
        <v>34</v>
      </c>
      <c r="J21" s="19" t="s">
        <v>56</v>
      </c>
      <c r="K21" s="19"/>
      <c r="L21" s="20"/>
      <c r="M21" s="19" t="s">
        <v>36</v>
      </c>
      <c r="N21" s="22"/>
    </row>
    <row r="22" ht="25.5" customHeight="1">
      <c r="A22" s="14" t="s">
        <v>53</v>
      </c>
      <c r="B22" s="15" t="s">
        <v>59</v>
      </c>
      <c r="C22" s="15" t="s">
        <v>29</v>
      </c>
      <c r="D22" s="15" t="s">
        <v>36</v>
      </c>
      <c r="E22" s="15" t="s">
        <v>32</v>
      </c>
      <c r="F22" s="15" t="s">
        <v>31</v>
      </c>
      <c r="G22" s="15" t="s">
        <v>32</v>
      </c>
      <c r="H22" s="15" t="s">
        <v>55</v>
      </c>
      <c r="I22" s="15" t="s">
        <v>34</v>
      </c>
      <c r="J22" s="15" t="s">
        <v>56</v>
      </c>
      <c r="K22" s="15"/>
      <c r="L22" s="16"/>
      <c r="M22" s="15" t="s">
        <v>36</v>
      </c>
      <c r="N22" s="23"/>
    </row>
    <row r="23" ht="25.5" customHeight="1">
      <c r="A23" s="18" t="s">
        <v>53</v>
      </c>
      <c r="B23" s="19" t="s">
        <v>60</v>
      </c>
      <c r="C23" s="19" t="s">
        <v>29</v>
      </c>
      <c r="D23" s="19" t="s">
        <v>36</v>
      </c>
      <c r="E23" s="19" t="s">
        <v>32</v>
      </c>
      <c r="F23" s="19" t="s">
        <v>31</v>
      </c>
      <c r="G23" s="19" t="s">
        <v>32</v>
      </c>
      <c r="H23" s="19" t="s">
        <v>55</v>
      </c>
      <c r="I23" s="19" t="s">
        <v>34</v>
      </c>
      <c r="J23" s="19" t="s">
        <v>56</v>
      </c>
      <c r="K23" s="19"/>
      <c r="L23" s="20"/>
      <c r="M23" s="19" t="s">
        <v>36</v>
      </c>
      <c r="N23" s="22"/>
    </row>
    <row r="24" ht="25.5" customHeight="1">
      <c r="A24" s="14" t="s">
        <v>53</v>
      </c>
      <c r="B24" s="15" t="s">
        <v>61</v>
      </c>
      <c r="C24" s="15" t="s">
        <v>29</v>
      </c>
      <c r="D24" s="15" t="s">
        <v>36</v>
      </c>
      <c r="E24" s="15" t="s">
        <v>32</v>
      </c>
      <c r="F24" s="15" t="s">
        <v>31</v>
      </c>
      <c r="G24" s="15" t="s">
        <v>32</v>
      </c>
      <c r="H24" s="15" t="s">
        <v>55</v>
      </c>
      <c r="I24" s="15" t="s">
        <v>34</v>
      </c>
      <c r="J24" s="15" t="s">
        <v>56</v>
      </c>
      <c r="K24" s="15"/>
      <c r="L24" s="16"/>
      <c r="M24" s="15" t="s">
        <v>36</v>
      </c>
      <c r="N24" s="23"/>
    </row>
    <row r="25" ht="25.5" customHeight="1">
      <c r="A25" s="18" t="s">
        <v>53</v>
      </c>
      <c r="B25" s="19" t="s">
        <v>62</v>
      </c>
      <c r="C25" s="19" t="s">
        <v>29</v>
      </c>
      <c r="D25" s="19" t="s">
        <v>36</v>
      </c>
      <c r="E25" s="19" t="s">
        <v>32</v>
      </c>
      <c r="F25" s="19" t="s">
        <v>31</v>
      </c>
      <c r="G25" s="19" t="s">
        <v>32</v>
      </c>
      <c r="H25" s="19" t="s">
        <v>55</v>
      </c>
      <c r="I25" s="19" t="s">
        <v>34</v>
      </c>
      <c r="J25" s="19" t="s">
        <v>56</v>
      </c>
      <c r="K25" s="19"/>
      <c r="L25" s="20"/>
      <c r="M25" s="19" t="s">
        <v>36</v>
      </c>
      <c r="N25" s="22"/>
    </row>
    <row r="26" ht="25.5" customHeight="1">
      <c r="A26" s="14" t="s">
        <v>53</v>
      </c>
      <c r="B26" s="15" t="s">
        <v>63</v>
      </c>
      <c r="C26" s="15" t="s">
        <v>29</v>
      </c>
      <c r="D26" s="15" t="s">
        <v>36</v>
      </c>
      <c r="E26" s="15" t="s">
        <v>32</v>
      </c>
      <c r="F26" s="15" t="s">
        <v>31</v>
      </c>
      <c r="G26" s="15" t="s">
        <v>32</v>
      </c>
      <c r="H26" s="15" t="s">
        <v>55</v>
      </c>
      <c r="I26" s="15" t="s">
        <v>34</v>
      </c>
      <c r="J26" s="15" t="s">
        <v>56</v>
      </c>
      <c r="K26" s="15"/>
      <c r="L26" s="16"/>
      <c r="M26" s="15" t="s">
        <v>36</v>
      </c>
      <c r="N26" s="23"/>
    </row>
    <row r="27" ht="25.5" customHeight="1">
      <c r="A27" s="18" t="s">
        <v>53</v>
      </c>
      <c r="B27" s="19" t="s">
        <v>64</v>
      </c>
      <c r="C27" s="19" t="s">
        <v>29</v>
      </c>
      <c r="D27" s="19" t="s">
        <v>36</v>
      </c>
      <c r="E27" s="19" t="s">
        <v>32</v>
      </c>
      <c r="F27" s="19" t="s">
        <v>31</v>
      </c>
      <c r="G27" s="19" t="s">
        <v>32</v>
      </c>
      <c r="H27" s="19" t="s">
        <v>55</v>
      </c>
      <c r="I27" s="19" t="s">
        <v>34</v>
      </c>
      <c r="J27" s="19" t="s">
        <v>56</v>
      </c>
      <c r="K27" s="19"/>
      <c r="L27" s="20"/>
      <c r="M27" s="19" t="s">
        <v>36</v>
      </c>
      <c r="N27" s="22"/>
    </row>
    <row r="28" ht="25.5" customHeight="1">
      <c r="A28" s="14" t="s">
        <v>53</v>
      </c>
      <c r="B28" s="15" t="s">
        <v>65</v>
      </c>
      <c r="C28" s="15" t="s">
        <v>29</v>
      </c>
      <c r="D28" s="15" t="s">
        <v>36</v>
      </c>
      <c r="E28" s="15" t="s">
        <v>32</v>
      </c>
      <c r="F28" s="15" t="s">
        <v>31</v>
      </c>
      <c r="G28" s="15" t="s">
        <v>32</v>
      </c>
      <c r="H28" s="15" t="s">
        <v>55</v>
      </c>
      <c r="I28" s="15" t="s">
        <v>34</v>
      </c>
      <c r="J28" s="15" t="s">
        <v>56</v>
      </c>
      <c r="K28" s="15"/>
      <c r="L28" s="16"/>
      <c r="M28" s="15" t="s">
        <v>36</v>
      </c>
      <c r="N28" s="23"/>
    </row>
    <row r="29" ht="25.5" customHeight="1">
      <c r="A29" s="18" t="s">
        <v>53</v>
      </c>
      <c r="B29" s="19" t="s">
        <v>66</v>
      </c>
      <c r="C29" s="19" t="s">
        <v>29</v>
      </c>
      <c r="D29" s="19" t="s">
        <v>36</v>
      </c>
      <c r="E29" s="19" t="s">
        <v>32</v>
      </c>
      <c r="F29" s="19" t="s">
        <v>31</v>
      </c>
      <c r="G29" s="19" t="s">
        <v>32</v>
      </c>
      <c r="H29" s="19" t="s">
        <v>55</v>
      </c>
      <c r="I29" s="19" t="s">
        <v>34</v>
      </c>
      <c r="J29" s="19" t="s">
        <v>56</v>
      </c>
      <c r="K29" s="19"/>
      <c r="L29" s="20"/>
      <c r="M29" s="19" t="s">
        <v>36</v>
      </c>
      <c r="N29" s="22"/>
    </row>
    <row r="30" ht="25.5" customHeight="1">
      <c r="A30" s="14" t="s">
        <v>53</v>
      </c>
      <c r="B30" s="15" t="s">
        <v>67</v>
      </c>
      <c r="C30" s="15" t="s">
        <v>29</v>
      </c>
      <c r="D30" s="15" t="s">
        <v>36</v>
      </c>
      <c r="E30" s="15" t="s">
        <v>32</v>
      </c>
      <c r="F30" s="15" t="s">
        <v>31</v>
      </c>
      <c r="G30" s="15" t="s">
        <v>32</v>
      </c>
      <c r="H30" s="15" t="s">
        <v>55</v>
      </c>
      <c r="I30" s="15" t="s">
        <v>34</v>
      </c>
      <c r="J30" s="15" t="s">
        <v>56</v>
      </c>
      <c r="K30" s="15"/>
      <c r="L30" s="16"/>
      <c r="M30" s="15" t="s">
        <v>36</v>
      </c>
      <c r="N30" s="23"/>
    </row>
    <row r="31" ht="25.5" customHeight="1">
      <c r="A31" s="18" t="s">
        <v>53</v>
      </c>
      <c r="B31" s="19" t="s">
        <v>68</v>
      </c>
      <c r="C31" s="19" t="s">
        <v>69</v>
      </c>
      <c r="D31" s="19" t="s">
        <v>70</v>
      </c>
      <c r="E31" s="19" t="s">
        <v>32</v>
      </c>
      <c r="F31" s="19" t="s">
        <v>31</v>
      </c>
      <c r="G31" s="19" t="s">
        <v>32</v>
      </c>
      <c r="H31" s="19" t="s">
        <v>33</v>
      </c>
      <c r="I31" s="19" t="s">
        <v>34</v>
      </c>
      <c r="J31" s="19" t="s">
        <v>71</v>
      </c>
      <c r="K31" s="19"/>
      <c r="L31" s="20"/>
      <c r="M31" s="19" t="s">
        <v>72</v>
      </c>
      <c r="N31" s="22"/>
    </row>
    <row r="32" ht="25.5" customHeight="1">
      <c r="A32" s="14" t="s">
        <v>53</v>
      </c>
      <c r="B32" s="15" t="s">
        <v>73</v>
      </c>
      <c r="C32" s="15" t="s">
        <v>69</v>
      </c>
      <c r="D32" s="15" t="s">
        <v>34</v>
      </c>
      <c r="E32" s="15" t="s">
        <v>32</v>
      </c>
      <c r="F32" s="15" t="s">
        <v>31</v>
      </c>
      <c r="G32" s="15" t="s">
        <v>32</v>
      </c>
      <c r="H32" s="15" t="s">
        <v>33</v>
      </c>
      <c r="I32" s="15" t="s">
        <v>34</v>
      </c>
      <c r="J32" s="15" t="s">
        <v>71</v>
      </c>
      <c r="K32" s="15"/>
      <c r="L32" s="16"/>
      <c r="M32" s="15" t="s">
        <v>72</v>
      </c>
      <c r="N32" s="23"/>
    </row>
    <row r="33" ht="25.5" customHeight="1">
      <c r="A33" s="18" t="s">
        <v>53</v>
      </c>
      <c r="B33" s="19" t="s">
        <v>74</v>
      </c>
      <c r="C33" s="19" t="s">
        <v>69</v>
      </c>
      <c r="D33" s="19" t="s">
        <v>70</v>
      </c>
      <c r="E33" s="19" t="s">
        <v>32</v>
      </c>
      <c r="F33" s="19" t="s">
        <v>31</v>
      </c>
      <c r="G33" s="19" t="s">
        <v>32</v>
      </c>
      <c r="H33" s="19" t="s">
        <v>33</v>
      </c>
      <c r="I33" s="19" t="s">
        <v>34</v>
      </c>
      <c r="J33" s="19" t="s">
        <v>71</v>
      </c>
      <c r="K33" s="19"/>
      <c r="L33" s="20"/>
      <c r="M33" s="19" t="s">
        <v>72</v>
      </c>
      <c r="N33" s="22"/>
    </row>
    <row r="34" ht="25.5" customHeight="1">
      <c r="A34" s="14" t="s">
        <v>53</v>
      </c>
      <c r="B34" s="15" t="s">
        <v>75</v>
      </c>
      <c r="C34" s="15" t="s">
        <v>69</v>
      </c>
      <c r="D34" s="15" t="s">
        <v>70</v>
      </c>
      <c r="E34" s="15" t="s">
        <v>32</v>
      </c>
      <c r="F34" s="15" t="s">
        <v>31</v>
      </c>
      <c r="G34" s="15" t="s">
        <v>32</v>
      </c>
      <c r="H34" s="15" t="s">
        <v>33</v>
      </c>
      <c r="I34" s="15" t="s">
        <v>34</v>
      </c>
      <c r="J34" s="15" t="s">
        <v>71</v>
      </c>
      <c r="K34" s="15"/>
      <c r="L34" s="16"/>
      <c r="M34" s="15" t="s">
        <v>72</v>
      </c>
      <c r="N34" s="23"/>
    </row>
    <row r="35" ht="25.5" customHeight="1">
      <c r="A35" s="18" t="s">
        <v>53</v>
      </c>
      <c r="B35" s="19" t="s">
        <v>76</v>
      </c>
      <c r="C35" s="19" t="s">
        <v>69</v>
      </c>
      <c r="D35" s="19" t="s">
        <v>70</v>
      </c>
      <c r="E35" s="19" t="s">
        <v>32</v>
      </c>
      <c r="F35" s="19" t="s">
        <v>31</v>
      </c>
      <c r="G35" s="19" t="s">
        <v>32</v>
      </c>
      <c r="H35" s="19" t="s">
        <v>33</v>
      </c>
      <c r="I35" s="19" t="s">
        <v>34</v>
      </c>
      <c r="J35" s="19" t="s">
        <v>71</v>
      </c>
      <c r="K35" s="19"/>
      <c r="L35" s="20"/>
      <c r="M35" s="19" t="s">
        <v>72</v>
      </c>
      <c r="N35" s="22"/>
    </row>
    <row r="36" ht="25.5" customHeight="1">
      <c r="A36" s="14" t="s">
        <v>53</v>
      </c>
      <c r="B36" s="15" t="s">
        <v>77</v>
      </c>
      <c r="C36" s="15" t="s">
        <v>69</v>
      </c>
      <c r="D36" s="15" t="s">
        <v>70</v>
      </c>
      <c r="E36" s="15" t="s">
        <v>32</v>
      </c>
      <c r="F36" s="15" t="s">
        <v>31</v>
      </c>
      <c r="G36" s="15" t="s">
        <v>32</v>
      </c>
      <c r="H36" s="15" t="s">
        <v>33</v>
      </c>
      <c r="I36" s="15" t="s">
        <v>34</v>
      </c>
      <c r="J36" s="15" t="s">
        <v>71</v>
      </c>
      <c r="K36" s="15"/>
      <c r="L36" s="16"/>
      <c r="M36" s="15" t="s">
        <v>72</v>
      </c>
      <c r="N36" s="23"/>
    </row>
    <row r="37" ht="25.5" customHeight="1">
      <c r="A37" s="18" t="s">
        <v>53</v>
      </c>
      <c r="B37" s="19" t="s">
        <v>78</v>
      </c>
      <c r="C37" s="19" t="s">
        <v>69</v>
      </c>
      <c r="D37" s="19" t="s">
        <v>70</v>
      </c>
      <c r="E37" s="19" t="s">
        <v>32</v>
      </c>
      <c r="F37" s="19" t="s">
        <v>31</v>
      </c>
      <c r="G37" s="19" t="s">
        <v>32</v>
      </c>
      <c r="H37" s="19" t="s">
        <v>33</v>
      </c>
      <c r="I37" s="19" t="s">
        <v>34</v>
      </c>
      <c r="J37" s="19" t="s">
        <v>71</v>
      </c>
      <c r="K37" s="19"/>
      <c r="L37" s="20"/>
      <c r="M37" s="19" t="s">
        <v>72</v>
      </c>
      <c r="N37" s="22"/>
    </row>
    <row r="38" ht="25.5" customHeight="1">
      <c r="A38" s="14" t="s">
        <v>53</v>
      </c>
      <c r="B38" s="15" t="s">
        <v>79</v>
      </c>
      <c r="C38" s="15" t="s">
        <v>69</v>
      </c>
      <c r="D38" s="15" t="s">
        <v>70</v>
      </c>
      <c r="E38" s="15" t="s">
        <v>32</v>
      </c>
      <c r="F38" s="15" t="s">
        <v>31</v>
      </c>
      <c r="G38" s="15" t="s">
        <v>32</v>
      </c>
      <c r="H38" s="15" t="s">
        <v>33</v>
      </c>
      <c r="I38" s="15" t="s">
        <v>34</v>
      </c>
      <c r="J38" s="15" t="s">
        <v>71</v>
      </c>
      <c r="K38" s="15"/>
      <c r="L38" s="16"/>
      <c r="M38" s="15" t="s">
        <v>72</v>
      </c>
      <c r="N38" s="23"/>
    </row>
    <row r="39" ht="25.5" customHeight="1">
      <c r="A39" s="18" t="s">
        <v>53</v>
      </c>
      <c r="B39" s="19" t="s">
        <v>80</v>
      </c>
      <c r="C39" s="19" t="s">
        <v>69</v>
      </c>
      <c r="D39" s="19" t="s">
        <v>70</v>
      </c>
      <c r="E39" s="19" t="s">
        <v>32</v>
      </c>
      <c r="F39" s="19" t="s">
        <v>31</v>
      </c>
      <c r="G39" s="19" t="s">
        <v>32</v>
      </c>
      <c r="H39" s="19" t="s">
        <v>33</v>
      </c>
      <c r="I39" s="19" t="s">
        <v>34</v>
      </c>
      <c r="J39" s="19" t="s">
        <v>71</v>
      </c>
      <c r="K39" s="19"/>
      <c r="L39" s="20"/>
      <c r="M39" s="19" t="s">
        <v>72</v>
      </c>
      <c r="N39" s="22"/>
    </row>
    <row r="40" ht="25.5" customHeight="1">
      <c r="A40" s="14" t="s">
        <v>53</v>
      </c>
      <c r="B40" s="15" t="s">
        <v>81</v>
      </c>
      <c r="C40" s="15" t="s">
        <v>69</v>
      </c>
      <c r="D40" s="15" t="s">
        <v>70</v>
      </c>
      <c r="E40" s="15" t="s">
        <v>32</v>
      </c>
      <c r="F40" s="15" t="s">
        <v>31</v>
      </c>
      <c r="G40" s="15" t="s">
        <v>32</v>
      </c>
      <c r="H40" s="15" t="s">
        <v>33</v>
      </c>
      <c r="I40" s="15" t="s">
        <v>34</v>
      </c>
      <c r="J40" s="15" t="s">
        <v>71</v>
      </c>
      <c r="K40" s="15"/>
      <c r="L40" s="16"/>
      <c r="M40" s="15" t="s">
        <v>72</v>
      </c>
      <c r="N40" s="23"/>
    </row>
    <row r="41" ht="25.5" customHeight="1">
      <c r="A41" s="18" t="s">
        <v>53</v>
      </c>
      <c r="B41" s="19" t="s">
        <v>82</v>
      </c>
      <c r="C41" s="19" t="s">
        <v>69</v>
      </c>
      <c r="D41" s="19" t="s">
        <v>70</v>
      </c>
      <c r="E41" s="19" t="s">
        <v>32</v>
      </c>
      <c r="F41" s="19" t="s">
        <v>31</v>
      </c>
      <c r="G41" s="19" t="s">
        <v>32</v>
      </c>
      <c r="H41" s="19" t="s">
        <v>33</v>
      </c>
      <c r="I41" s="19" t="s">
        <v>34</v>
      </c>
      <c r="J41" s="19" t="s">
        <v>71</v>
      </c>
      <c r="K41" s="19"/>
      <c r="L41" s="20"/>
      <c r="M41" s="19" t="s">
        <v>72</v>
      </c>
      <c r="N41" s="22"/>
    </row>
    <row r="42" ht="25.5" customHeight="1">
      <c r="A42" s="14" t="s">
        <v>53</v>
      </c>
      <c r="B42" s="15" t="s">
        <v>83</v>
      </c>
      <c r="C42" s="15" t="s">
        <v>84</v>
      </c>
      <c r="D42" s="15" t="s">
        <v>85</v>
      </c>
      <c r="E42" s="15" t="s">
        <v>34</v>
      </c>
      <c r="F42" s="15" t="s">
        <v>31</v>
      </c>
      <c r="G42" s="15" t="s">
        <v>32</v>
      </c>
      <c r="H42" s="15" t="s">
        <v>33</v>
      </c>
      <c r="I42" s="15" t="s">
        <v>34</v>
      </c>
      <c r="J42" s="15" t="s">
        <v>86</v>
      </c>
      <c r="K42" s="15"/>
      <c r="L42" s="16"/>
      <c r="M42" s="15" t="s">
        <v>87</v>
      </c>
      <c r="N42" s="23"/>
    </row>
    <row r="43" ht="25.5" customHeight="1">
      <c r="A43" s="18" t="s">
        <v>53</v>
      </c>
      <c r="B43" s="19" t="s">
        <v>83</v>
      </c>
      <c r="C43" s="19" t="s">
        <v>84</v>
      </c>
      <c r="D43" s="19" t="s">
        <v>85</v>
      </c>
      <c r="E43" s="19" t="s">
        <v>34</v>
      </c>
      <c r="F43" s="19" t="s">
        <v>31</v>
      </c>
      <c r="G43" s="19" t="s">
        <v>32</v>
      </c>
      <c r="H43" s="19" t="s">
        <v>33</v>
      </c>
      <c r="I43" s="19" t="s">
        <v>34</v>
      </c>
      <c r="J43" s="19" t="s">
        <v>86</v>
      </c>
      <c r="K43" s="19"/>
      <c r="L43" s="20"/>
      <c r="M43" s="19" t="s">
        <v>87</v>
      </c>
      <c r="N43" s="22"/>
    </row>
    <row r="44" ht="25.5" customHeight="1">
      <c r="A44" s="14" t="s">
        <v>53</v>
      </c>
      <c r="B44" s="15" t="s">
        <v>83</v>
      </c>
      <c r="C44" s="15" t="s">
        <v>84</v>
      </c>
      <c r="D44" s="15" t="s">
        <v>85</v>
      </c>
      <c r="E44" s="15" t="s">
        <v>34</v>
      </c>
      <c r="F44" s="15" t="s">
        <v>31</v>
      </c>
      <c r="G44" s="15" t="s">
        <v>32</v>
      </c>
      <c r="H44" s="15" t="s">
        <v>33</v>
      </c>
      <c r="I44" s="15" t="s">
        <v>34</v>
      </c>
      <c r="J44" s="15" t="s">
        <v>86</v>
      </c>
      <c r="K44" s="15"/>
      <c r="L44" s="16"/>
      <c r="M44" s="15" t="s">
        <v>87</v>
      </c>
      <c r="N44" s="23"/>
    </row>
    <row r="45" ht="25.5" customHeight="1">
      <c r="A45" s="18" t="s">
        <v>53</v>
      </c>
      <c r="B45" s="19" t="s">
        <v>83</v>
      </c>
      <c r="C45" s="19" t="s">
        <v>84</v>
      </c>
      <c r="D45" s="19" t="s">
        <v>85</v>
      </c>
      <c r="E45" s="19" t="s">
        <v>34</v>
      </c>
      <c r="F45" s="19" t="s">
        <v>31</v>
      </c>
      <c r="G45" s="19" t="s">
        <v>32</v>
      </c>
      <c r="H45" s="19" t="s">
        <v>33</v>
      </c>
      <c r="I45" s="19" t="s">
        <v>34</v>
      </c>
      <c r="J45" s="19" t="s">
        <v>86</v>
      </c>
      <c r="K45" s="19"/>
      <c r="L45" s="20"/>
      <c r="M45" s="19" t="s">
        <v>87</v>
      </c>
      <c r="N45" s="22"/>
    </row>
    <row r="46" ht="25.5" customHeight="1">
      <c r="A46" s="14" t="s">
        <v>53</v>
      </c>
      <c r="B46" s="15" t="s">
        <v>83</v>
      </c>
      <c r="C46" s="15" t="s">
        <v>84</v>
      </c>
      <c r="D46" s="15" t="s">
        <v>85</v>
      </c>
      <c r="E46" s="15" t="s">
        <v>34</v>
      </c>
      <c r="F46" s="15" t="s">
        <v>31</v>
      </c>
      <c r="G46" s="15" t="s">
        <v>32</v>
      </c>
      <c r="H46" s="15" t="s">
        <v>33</v>
      </c>
      <c r="I46" s="15" t="s">
        <v>34</v>
      </c>
      <c r="J46" s="15" t="s">
        <v>86</v>
      </c>
      <c r="K46" s="15"/>
      <c r="L46" s="16"/>
      <c r="M46" s="15" t="s">
        <v>87</v>
      </c>
      <c r="N46" s="23"/>
    </row>
    <row r="47" ht="25.5" customHeight="1">
      <c r="A47" s="18" t="s">
        <v>53</v>
      </c>
      <c r="B47" s="19" t="s">
        <v>83</v>
      </c>
      <c r="C47" s="19" t="s">
        <v>84</v>
      </c>
      <c r="D47" s="19" t="s">
        <v>85</v>
      </c>
      <c r="E47" s="19" t="s">
        <v>34</v>
      </c>
      <c r="F47" s="19" t="s">
        <v>31</v>
      </c>
      <c r="G47" s="19" t="s">
        <v>32</v>
      </c>
      <c r="H47" s="19" t="s">
        <v>33</v>
      </c>
      <c r="I47" s="19" t="s">
        <v>34</v>
      </c>
      <c r="J47" s="19" t="s">
        <v>86</v>
      </c>
      <c r="K47" s="19"/>
      <c r="L47" s="20"/>
      <c r="M47" s="19" t="s">
        <v>87</v>
      </c>
      <c r="N47" s="22"/>
    </row>
    <row r="48" ht="25.5" customHeight="1">
      <c r="A48" s="14" t="s">
        <v>88</v>
      </c>
      <c r="B48" s="15" t="s">
        <v>89</v>
      </c>
      <c r="C48" s="15" t="s">
        <v>84</v>
      </c>
      <c r="D48" s="15" t="s">
        <v>36</v>
      </c>
      <c r="E48" s="15" t="s">
        <v>34</v>
      </c>
      <c r="F48" s="15" t="s">
        <v>34</v>
      </c>
      <c r="G48" s="15" t="s">
        <v>34</v>
      </c>
      <c r="H48" s="15" t="s">
        <v>34</v>
      </c>
      <c r="I48" s="15" t="s">
        <v>34</v>
      </c>
      <c r="J48" s="15" t="s">
        <v>90</v>
      </c>
      <c r="K48" s="15"/>
      <c r="L48" s="16"/>
      <c r="M48" s="15" t="s">
        <v>36</v>
      </c>
      <c r="N48" s="23"/>
    </row>
    <row r="49" ht="25.5" customHeight="1">
      <c r="A49" s="18" t="s">
        <v>88</v>
      </c>
      <c r="B49" s="19" t="s">
        <v>91</v>
      </c>
      <c r="C49" s="19" t="s">
        <v>92</v>
      </c>
      <c r="D49" s="19" t="s">
        <v>93</v>
      </c>
      <c r="E49" s="19" t="s">
        <v>34</v>
      </c>
      <c r="F49" s="19" t="s">
        <v>34</v>
      </c>
      <c r="G49" s="19" t="s">
        <v>34</v>
      </c>
      <c r="H49" s="19" t="s">
        <v>34</v>
      </c>
      <c r="I49" s="19" t="s">
        <v>34</v>
      </c>
      <c r="J49" s="19" t="s">
        <v>90</v>
      </c>
      <c r="K49" s="19"/>
      <c r="L49" s="20"/>
      <c r="M49" s="19" t="s">
        <v>94</v>
      </c>
      <c r="N49" s="22"/>
    </row>
    <row r="50" ht="25.5" customHeight="1">
      <c r="A50" s="14" t="s">
        <v>88</v>
      </c>
      <c r="B50" s="15" t="s">
        <v>95</v>
      </c>
      <c r="C50" s="15" t="s">
        <v>92</v>
      </c>
      <c r="D50" s="15" t="s">
        <v>96</v>
      </c>
      <c r="E50" s="15" t="s">
        <v>34</v>
      </c>
      <c r="F50" s="15" t="s">
        <v>34</v>
      </c>
      <c r="G50" s="15" t="s">
        <v>34</v>
      </c>
      <c r="H50" s="15" t="s">
        <v>34</v>
      </c>
      <c r="I50" s="15" t="s">
        <v>34</v>
      </c>
      <c r="J50" s="15" t="s">
        <v>90</v>
      </c>
      <c r="K50" s="15"/>
      <c r="L50" s="16"/>
      <c r="M50" s="15" t="s">
        <v>94</v>
      </c>
      <c r="N50" s="23"/>
    </row>
    <row r="51" ht="25.5" customHeight="1">
      <c r="A51" s="18" t="s">
        <v>88</v>
      </c>
      <c r="B51" s="19" t="s">
        <v>97</v>
      </c>
      <c r="C51" s="19" t="s">
        <v>92</v>
      </c>
      <c r="D51" s="19" t="s">
        <v>96</v>
      </c>
      <c r="E51" s="19" t="s">
        <v>34</v>
      </c>
      <c r="F51" s="19" t="s">
        <v>34</v>
      </c>
      <c r="G51" s="19" t="s">
        <v>34</v>
      </c>
      <c r="H51" s="19" t="s">
        <v>34</v>
      </c>
      <c r="I51" s="19" t="s">
        <v>34</v>
      </c>
      <c r="J51" s="19" t="s">
        <v>90</v>
      </c>
      <c r="K51" s="19"/>
      <c r="L51" s="20"/>
      <c r="M51" s="19" t="s">
        <v>94</v>
      </c>
      <c r="N51" s="22"/>
    </row>
    <row r="52" ht="25.5" customHeight="1">
      <c r="A52" s="14" t="s">
        <v>88</v>
      </c>
      <c r="B52" s="15" t="s">
        <v>98</v>
      </c>
      <c r="C52" s="15" t="s">
        <v>92</v>
      </c>
      <c r="D52" s="15" t="s">
        <v>99</v>
      </c>
      <c r="E52" s="15" t="s">
        <v>34</v>
      </c>
      <c r="F52" s="15" t="s">
        <v>34</v>
      </c>
      <c r="G52" s="15" t="s">
        <v>34</v>
      </c>
      <c r="H52" s="15" t="s">
        <v>34</v>
      </c>
      <c r="I52" s="15" t="s">
        <v>34</v>
      </c>
      <c r="J52" s="15" t="s">
        <v>90</v>
      </c>
      <c r="K52" s="15"/>
      <c r="L52" s="16"/>
      <c r="M52" s="15" t="s">
        <v>100</v>
      </c>
      <c r="N52" s="23"/>
    </row>
    <row r="53" ht="25.5" customHeight="1">
      <c r="A53" s="18" t="s">
        <v>88</v>
      </c>
      <c r="B53" s="19" t="s">
        <v>101</v>
      </c>
      <c r="C53" s="19" t="s">
        <v>92</v>
      </c>
      <c r="D53" s="19" t="s">
        <v>99</v>
      </c>
      <c r="E53" s="19" t="s">
        <v>34</v>
      </c>
      <c r="F53" s="19" t="s">
        <v>34</v>
      </c>
      <c r="G53" s="19" t="s">
        <v>34</v>
      </c>
      <c r="H53" s="19" t="s">
        <v>34</v>
      </c>
      <c r="I53" s="19" t="s">
        <v>34</v>
      </c>
      <c r="J53" s="19" t="s">
        <v>90</v>
      </c>
      <c r="K53" s="19"/>
      <c r="L53" s="20"/>
      <c r="M53" s="19" t="s">
        <v>100</v>
      </c>
      <c r="N53" s="22"/>
    </row>
    <row r="54" ht="25.5" customHeight="1">
      <c r="A54" s="14" t="s">
        <v>88</v>
      </c>
      <c r="B54" s="15" t="s">
        <v>102</v>
      </c>
      <c r="C54" s="15" t="s">
        <v>92</v>
      </c>
      <c r="D54" s="15" t="s">
        <v>103</v>
      </c>
      <c r="E54" s="15" t="s">
        <v>34</v>
      </c>
      <c r="F54" s="15" t="s">
        <v>34</v>
      </c>
      <c r="G54" s="15" t="s">
        <v>34</v>
      </c>
      <c r="H54" s="15" t="s">
        <v>34</v>
      </c>
      <c r="I54" s="15" t="s">
        <v>34</v>
      </c>
      <c r="J54" s="15" t="s">
        <v>90</v>
      </c>
      <c r="K54" s="15"/>
      <c r="L54" s="16"/>
      <c r="M54" s="15" t="s">
        <v>104</v>
      </c>
      <c r="N54" s="23"/>
    </row>
    <row r="55" ht="25.5" customHeight="1">
      <c r="A55" s="18" t="s">
        <v>88</v>
      </c>
      <c r="B55" s="19" t="s">
        <v>105</v>
      </c>
      <c r="C55" s="19" t="s">
        <v>92</v>
      </c>
      <c r="D55" s="19" t="s">
        <v>99</v>
      </c>
      <c r="E55" s="19" t="s">
        <v>34</v>
      </c>
      <c r="F55" s="19" t="s">
        <v>34</v>
      </c>
      <c r="G55" s="19" t="s">
        <v>34</v>
      </c>
      <c r="H55" s="19" t="s">
        <v>34</v>
      </c>
      <c r="I55" s="19" t="s">
        <v>34</v>
      </c>
      <c r="J55" s="19" t="s">
        <v>90</v>
      </c>
      <c r="K55" s="19"/>
      <c r="L55" s="20"/>
      <c r="M55" s="19" t="s">
        <v>94</v>
      </c>
      <c r="N55" s="22"/>
    </row>
    <row r="56" ht="25.5" customHeight="1">
      <c r="A56" s="14" t="s">
        <v>88</v>
      </c>
      <c r="B56" s="15" t="s">
        <v>106</v>
      </c>
      <c r="C56" s="15" t="s">
        <v>92</v>
      </c>
      <c r="D56" s="15" t="s">
        <v>99</v>
      </c>
      <c r="E56" s="15" t="s">
        <v>34</v>
      </c>
      <c r="F56" s="15" t="s">
        <v>34</v>
      </c>
      <c r="G56" s="15" t="s">
        <v>34</v>
      </c>
      <c r="H56" s="15" t="s">
        <v>34</v>
      </c>
      <c r="I56" s="15" t="s">
        <v>34</v>
      </c>
      <c r="J56" s="15" t="s">
        <v>90</v>
      </c>
      <c r="K56" s="15"/>
      <c r="L56" s="16"/>
      <c r="M56" s="15" t="s">
        <v>94</v>
      </c>
      <c r="N56" s="23"/>
    </row>
    <row r="57" ht="25.5" customHeight="1">
      <c r="A57" s="18" t="s">
        <v>88</v>
      </c>
      <c r="B57" s="19" t="s">
        <v>107</v>
      </c>
      <c r="C57" s="19" t="s">
        <v>84</v>
      </c>
      <c r="D57" s="19" t="s">
        <v>108</v>
      </c>
      <c r="E57" s="19" t="s">
        <v>34</v>
      </c>
      <c r="F57" s="19" t="s">
        <v>34</v>
      </c>
      <c r="G57" s="19" t="s">
        <v>34</v>
      </c>
      <c r="H57" s="19" t="s">
        <v>34</v>
      </c>
      <c r="I57" s="19" t="s">
        <v>34</v>
      </c>
      <c r="J57" s="19" t="s">
        <v>90</v>
      </c>
      <c r="K57" s="19"/>
      <c r="L57" s="20"/>
      <c r="M57" s="19" t="s">
        <v>109</v>
      </c>
      <c r="N57" s="22"/>
    </row>
    <row r="58" ht="25.5" customHeight="1">
      <c r="A58" s="14" t="s">
        <v>88</v>
      </c>
      <c r="B58" s="15" t="s">
        <v>110</v>
      </c>
      <c r="C58" s="15" t="s">
        <v>84</v>
      </c>
      <c r="D58" s="15" t="s">
        <v>111</v>
      </c>
      <c r="E58" s="15" t="s">
        <v>34</v>
      </c>
      <c r="F58" s="15" t="s">
        <v>34</v>
      </c>
      <c r="G58" s="15" t="s">
        <v>34</v>
      </c>
      <c r="H58" s="15" t="s">
        <v>34</v>
      </c>
      <c r="I58" s="15" t="s">
        <v>34</v>
      </c>
      <c r="J58" s="15" t="s">
        <v>90</v>
      </c>
      <c r="K58" s="15"/>
      <c r="L58" s="16"/>
      <c r="M58" s="15" t="s">
        <v>112</v>
      </c>
      <c r="N58" s="23"/>
    </row>
    <row r="59" ht="25.5" customHeight="1">
      <c r="A59" s="18" t="s">
        <v>88</v>
      </c>
      <c r="B59" s="19" t="s">
        <v>113</v>
      </c>
      <c r="C59" s="19" t="s">
        <v>84</v>
      </c>
      <c r="D59" s="19" t="s">
        <v>108</v>
      </c>
      <c r="E59" s="19" t="s">
        <v>34</v>
      </c>
      <c r="F59" s="19" t="s">
        <v>34</v>
      </c>
      <c r="G59" s="19" t="s">
        <v>34</v>
      </c>
      <c r="H59" s="19" t="s">
        <v>34</v>
      </c>
      <c r="I59" s="19" t="s">
        <v>34</v>
      </c>
      <c r="J59" s="19" t="s">
        <v>90</v>
      </c>
      <c r="K59" s="19"/>
      <c r="L59" s="20"/>
      <c r="M59" s="19" t="s">
        <v>109</v>
      </c>
      <c r="N59" s="22"/>
    </row>
    <row r="60" ht="25.5" customHeight="1">
      <c r="A60" s="14" t="s">
        <v>88</v>
      </c>
      <c r="B60" s="15" t="s">
        <v>114</v>
      </c>
      <c r="C60" s="15" t="s">
        <v>84</v>
      </c>
      <c r="D60" s="15" t="s">
        <v>115</v>
      </c>
      <c r="E60" s="15"/>
      <c r="F60" s="15" t="s">
        <v>34</v>
      </c>
      <c r="G60" s="15" t="s">
        <v>34</v>
      </c>
      <c r="H60" s="15" t="s">
        <v>34</v>
      </c>
      <c r="I60" s="15" t="s">
        <v>34</v>
      </c>
      <c r="J60" s="15" t="s">
        <v>90</v>
      </c>
      <c r="K60" s="15"/>
      <c r="L60" s="16"/>
      <c r="M60" s="15" t="s">
        <v>87</v>
      </c>
      <c r="N60" s="23"/>
    </row>
    <row r="61" ht="25.5" customHeight="1">
      <c r="A61" s="18" t="s">
        <v>47</v>
      </c>
      <c r="B61" s="19" t="s">
        <v>116</v>
      </c>
      <c r="C61" s="19" t="s">
        <v>117</v>
      </c>
      <c r="D61" s="19" t="s">
        <v>117</v>
      </c>
      <c r="E61" s="19" t="s">
        <v>117</v>
      </c>
      <c r="F61" s="19" t="s">
        <v>117</v>
      </c>
      <c r="G61" s="19" t="s">
        <v>117</v>
      </c>
      <c r="H61" s="19" t="s">
        <v>117</v>
      </c>
      <c r="I61" s="19" t="s">
        <v>117</v>
      </c>
      <c r="J61" s="20"/>
      <c r="K61" s="20"/>
      <c r="L61" s="20"/>
      <c r="M61" s="20"/>
      <c r="N61" s="22"/>
    </row>
    <row r="62" ht="25.5" customHeight="1">
      <c r="A62" s="14" t="s">
        <v>118</v>
      </c>
      <c r="B62" s="15" t="s">
        <v>119</v>
      </c>
      <c r="C62" s="15" t="s">
        <v>69</v>
      </c>
      <c r="D62" s="15" t="s">
        <v>120</v>
      </c>
      <c r="E62" s="15" t="s">
        <v>31</v>
      </c>
      <c r="F62" s="15" t="s">
        <v>31</v>
      </c>
      <c r="G62" s="15" t="s">
        <v>32</v>
      </c>
      <c r="H62" s="15" t="s">
        <v>33</v>
      </c>
      <c r="I62" s="15" t="s">
        <v>34</v>
      </c>
      <c r="J62" s="15" t="s">
        <v>121</v>
      </c>
      <c r="K62" s="15"/>
      <c r="L62" s="16"/>
      <c r="M62" s="15" t="s">
        <v>87</v>
      </c>
      <c r="N62" s="17"/>
    </row>
    <row r="63" ht="25.5" customHeight="1">
      <c r="A63" s="18" t="s">
        <v>118</v>
      </c>
      <c r="B63" s="19" t="s">
        <v>122</v>
      </c>
      <c r="C63" s="19" t="s">
        <v>69</v>
      </c>
      <c r="D63" s="19" t="s">
        <v>120</v>
      </c>
      <c r="E63" s="19" t="s">
        <v>31</v>
      </c>
      <c r="F63" s="19" t="s">
        <v>31</v>
      </c>
      <c r="G63" s="19" t="s">
        <v>32</v>
      </c>
      <c r="H63" s="19" t="s">
        <v>33</v>
      </c>
      <c r="I63" s="19" t="s">
        <v>34</v>
      </c>
      <c r="J63" s="19" t="s">
        <v>121</v>
      </c>
      <c r="K63" s="19"/>
      <c r="L63" s="20"/>
      <c r="M63" s="19" t="s">
        <v>87</v>
      </c>
      <c r="N63" s="21"/>
    </row>
    <row r="64" ht="25.5" customHeight="1">
      <c r="A64" s="14" t="s">
        <v>118</v>
      </c>
      <c r="B64" s="15" t="s">
        <v>123</v>
      </c>
      <c r="C64" s="15" t="s">
        <v>69</v>
      </c>
      <c r="D64" s="15" t="s">
        <v>120</v>
      </c>
      <c r="E64" s="15" t="s">
        <v>31</v>
      </c>
      <c r="F64" s="15" t="s">
        <v>31</v>
      </c>
      <c r="G64" s="15" t="s">
        <v>32</v>
      </c>
      <c r="H64" s="15" t="s">
        <v>33</v>
      </c>
      <c r="I64" s="15" t="s">
        <v>34</v>
      </c>
      <c r="J64" s="15" t="s">
        <v>121</v>
      </c>
      <c r="K64" s="15"/>
      <c r="L64" s="16"/>
      <c r="M64" s="15" t="s">
        <v>87</v>
      </c>
      <c r="N64" s="17"/>
    </row>
    <row r="65" ht="25.5" customHeight="1">
      <c r="A65" s="18" t="s">
        <v>118</v>
      </c>
      <c r="B65" s="19" t="s">
        <v>124</v>
      </c>
      <c r="C65" s="19" t="s">
        <v>69</v>
      </c>
      <c r="D65" s="19" t="s">
        <v>120</v>
      </c>
      <c r="E65" s="19" t="s">
        <v>31</v>
      </c>
      <c r="F65" s="19" t="s">
        <v>31</v>
      </c>
      <c r="G65" s="19" t="s">
        <v>32</v>
      </c>
      <c r="H65" s="19" t="s">
        <v>33</v>
      </c>
      <c r="I65" s="19" t="s">
        <v>34</v>
      </c>
      <c r="J65" s="19" t="s">
        <v>121</v>
      </c>
      <c r="K65" s="19"/>
      <c r="L65" s="20"/>
      <c r="M65" s="19" t="s">
        <v>87</v>
      </c>
      <c r="N65" s="21"/>
    </row>
    <row r="66" ht="25.5" customHeight="1">
      <c r="A66" s="14" t="s">
        <v>118</v>
      </c>
      <c r="B66" s="15" t="s">
        <v>125</v>
      </c>
      <c r="C66" s="15" t="s">
        <v>69</v>
      </c>
      <c r="D66" s="15" t="s">
        <v>120</v>
      </c>
      <c r="E66" s="15" t="s">
        <v>31</v>
      </c>
      <c r="F66" s="15" t="s">
        <v>31</v>
      </c>
      <c r="G66" s="15" t="s">
        <v>32</v>
      </c>
      <c r="H66" s="15" t="s">
        <v>33</v>
      </c>
      <c r="I66" s="15" t="s">
        <v>34</v>
      </c>
      <c r="J66" s="15" t="s">
        <v>121</v>
      </c>
      <c r="K66" s="15"/>
      <c r="L66" s="16"/>
      <c r="M66" s="15" t="s">
        <v>87</v>
      </c>
      <c r="N66" s="17"/>
    </row>
    <row r="67" ht="25.5" customHeight="1">
      <c r="A67" s="18" t="s">
        <v>118</v>
      </c>
      <c r="B67" s="19" t="s">
        <v>126</v>
      </c>
      <c r="C67" s="19" t="s">
        <v>69</v>
      </c>
      <c r="D67" s="19" t="s">
        <v>120</v>
      </c>
      <c r="E67" s="19" t="s">
        <v>31</v>
      </c>
      <c r="F67" s="19" t="s">
        <v>31</v>
      </c>
      <c r="G67" s="19" t="s">
        <v>32</v>
      </c>
      <c r="H67" s="19" t="s">
        <v>33</v>
      </c>
      <c r="I67" s="19" t="s">
        <v>34</v>
      </c>
      <c r="J67" s="19" t="s">
        <v>121</v>
      </c>
      <c r="K67" s="19"/>
      <c r="L67" s="20"/>
      <c r="M67" s="19" t="s">
        <v>87</v>
      </c>
      <c r="N67" s="21"/>
    </row>
    <row r="68" ht="25.5" customHeight="1">
      <c r="A68" s="14" t="s">
        <v>118</v>
      </c>
      <c r="B68" s="15" t="s">
        <v>127</v>
      </c>
      <c r="C68" s="15" t="s">
        <v>69</v>
      </c>
      <c r="D68" s="15" t="s">
        <v>120</v>
      </c>
      <c r="E68" s="15" t="s">
        <v>31</v>
      </c>
      <c r="F68" s="15" t="s">
        <v>31</v>
      </c>
      <c r="G68" s="15" t="s">
        <v>32</v>
      </c>
      <c r="H68" s="15" t="s">
        <v>33</v>
      </c>
      <c r="I68" s="15" t="s">
        <v>34</v>
      </c>
      <c r="J68" s="15" t="s">
        <v>121</v>
      </c>
      <c r="K68" s="15"/>
      <c r="L68" s="16"/>
      <c r="M68" s="15" t="s">
        <v>87</v>
      </c>
      <c r="N68" s="17"/>
    </row>
    <row r="69" ht="25.5" customHeight="1">
      <c r="A69" s="18" t="s">
        <v>118</v>
      </c>
      <c r="B69" s="19" t="s">
        <v>128</v>
      </c>
      <c r="C69" s="19" t="s">
        <v>69</v>
      </c>
      <c r="D69" s="19" t="s">
        <v>120</v>
      </c>
      <c r="E69" s="19" t="s">
        <v>31</v>
      </c>
      <c r="F69" s="19" t="s">
        <v>31</v>
      </c>
      <c r="G69" s="19" t="s">
        <v>32</v>
      </c>
      <c r="H69" s="19" t="s">
        <v>33</v>
      </c>
      <c r="I69" s="19" t="s">
        <v>34</v>
      </c>
      <c r="J69" s="19" t="s">
        <v>121</v>
      </c>
      <c r="K69" s="19"/>
      <c r="L69" s="20"/>
      <c r="M69" s="19" t="s">
        <v>87</v>
      </c>
      <c r="N69" s="21"/>
    </row>
    <row r="70" ht="25.5" customHeight="1">
      <c r="A70" s="14" t="s">
        <v>118</v>
      </c>
      <c r="B70" s="15" t="s">
        <v>83</v>
      </c>
      <c r="C70" s="15" t="s">
        <v>29</v>
      </c>
      <c r="D70" s="15" t="s">
        <v>120</v>
      </c>
      <c r="E70" s="15" t="s">
        <v>31</v>
      </c>
      <c r="F70" s="15" t="s">
        <v>31</v>
      </c>
      <c r="G70" s="15" t="s">
        <v>32</v>
      </c>
      <c r="H70" s="15" t="s">
        <v>33</v>
      </c>
      <c r="I70" s="15" t="s">
        <v>34</v>
      </c>
      <c r="J70" s="15" t="s">
        <v>121</v>
      </c>
      <c r="K70" s="15"/>
      <c r="L70" s="16"/>
      <c r="M70" s="15" t="s">
        <v>87</v>
      </c>
      <c r="N70" s="17"/>
    </row>
    <row r="71" ht="25.5" customHeight="1">
      <c r="A71" s="18" t="s">
        <v>118</v>
      </c>
      <c r="B71" s="19" t="s">
        <v>83</v>
      </c>
      <c r="C71" s="19" t="s">
        <v>29</v>
      </c>
      <c r="D71" s="19" t="s">
        <v>120</v>
      </c>
      <c r="E71" s="19" t="s">
        <v>31</v>
      </c>
      <c r="F71" s="19" t="s">
        <v>31</v>
      </c>
      <c r="G71" s="19" t="s">
        <v>32</v>
      </c>
      <c r="H71" s="19" t="s">
        <v>33</v>
      </c>
      <c r="I71" s="19" t="s">
        <v>34</v>
      </c>
      <c r="J71" s="19" t="s">
        <v>121</v>
      </c>
      <c r="K71" s="19"/>
      <c r="L71" s="20"/>
      <c r="M71" s="19" t="s">
        <v>87</v>
      </c>
      <c r="N71" s="21"/>
    </row>
    <row r="72" ht="25.5" customHeight="1">
      <c r="A72" s="14" t="s">
        <v>118</v>
      </c>
      <c r="B72" s="15" t="s">
        <v>83</v>
      </c>
      <c r="C72" s="15" t="s">
        <v>29</v>
      </c>
      <c r="D72" s="15" t="s">
        <v>120</v>
      </c>
      <c r="E72" s="15" t="s">
        <v>31</v>
      </c>
      <c r="F72" s="15" t="s">
        <v>31</v>
      </c>
      <c r="G72" s="15" t="s">
        <v>32</v>
      </c>
      <c r="H72" s="15" t="s">
        <v>33</v>
      </c>
      <c r="I72" s="15" t="s">
        <v>34</v>
      </c>
      <c r="J72" s="15" t="s">
        <v>121</v>
      </c>
      <c r="K72" s="15"/>
      <c r="L72" s="16"/>
      <c r="M72" s="15" t="s">
        <v>87</v>
      </c>
      <c r="N72" s="17"/>
    </row>
    <row r="73" ht="25.5" customHeight="1">
      <c r="A73" s="18" t="s">
        <v>118</v>
      </c>
      <c r="B73" s="19" t="s">
        <v>83</v>
      </c>
      <c r="C73" s="19" t="s">
        <v>29</v>
      </c>
      <c r="D73" s="19" t="s">
        <v>120</v>
      </c>
      <c r="E73" s="19" t="s">
        <v>31</v>
      </c>
      <c r="F73" s="19" t="s">
        <v>31</v>
      </c>
      <c r="G73" s="19" t="s">
        <v>32</v>
      </c>
      <c r="H73" s="19" t="s">
        <v>33</v>
      </c>
      <c r="I73" s="19" t="s">
        <v>34</v>
      </c>
      <c r="J73" s="19" t="s">
        <v>121</v>
      </c>
      <c r="K73" s="19"/>
      <c r="L73" s="20"/>
      <c r="M73" s="19" t="s">
        <v>87</v>
      </c>
      <c r="N73" s="21"/>
    </row>
    <row r="74" ht="25.5" customHeight="1">
      <c r="A74" s="14" t="s">
        <v>118</v>
      </c>
      <c r="B74" s="15" t="s">
        <v>83</v>
      </c>
      <c r="C74" s="15" t="s">
        <v>29</v>
      </c>
      <c r="D74" s="15" t="s">
        <v>120</v>
      </c>
      <c r="E74" s="15" t="s">
        <v>31</v>
      </c>
      <c r="F74" s="15" t="s">
        <v>31</v>
      </c>
      <c r="G74" s="15" t="s">
        <v>32</v>
      </c>
      <c r="H74" s="15" t="s">
        <v>33</v>
      </c>
      <c r="I74" s="15" t="s">
        <v>34</v>
      </c>
      <c r="J74" s="15" t="s">
        <v>121</v>
      </c>
      <c r="K74" s="15"/>
      <c r="L74" s="16"/>
      <c r="M74" s="15" t="s">
        <v>87</v>
      </c>
      <c r="N74" s="17"/>
    </row>
    <row r="75" ht="25.5" customHeight="1">
      <c r="A75" s="18" t="s">
        <v>118</v>
      </c>
      <c r="B75" s="19" t="s">
        <v>83</v>
      </c>
      <c r="C75" s="19" t="s">
        <v>29</v>
      </c>
      <c r="D75" s="19" t="s">
        <v>120</v>
      </c>
      <c r="E75" s="19" t="s">
        <v>31</v>
      </c>
      <c r="F75" s="19" t="s">
        <v>31</v>
      </c>
      <c r="G75" s="19" t="s">
        <v>32</v>
      </c>
      <c r="H75" s="19" t="s">
        <v>33</v>
      </c>
      <c r="I75" s="19" t="s">
        <v>34</v>
      </c>
      <c r="J75" s="19" t="s">
        <v>121</v>
      </c>
      <c r="K75" s="19"/>
      <c r="L75" s="20"/>
      <c r="M75" s="19" t="s">
        <v>87</v>
      </c>
      <c r="N75" s="21"/>
    </row>
    <row r="76" ht="25.5" customHeight="1">
      <c r="A76" s="14" t="s">
        <v>118</v>
      </c>
      <c r="B76" s="15" t="s">
        <v>83</v>
      </c>
      <c r="C76" s="15" t="s">
        <v>29</v>
      </c>
      <c r="D76" s="15" t="s">
        <v>120</v>
      </c>
      <c r="E76" s="15" t="s">
        <v>31</v>
      </c>
      <c r="F76" s="15" t="s">
        <v>31</v>
      </c>
      <c r="G76" s="15" t="s">
        <v>32</v>
      </c>
      <c r="H76" s="15" t="s">
        <v>33</v>
      </c>
      <c r="I76" s="15" t="s">
        <v>34</v>
      </c>
      <c r="J76" s="15" t="s">
        <v>121</v>
      </c>
      <c r="K76" s="15"/>
      <c r="L76" s="16"/>
      <c r="M76" s="15" t="s">
        <v>87</v>
      </c>
      <c r="N76" s="17"/>
    </row>
    <row r="77" ht="25.5" customHeight="1">
      <c r="A77" s="18" t="s">
        <v>118</v>
      </c>
      <c r="B77" s="19" t="s">
        <v>83</v>
      </c>
      <c r="C77" s="19" t="s">
        <v>29</v>
      </c>
      <c r="D77" s="19" t="s">
        <v>120</v>
      </c>
      <c r="E77" s="19" t="s">
        <v>31</v>
      </c>
      <c r="F77" s="19" t="s">
        <v>31</v>
      </c>
      <c r="G77" s="19" t="s">
        <v>32</v>
      </c>
      <c r="H77" s="19" t="s">
        <v>33</v>
      </c>
      <c r="I77" s="19" t="s">
        <v>34</v>
      </c>
      <c r="J77" s="19" t="s">
        <v>121</v>
      </c>
      <c r="K77" s="19"/>
      <c r="L77" s="20"/>
      <c r="M77" s="19" t="s">
        <v>87</v>
      </c>
      <c r="N77" s="21"/>
    </row>
    <row r="78" ht="25.5" customHeight="1">
      <c r="A78" s="14" t="s">
        <v>118</v>
      </c>
      <c r="B78" s="15" t="s">
        <v>83</v>
      </c>
      <c r="C78" s="15" t="s">
        <v>29</v>
      </c>
      <c r="D78" s="15" t="s">
        <v>120</v>
      </c>
      <c r="E78" s="15" t="s">
        <v>31</v>
      </c>
      <c r="F78" s="15" t="s">
        <v>31</v>
      </c>
      <c r="G78" s="15" t="s">
        <v>32</v>
      </c>
      <c r="H78" s="15" t="s">
        <v>33</v>
      </c>
      <c r="I78" s="15" t="s">
        <v>34</v>
      </c>
      <c r="J78" s="15" t="s">
        <v>121</v>
      </c>
      <c r="K78" s="15"/>
      <c r="L78" s="16"/>
      <c r="M78" s="15" t="s">
        <v>87</v>
      </c>
      <c r="N78" s="17"/>
    </row>
    <row r="79" ht="25.5" customHeight="1">
      <c r="A79" s="18" t="s">
        <v>118</v>
      </c>
      <c r="B79" s="19" t="s">
        <v>83</v>
      </c>
      <c r="C79" s="19" t="s">
        <v>29</v>
      </c>
      <c r="D79" s="19" t="s">
        <v>120</v>
      </c>
      <c r="E79" s="19" t="s">
        <v>31</v>
      </c>
      <c r="F79" s="19" t="s">
        <v>31</v>
      </c>
      <c r="G79" s="19" t="s">
        <v>32</v>
      </c>
      <c r="H79" s="19" t="s">
        <v>33</v>
      </c>
      <c r="I79" s="19" t="s">
        <v>34</v>
      </c>
      <c r="J79" s="19" t="s">
        <v>121</v>
      </c>
      <c r="K79" s="19"/>
      <c r="L79" s="20"/>
      <c r="M79" s="19" t="s">
        <v>87</v>
      </c>
      <c r="N79" s="21"/>
    </row>
    <row r="80" ht="25.5" customHeight="1">
      <c r="A80" s="14" t="s">
        <v>118</v>
      </c>
      <c r="B80" s="15" t="s">
        <v>83</v>
      </c>
      <c r="C80" s="15" t="s">
        <v>29</v>
      </c>
      <c r="D80" s="15" t="s">
        <v>120</v>
      </c>
      <c r="E80" s="15" t="s">
        <v>31</v>
      </c>
      <c r="F80" s="15" t="s">
        <v>31</v>
      </c>
      <c r="G80" s="15" t="s">
        <v>32</v>
      </c>
      <c r="H80" s="15" t="s">
        <v>33</v>
      </c>
      <c r="I80" s="15" t="s">
        <v>34</v>
      </c>
      <c r="J80" s="15" t="s">
        <v>121</v>
      </c>
      <c r="K80" s="15"/>
      <c r="L80" s="16"/>
      <c r="M80" s="15" t="s">
        <v>87</v>
      </c>
      <c r="N80" s="17"/>
    </row>
    <row r="81" ht="25.5" customHeight="1">
      <c r="A81" s="18" t="s">
        <v>118</v>
      </c>
      <c r="B81" s="19" t="s">
        <v>83</v>
      </c>
      <c r="C81" s="19" t="s">
        <v>29</v>
      </c>
      <c r="D81" s="19" t="s">
        <v>120</v>
      </c>
      <c r="E81" s="19" t="s">
        <v>31</v>
      </c>
      <c r="F81" s="19" t="s">
        <v>31</v>
      </c>
      <c r="G81" s="19" t="s">
        <v>32</v>
      </c>
      <c r="H81" s="19" t="s">
        <v>33</v>
      </c>
      <c r="I81" s="19" t="s">
        <v>34</v>
      </c>
      <c r="J81" s="19" t="s">
        <v>121</v>
      </c>
      <c r="K81" s="19"/>
      <c r="L81" s="20"/>
      <c r="M81" s="19" t="s">
        <v>87</v>
      </c>
      <c r="N81" s="21"/>
    </row>
    <row r="82" ht="25.5" customHeight="1">
      <c r="A82" s="14" t="s">
        <v>129</v>
      </c>
      <c r="B82" s="15" t="s">
        <v>130</v>
      </c>
      <c r="C82" s="15" t="s">
        <v>84</v>
      </c>
      <c r="D82" s="15" t="s">
        <v>131</v>
      </c>
      <c r="E82" s="15" t="s">
        <v>34</v>
      </c>
      <c r="F82" s="15" t="s">
        <v>34</v>
      </c>
      <c r="G82" s="15" t="s">
        <v>34</v>
      </c>
      <c r="H82" s="15" t="s">
        <v>34</v>
      </c>
      <c r="I82" s="15" t="s">
        <v>34</v>
      </c>
      <c r="J82" s="15" t="s">
        <v>132</v>
      </c>
      <c r="K82" s="15"/>
      <c r="L82" s="16"/>
      <c r="M82" s="15" t="s">
        <v>36</v>
      </c>
      <c r="N82" s="23"/>
    </row>
    <row r="83" ht="25.5" customHeight="1">
      <c r="A83" s="18" t="s">
        <v>129</v>
      </c>
      <c r="B83" s="19" t="s">
        <v>133</v>
      </c>
      <c r="C83" s="19" t="s">
        <v>84</v>
      </c>
      <c r="D83" s="19" t="s">
        <v>131</v>
      </c>
      <c r="E83" s="19" t="s">
        <v>34</v>
      </c>
      <c r="F83" s="19" t="s">
        <v>34</v>
      </c>
      <c r="G83" s="19" t="s">
        <v>34</v>
      </c>
      <c r="H83" s="19" t="s">
        <v>34</v>
      </c>
      <c r="I83" s="19" t="s">
        <v>34</v>
      </c>
      <c r="J83" s="19" t="s">
        <v>132</v>
      </c>
      <c r="K83" s="19"/>
      <c r="L83" s="20"/>
      <c r="M83" s="19" t="s">
        <v>36</v>
      </c>
      <c r="N83" s="22"/>
    </row>
    <row r="84" ht="25.5" customHeight="1">
      <c r="A84" s="14" t="s">
        <v>129</v>
      </c>
      <c r="B84" s="15" t="s">
        <v>134</v>
      </c>
      <c r="C84" s="15" t="s">
        <v>84</v>
      </c>
      <c r="D84" s="15" t="s">
        <v>131</v>
      </c>
      <c r="E84" s="15" t="s">
        <v>34</v>
      </c>
      <c r="F84" s="15" t="s">
        <v>34</v>
      </c>
      <c r="G84" s="15" t="s">
        <v>34</v>
      </c>
      <c r="H84" s="15" t="s">
        <v>34</v>
      </c>
      <c r="I84" s="15" t="s">
        <v>34</v>
      </c>
      <c r="J84" s="15" t="s">
        <v>132</v>
      </c>
      <c r="K84" s="15"/>
      <c r="L84" s="16"/>
      <c r="M84" s="15" t="s">
        <v>36</v>
      </c>
      <c r="N84" s="23"/>
    </row>
    <row r="85" ht="25.5" customHeight="1">
      <c r="A85" s="18" t="s">
        <v>129</v>
      </c>
      <c r="B85" s="19" t="s">
        <v>135</v>
      </c>
      <c r="C85" s="19" t="s">
        <v>84</v>
      </c>
      <c r="D85" s="19" t="s">
        <v>131</v>
      </c>
      <c r="E85" s="19" t="s">
        <v>34</v>
      </c>
      <c r="F85" s="19" t="s">
        <v>34</v>
      </c>
      <c r="G85" s="19" t="s">
        <v>34</v>
      </c>
      <c r="H85" s="19" t="s">
        <v>34</v>
      </c>
      <c r="I85" s="19" t="s">
        <v>34</v>
      </c>
      <c r="J85" s="19" t="s">
        <v>136</v>
      </c>
      <c r="K85" s="19"/>
      <c r="L85" s="19"/>
      <c r="M85" s="19" t="s">
        <v>87</v>
      </c>
      <c r="N85" s="22"/>
    </row>
    <row r="86" ht="25.5" customHeight="1">
      <c r="A86" s="14" t="s">
        <v>129</v>
      </c>
      <c r="B86" s="15" t="s">
        <v>137</v>
      </c>
      <c r="C86" s="15" t="s">
        <v>84</v>
      </c>
      <c r="D86" s="15" t="s">
        <v>138</v>
      </c>
      <c r="E86" s="15" t="s">
        <v>34</v>
      </c>
      <c r="F86" s="15" t="s">
        <v>34</v>
      </c>
      <c r="G86" s="15" t="s">
        <v>34</v>
      </c>
      <c r="H86" s="15" t="s">
        <v>34</v>
      </c>
      <c r="I86" s="15" t="s">
        <v>34</v>
      </c>
      <c r="J86" s="15" t="s">
        <v>139</v>
      </c>
      <c r="K86" s="15" t="s">
        <v>32</v>
      </c>
      <c r="L86" s="15" t="s">
        <v>140</v>
      </c>
      <c r="M86" s="15" t="s">
        <v>141</v>
      </c>
      <c r="N86" s="23"/>
    </row>
    <row r="87" ht="25.5" customHeight="1">
      <c r="A87" s="18" t="s">
        <v>129</v>
      </c>
      <c r="B87" s="19" t="s">
        <v>142</v>
      </c>
      <c r="C87" s="19" t="s">
        <v>143</v>
      </c>
      <c r="D87" s="19" t="s">
        <v>144</v>
      </c>
      <c r="E87" s="19" t="s">
        <v>34</v>
      </c>
      <c r="F87" s="19" t="s">
        <v>34</v>
      </c>
      <c r="G87" s="19" t="s">
        <v>34</v>
      </c>
      <c r="H87" s="19" t="s">
        <v>34</v>
      </c>
      <c r="I87" s="19" t="s">
        <v>34</v>
      </c>
      <c r="J87" s="19" t="s">
        <v>145</v>
      </c>
      <c r="K87" s="19"/>
      <c r="L87" s="20"/>
      <c r="M87" s="19" t="s">
        <v>100</v>
      </c>
      <c r="N87" s="22"/>
    </row>
    <row r="88" ht="25.5" customHeight="1">
      <c r="A88" s="14" t="s">
        <v>129</v>
      </c>
      <c r="B88" s="15" t="s">
        <v>146</v>
      </c>
      <c r="C88" s="15" t="s">
        <v>29</v>
      </c>
      <c r="D88" s="15" t="s">
        <v>147</v>
      </c>
      <c r="E88" s="15" t="s">
        <v>34</v>
      </c>
      <c r="F88" s="15" t="s">
        <v>34</v>
      </c>
      <c r="G88" s="15" t="s">
        <v>34</v>
      </c>
      <c r="H88" s="15" t="s">
        <v>34</v>
      </c>
      <c r="I88" s="15" t="s">
        <v>34</v>
      </c>
      <c r="J88" s="15" t="s">
        <v>148</v>
      </c>
      <c r="K88" s="15"/>
      <c r="L88" s="16"/>
      <c r="M88" s="15" t="s">
        <v>149</v>
      </c>
      <c r="N88" s="23"/>
    </row>
    <row r="89" ht="25.5" customHeight="1">
      <c r="A89" s="18" t="s">
        <v>129</v>
      </c>
      <c r="B89" s="19" t="s">
        <v>150</v>
      </c>
      <c r="C89" s="19" t="s">
        <v>29</v>
      </c>
      <c r="D89" s="19" t="s">
        <v>147</v>
      </c>
      <c r="E89" s="19" t="s">
        <v>34</v>
      </c>
      <c r="F89" s="19" t="s">
        <v>34</v>
      </c>
      <c r="G89" s="19" t="s">
        <v>34</v>
      </c>
      <c r="H89" s="19" t="s">
        <v>34</v>
      </c>
      <c r="I89" s="19" t="s">
        <v>34</v>
      </c>
      <c r="J89" s="19" t="s">
        <v>148</v>
      </c>
      <c r="K89" s="19"/>
      <c r="L89" s="20"/>
      <c r="M89" s="19" t="s">
        <v>149</v>
      </c>
      <c r="N89" s="22"/>
    </row>
    <row r="90" ht="25.5" customHeight="1">
      <c r="A90" s="14" t="s">
        <v>129</v>
      </c>
      <c r="B90" s="15" t="s">
        <v>151</v>
      </c>
      <c r="C90" s="15" t="s">
        <v>29</v>
      </c>
      <c r="D90" s="15" t="s">
        <v>147</v>
      </c>
      <c r="E90" s="15" t="s">
        <v>34</v>
      </c>
      <c r="F90" s="15" t="s">
        <v>34</v>
      </c>
      <c r="G90" s="15" t="s">
        <v>34</v>
      </c>
      <c r="H90" s="15" t="s">
        <v>34</v>
      </c>
      <c r="I90" s="15" t="s">
        <v>34</v>
      </c>
      <c r="J90" s="15" t="s">
        <v>148</v>
      </c>
      <c r="K90" s="15"/>
      <c r="L90" s="16"/>
      <c r="M90" s="15" t="s">
        <v>149</v>
      </c>
      <c r="N90" s="23"/>
    </row>
    <row r="91" ht="25.5" customHeight="1">
      <c r="A91" s="18" t="s">
        <v>129</v>
      </c>
      <c r="B91" s="19" t="s">
        <v>146</v>
      </c>
      <c r="C91" s="19" t="s">
        <v>152</v>
      </c>
      <c r="D91" s="19" t="s">
        <v>153</v>
      </c>
      <c r="E91" s="19" t="s">
        <v>34</v>
      </c>
      <c r="F91" s="19" t="s">
        <v>34</v>
      </c>
      <c r="G91" s="19" t="s">
        <v>34</v>
      </c>
      <c r="H91" s="19" t="s">
        <v>34</v>
      </c>
      <c r="I91" s="19" t="s">
        <v>34</v>
      </c>
      <c r="J91" s="19" t="s">
        <v>90</v>
      </c>
      <c r="K91" s="19"/>
      <c r="L91" s="20"/>
      <c r="M91" s="19" t="s">
        <v>154</v>
      </c>
      <c r="N91" s="22"/>
    </row>
    <row r="92" ht="25.5" customHeight="1">
      <c r="A92" s="14" t="s">
        <v>155</v>
      </c>
      <c r="B92" s="15" t="s">
        <v>146</v>
      </c>
      <c r="C92" s="15" t="s">
        <v>29</v>
      </c>
      <c r="D92" s="15" t="s">
        <v>156</v>
      </c>
      <c r="E92" s="15" t="s">
        <v>32</v>
      </c>
      <c r="F92" s="15" t="s">
        <v>32</v>
      </c>
      <c r="G92" s="16"/>
      <c r="H92" s="16"/>
      <c r="I92" s="15" t="s">
        <v>34</v>
      </c>
      <c r="J92" s="15" t="s">
        <v>90</v>
      </c>
      <c r="K92" s="15"/>
      <c r="L92" s="16"/>
      <c r="M92" s="15" t="s">
        <v>149</v>
      </c>
      <c r="N92" s="23"/>
    </row>
    <row r="93" ht="25.5" customHeight="1">
      <c r="A93" s="18" t="s">
        <v>155</v>
      </c>
      <c r="B93" s="19" t="s">
        <v>157</v>
      </c>
      <c r="C93" s="19" t="s">
        <v>158</v>
      </c>
      <c r="D93" s="19" t="s">
        <v>159</v>
      </c>
      <c r="E93" s="19" t="s">
        <v>32</v>
      </c>
      <c r="F93" s="19" t="s">
        <v>31</v>
      </c>
      <c r="G93" s="19" t="s">
        <v>32</v>
      </c>
      <c r="H93" s="19" t="s">
        <v>33</v>
      </c>
      <c r="I93" s="19" t="s">
        <v>34</v>
      </c>
      <c r="J93" s="19" t="s">
        <v>160</v>
      </c>
      <c r="K93" s="19"/>
      <c r="L93" s="20"/>
      <c r="M93" s="19" t="s">
        <v>154</v>
      </c>
      <c r="N93" s="22"/>
    </row>
    <row r="94" ht="25.5" customHeight="1">
      <c r="A94" s="14" t="s">
        <v>155</v>
      </c>
      <c r="B94" s="15" t="s">
        <v>161</v>
      </c>
      <c r="C94" s="15" t="s">
        <v>162</v>
      </c>
      <c r="D94" s="15" t="s">
        <v>159</v>
      </c>
      <c r="E94" s="15" t="s">
        <v>32</v>
      </c>
      <c r="F94" s="15" t="s">
        <v>31</v>
      </c>
      <c r="G94" s="15" t="s">
        <v>32</v>
      </c>
      <c r="H94" s="15" t="s">
        <v>33</v>
      </c>
      <c r="I94" s="15" t="s">
        <v>34</v>
      </c>
      <c r="J94" s="15" t="s">
        <v>163</v>
      </c>
      <c r="K94" s="15"/>
      <c r="L94" s="16"/>
      <c r="M94" s="15" t="s">
        <v>154</v>
      </c>
      <c r="N94" s="23"/>
    </row>
    <row r="95" ht="25.5" customHeight="1">
      <c r="A95" s="18" t="s">
        <v>155</v>
      </c>
      <c r="B95" s="19" t="s">
        <v>164</v>
      </c>
      <c r="C95" s="19" t="s">
        <v>165</v>
      </c>
      <c r="D95" s="19" t="s">
        <v>159</v>
      </c>
      <c r="E95" s="19" t="s">
        <v>32</v>
      </c>
      <c r="F95" s="19" t="s">
        <v>31</v>
      </c>
      <c r="G95" s="19" t="s">
        <v>32</v>
      </c>
      <c r="H95" s="19" t="s">
        <v>33</v>
      </c>
      <c r="I95" s="19" t="s">
        <v>34</v>
      </c>
      <c r="J95" s="19" t="s">
        <v>166</v>
      </c>
      <c r="K95" s="19"/>
      <c r="L95" s="19"/>
      <c r="M95" s="19" t="s">
        <v>154</v>
      </c>
      <c r="N95" s="22"/>
    </row>
    <row r="96" ht="25.5" customHeight="1">
      <c r="A96" s="14" t="s">
        <v>155</v>
      </c>
      <c r="B96" s="15" t="s">
        <v>167</v>
      </c>
      <c r="C96" s="15" t="s">
        <v>29</v>
      </c>
      <c r="D96" s="15" t="s">
        <v>168</v>
      </c>
      <c r="E96" s="15" t="s">
        <v>31</v>
      </c>
      <c r="F96" s="15" t="s">
        <v>34</v>
      </c>
      <c r="G96" s="15" t="s">
        <v>32</v>
      </c>
      <c r="H96" s="15" t="s">
        <v>33</v>
      </c>
      <c r="I96" s="15" t="s">
        <v>34</v>
      </c>
      <c r="J96" s="15" t="s">
        <v>169</v>
      </c>
      <c r="K96" s="15"/>
      <c r="L96" s="16"/>
      <c r="M96" s="15" t="s">
        <v>170</v>
      </c>
      <c r="N96" s="23"/>
    </row>
    <row r="97" ht="25.5" customHeight="1">
      <c r="A97" s="18" t="s">
        <v>155</v>
      </c>
      <c r="B97" s="19" t="s">
        <v>171</v>
      </c>
      <c r="C97" s="19" t="s">
        <v>29</v>
      </c>
      <c r="D97" s="19" t="s">
        <v>172</v>
      </c>
      <c r="E97" s="19" t="s">
        <v>32</v>
      </c>
      <c r="F97" s="19" t="s">
        <v>32</v>
      </c>
      <c r="G97" s="19" t="s">
        <v>31</v>
      </c>
      <c r="H97" s="19" t="s">
        <v>173</v>
      </c>
      <c r="I97" s="19" t="s">
        <v>34</v>
      </c>
      <c r="J97" s="19" t="s">
        <v>174</v>
      </c>
      <c r="K97" s="19"/>
      <c r="L97" s="20"/>
      <c r="M97" s="19" t="s">
        <v>170</v>
      </c>
      <c r="N97" s="22"/>
    </row>
    <row r="98" ht="25.5" customHeight="1">
      <c r="A98" s="14" t="s">
        <v>155</v>
      </c>
      <c r="B98" s="15" t="s">
        <v>175</v>
      </c>
      <c r="C98" s="15" t="s">
        <v>165</v>
      </c>
      <c r="D98" s="15" t="s">
        <v>176</v>
      </c>
      <c r="E98" s="15" t="s">
        <v>32</v>
      </c>
      <c r="F98" s="15" t="s">
        <v>31</v>
      </c>
      <c r="G98" s="15" t="s">
        <v>32</v>
      </c>
      <c r="H98" s="15" t="s">
        <v>33</v>
      </c>
      <c r="I98" s="15" t="s">
        <v>34</v>
      </c>
      <c r="J98" s="15" t="s">
        <v>177</v>
      </c>
      <c r="K98" s="15"/>
      <c r="L98" s="16"/>
      <c r="M98" s="15" t="s">
        <v>178</v>
      </c>
      <c r="N98" s="23"/>
    </row>
    <row r="99" ht="25.5" customHeight="1">
      <c r="A99" s="18" t="s">
        <v>155</v>
      </c>
      <c r="B99" s="19" t="s">
        <v>179</v>
      </c>
      <c r="C99" s="19" t="s">
        <v>165</v>
      </c>
      <c r="D99" s="19" t="s">
        <v>180</v>
      </c>
      <c r="E99" s="19" t="s">
        <v>32</v>
      </c>
      <c r="F99" s="19" t="s">
        <v>31</v>
      </c>
      <c r="G99" s="19" t="s">
        <v>32</v>
      </c>
      <c r="H99" s="19" t="s">
        <v>33</v>
      </c>
      <c r="I99" s="19" t="s">
        <v>34</v>
      </c>
      <c r="J99" s="19" t="s">
        <v>177</v>
      </c>
      <c r="K99" s="19"/>
      <c r="L99" s="20"/>
      <c r="M99" s="19" t="s">
        <v>178</v>
      </c>
      <c r="N99" s="22"/>
    </row>
    <row r="100" ht="25.5" customHeight="1">
      <c r="A100" s="14" t="s">
        <v>155</v>
      </c>
      <c r="B100" s="15" t="s">
        <v>181</v>
      </c>
      <c r="C100" s="15" t="s">
        <v>158</v>
      </c>
      <c r="D100" s="15" t="s">
        <v>182</v>
      </c>
      <c r="E100" s="15" t="s">
        <v>32</v>
      </c>
      <c r="F100" s="15" t="s">
        <v>31</v>
      </c>
      <c r="G100" s="15" t="s">
        <v>32</v>
      </c>
      <c r="H100" s="15" t="s">
        <v>33</v>
      </c>
      <c r="I100" s="15" t="s">
        <v>34</v>
      </c>
      <c r="J100" s="15" t="s">
        <v>183</v>
      </c>
      <c r="K100" s="15"/>
      <c r="L100" s="16"/>
      <c r="M100" s="15" t="s">
        <v>154</v>
      </c>
      <c r="N100" s="23"/>
    </row>
    <row r="101" ht="25.5" customHeight="1">
      <c r="A101" s="18" t="s">
        <v>155</v>
      </c>
      <c r="B101" s="19" t="s">
        <v>135</v>
      </c>
      <c r="C101" s="19" t="s">
        <v>184</v>
      </c>
      <c r="D101" s="19" t="s">
        <v>34</v>
      </c>
      <c r="E101" s="19" t="s">
        <v>34</v>
      </c>
      <c r="F101" s="19" t="s">
        <v>34</v>
      </c>
      <c r="G101" s="19" t="s">
        <v>34</v>
      </c>
      <c r="H101" s="19" t="s">
        <v>34</v>
      </c>
      <c r="I101" s="19" t="s">
        <v>34</v>
      </c>
      <c r="J101" s="20"/>
      <c r="K101" s="20"/>
      <c r="L101" s="20"/>
      <c r="M101" s="19" t="s">
        <v>185</v>
      </c>
      <c r="N101" s="22"/>
    </row>
    <row r="102" ht="25.5" customHeight="1">
      <c r="A102" s="14" t="s">
        <v>155</v>
      </c>
      <c r="B102" s="15" t="s">
        <v>186</v>
      </c>
      <c r="C102" s="15" t="s">
        <v>184</v>
      </c>
      <c r="D102" s="15" t="s">
        <v>34</v>
      </c>
      <c r="E102" s="15" t="s">
        <v>34</v>
      </c>
      <c r="F102" s="15" t="s">
        <v>34</v>
      </c>
      <c r="G102" s="15" t="s">
        <v>34</v>
      </c>
      <c r="H102" s="15" t="s">
        <v>34</v>
      </c>
      <c r="I102" s="15" t="s">
        <v>34</v>
      </c>
      <c r="J102" s="16"/>
      <c r="K102" s="16"/>
      <c r="L102" s="16"/>
      <c r="M102" s="15" t="s">
        <v>185</v>
      </c>
      <c r="N102" s="23"/>
    </row>
    <row r="103" ht="25.5" customHeight="1">
      <c r="A103" s="18" t="s">
        <v>155</v>
      </c>
      <c r="B103" s="19" t="s">
        <v>187</v>
      </c>
      <c r="C103" s="19" t="s">
        <v>184</v>
      </c>
      <c r="D103" s="19" t="s">
        <v>34</v>
      </c>
      <c r="E103" s="19" t="s">
        <v>34</v>
      </c>
      <c r="F103" s="19" t="s">
        <v>34</v>
      </c>
      <c r="G103" s="19" t="s">
        <v>34</v>
      </c>
      <c r="H103" s="19" t="s">
        <v>34</v>
      </c>
      <c r="I103" s="19" t="s">
        <v>34</v>
      </c>
      <c r="J103" s="20"/>
      <c r="K103" s="20"/>
      <c r="L103" s="20"/>
      <c r="M103" s="19" t="s">
        <v>185</v>
      </c>
      <c r="N103" s="22"/>
    </row>
    <row r="104" ht="25.5" customHeight="1">
      <c r="A104" s="14" t="s">
        <v>155</v>
      </c>
      <c r="B104" s="15" t="s">
        <v>83</v>
      </c>
      <c r="C104" s="15" t="s">
        <v>184</v>
      </c>
      <c r="D104" s="15" t="s">
        <v>34</v>
      </c>
      <c r="E104" s="15" t="s">
        <v>34</v>
      </c>
      <c r="F104" s="15" t="s">
        <v>34</v>
      </c>
      <c r="G104" s="15" t="s">
        <v>34</v>
      </c>
      <c r="H104" s="15" t="s">
        <v>34</v>
      </c>
      <c r="I104" s="15" t="s">
        <v>34</v>
      </c>
      <c r="J104" s="16"/>
      <c r="K104" s="16"/>
      <c r="L104" s="16"/>
      <c r="M104" s="15" t="s">
        <v>188</v>
      </c>
      <c r="N104" s="23"/>
    </row>
    <row r="105" ht="25.5" customHeight="1">
      <c r="A105" s="18" t="s">
        <v>155</v>
      </c>
      <c r="B105" s="19" t="s">
        <v>189</v>
      </c>
      <c r="C105" s="19" t="s">
        <v>184</v>
      </c>
      <c r="D105" s="19" t="s">
        <v>34</v>
      </c>
      <c r="E105" s="19" t="s">
        <v>34</v>
      </c>
      <c r="F105" s="19" t="s">
        <v>34</v>
      </c>
      <c r="G105" s="19" t="s">
        <v>34</v>
      </c>
      <c r="H105" s="19" t="s">
        <v>34</v>
      </c>
      <c r="I105" s="19" t="s">
        <v>34</v>
      </c>
      <c r="J105" s="20"/>
      <c r="K105" s="20"/>
      <c r="L105" s="20"/>
      <c r="M105" s="19" t="s">
        <v>185</v>
      </c>
      <c r="N105" s="22"/>
    </row>
    <row r="106" ht="25.5" customHeight="1">
      <c r="A106" s="14" t="s">
        <v>155</v>
      </c>
      <c r="B106" s="15" t="s">
        <v>190</v>
      </c>
      <c r="C106" s="15" t="s">
        <v>184</v>
      </c>
      <c r="D106" s="15" t="s">
        <v>34</v>
      </c>
      <c r="E106" s="15" t="s">
        <v>34</v>
      </c>
      <c r="F106" s="15" t="s">
        <v>34</v>
      </c>
      <c r="G106" s="15" t="s">
        <v>34</v>
      </c>
      <c r="H106" s="15" t="s">
        <v>34</v>
      </c>
      <c r="I106" s="15" t="s">
        <v>34</v>
      </c>
      <c r="J106" s="16"/>
      <c r="K106" s="16"/>
      <c r="L106" s="16"/>
      <c r="M106" s="15" t="s">
        <v>185</v>
      </c>
      <c r="N106" s="23"/>
    </row>
    <row r="107" ht="25.5" customHeight="1">
      <c r="A107" s="18" t="s">
        <v>155</v>
      </c>
      <c r="B107" s="19" t="s">
        <v>130</v>
      </c>
      <c r="C107" s="19" t="s">
        <v>184</v>
      </c>
      <c r="D107" s="19" t="s">
        <v>34</v>
      </c>
      <c r="E107" s="19" t="s">
        <v>34</v>
      </c>
      <c r="F107" s="19" t="s">
        <v>34</v>
      </c>
      <c r="G107" s="19" t="s">
        <v>34</v>
      </c>
      <c r="H107" s="19" t="s">
        <v>34</v>
      </c>
      <c r="I107" s="19" t="s">
        <v>34</v>
      </c>
      <c r="J107" s="20"/>
      <c r="K107" s="20"/>
      <c r="L107" s="20"/>
      <c r="M107" s="19" t="s">
        <v>185</v>
      </c>
      <c r="N107" s="22"/>
    </row>
    <row r="108" ht="25.5" customHeight="1">
      <c r="A108" s="14" t="s">
        <v>155</v>
      </c>
      <c r="B108" s="15" t="s">
        <v>191</v>
      </c>
      <c r="C108" s="15" t="s">
        <v>184</v>
      </c>
      <c r="D108" s="15" t="s">
        <v>34</v>
      </c>
      <c r="E108" s="15" t="s">
        <v>34</v>
      </c>
      <c r="F108" s="15" t="s">
        <v>34</v>
      </c>
      <c r="G108" s="15" t="s">
        <v>34</v>
      </c>
      <c r="H108" s="15" t="s">
        <v>34</v>
      </c>
      <c r="I108" s="15" t="s">
        <v>34</v>
      </c>
      <c r="J108" s="16"/>
      <c r="K108" s="16"/>
      <c r="L108" s="16"/>
      <c r="M108" s="15" t="s">
        <v>185</v>
      </c>
      <c r="N108" s="23"/>
    </row>
    <row r="109" ht="25.5" customHeight="1">
      <c r="A109" s="18" t="s">
        <v>155</v>
      </c>
      <c r="B109" s="19" t="s">
        <v>192</v>
      </c>
      <c r="C109" s="19" t="s">
        <v>184</v>
      </c>
      <c r="D109" s="19" t="s">
        <v>34</v>
      </c>
      <c r="E109" s="19" t="s">
        <v>34</v>
      </c>
      <c r="F109" s="19" t="s">
        <v>34</v>
      </c>
      <c r="G109" s="19" t="s">
        <v>34</v>
      </c>
      <c r="H109" s="19" t="s">
        <v>34</v>
      </c>
      <c r="I109" s="19" t="s">
        <v>34</v>
      </c>
      <c r="J109" s="20"/>
      <c r="K109" s="20"/>
      <c r="L109" s="20"/>
      <c r="M109" s="19" t="s">
        <v>185</v>
      </c>
      <c r="N109" s="22"/>
    </row>
    <row r="110" ht="25.5" customHeight="1">
      <c r="A110" s="14" t="s">
        <v>155</v>
      </c>
      <c r="B110" s="15" t="s">
        <v>193</v>
      </c>
      <c r="C110" s="15" t="s">
        <v>184</v>
      </c>
      <c r="D110" s="15" t="s">
        <v>34</v>
      </c>
      <c r="E110" s="15" t="s">
        <v>34</v>
      </c>
      <c r="F110" s="15" t="s">
        <v>34</v>
      </c>
      <c r="G110" s="15" t="s">
        <v>34</v>
      </c>
      <c r="H110" s="15" t="s">
        <v>34</v>
      </c>
      <c r="I110" s="15" t="s">
        <v>34</v>
      </c>
      <c r="J110" s="16"/>
      <c r="K110" s="16"/>
      <c r="L110" s="16"/>
      <c r="M110" s="15" t="s">
        <v>185</v>
      </c>
      <c r="N110" s="23"/>
    </row>
    <row r="111" ht="25.5" customHeight="1">
      <c r="A111" s="18" t="s">
        <v>155</v>
      </c>
      <c r="B111" s="19" t="s">
        <v>133</v>
      </c>
      <c r="C111" s="19" t="s">
        <v>184</v>
      </c>
      <c r="D111" s="19" t="s">
        <v>34</v>
      </c>
      <c r="E111" s="19" t="s">
        <v>34</v>
      </c>
      <c r="F111" s="19" t="s">
        <v>34</v>
      </c>
      <c r="G111" s="19" t="s">
        <v>34</v>
      </c>
      <c r="H111" s="19" t="s">
        <v>34</v>
      </c>
      <c r="I111" s="19" t="s">
        <v>34</v>
      </c>
      <c r="J111" s="20"/>
      <c r="K111" s="20"/>
      <c r="L111" s="20"/>
      <c r="M111" s="19" t="s">
        <v>185</v>
      </c>
      <c r="N111" s="22"/>
    </row>
    <row r="112" ht="25.5" customHeight="1">
      <c r="A112" s="14" t="s">
        <v>155</v>
      </c>
      <c r="B112" s="15" t="s">
        <v>194</v>
      </c>
      <c r="C112" s="15" t="s">
        <v>184</v>
      </c>
      <c r="D112" s="15" t="s">
        <v>34</v>
      </c>
      <c r="E112" s="15" t="s">
        <v>34</v>
      </c>
      <c r="F112" s="15" t="s">
        <v>34</v>
      </c>
      <c r="G112" s="15" t="s">
        <v>34</v>
      </c>
      <c r="H112" s="15" t="s">
        <v>34</v>
      </c>
      <c r="I112" s="15" t="s">
        <v>34</v>
      </c>
      <c r="J112" s="16"/>
      <c r="K112" s="16"/>
      <c r="L112" s="16"/>
      <c r="M112" s="15" t="s">
        <v>185</v>
      </c>
      <c r="N112" s="23"/>
    </row>
    <row r="113" ht="25.5" customHeight="1">
      <c r="A113" s="18" t="s">
        <v>155</v>
      </c>
      <c r="B113" s="19" t="s">
        <v>195</v>
      </c>
      <c r="C113" s="19" t="s">
        <v>184</v>
      </c>
      <c r="D113" s="19" t="s">
        <v>34</v>
      </c>
      <c r="E113" s="19" t="s">
        <v>34</v>
      </c>
      <c r="F113" s="19" t="s">
        <v>34</v>
      </c>
      <c r="G113" s="19" t="s">
        <v>34</v>
      </c>
      <c r="H113" s="19" t="s">
        <v>34</v>
      </c>
      <c r="I113" s="19" t="s">
        <v>34</v>
      </c>
      <c r="J113" s="20"/>
      <c r="K113" s="20"/>
      <c r="L113" s="20"/>
      <c r="M113" s="19" t="s">
        <v>185</v>
      </c>
      <c r="N113" s="22"/>
    </row>
    <row r="114" ht="25.5" customHeight="1">
      <c r="A114" s="14" t="s">
        <v>155</v>
      </c>
      <c r="B114" s="15" t="s">
        <v>52</v>
      </c>
      <c r="C114" s="15" t="s">
        <v>184</v>
      </c>
      <c r="D114" s="15" t="s">
        <v>34</v>
      </c>
      <c r="E114" s="15" t="s">
        <v>34</v>
      </c>
      <c r="F114" s="15" t="s">
        <v>34</v>
      </c>
      <c r="G114" s="15" t="s">
        <v>34</v>
      </c>
      <c r="H114" s="15" t="s">
        <v>34</v>
      </c>
      <c r="I114" s="15" t="s">
        <v>34</v>
      </c>
      <c r="J114" s="16"/>
      <c r="K114" s="16"/>
      <c r="L114" s="16"/>
      <c r="M114" s="15" t="s">
        <v>185</v>
      </c>
      <c r="N114" s="23"/>
    </row>
    <row r="115" ht="25.5" customHeight="1">
      <c r="A115" s="18" t="s">
        <v>155</v>
      </c>
      <c r="B115" s="19" t="s">
        <v>196</v>
      </c>
      <c r="C115" s="19" t="s">
        <v>184</v>
      </c>
      <c r="D115" s="19" t="s">
        <v>34</v>
      </c>
      <c r="E115" s="19" t="s">
        <v>34</v>
      </c>
      <c r="F115" s="19" t="s">
        <v>34</v>
      </c>
      <c r="G115" s="19" t="s">
        <v>34</v>
      </c>
      <c r="H115" s="19" t="s">
        <v>34</v>
      </c>
      <c r="I115" s="19" t="s">
        <v>34</v>
      </c>
      <c r="J115" s="20"/>
      <c r="K115" s="20"/>
      <c r="L115" s="20"/>
      <c r="M115" s="19" t="s">
        <v>185</v>
      </c>
      <c r="N115" s="22"/>
    </row>
    <row r="116" ht="25.5" customHeight="1">
      <c r="A116" s="14" t="s">
        <v>155</v>
      </c>
      <c r="B116" s="15" t="s">
        <v>197</v>
      </c>
      <c r="C116" s="15" t="s">
        <v>184</v>
      </c>
      <c r="D116" s="15" t="s">
        <v>34</v>
      </c>
      <c r="E116" s="15" t="s">
        <v>34</v>
      </c>
      <c r="F116" s="15" t="s">
        <v>34</v>
      </c>
      <c r="G116" s="15" t="s">
        <v>34</v>
      </c>
      <c r="H116" s="15" t="s">
        <v>34</v>
      </c>
      <c r="I116" s="15" t="s">
        <v>34</v>
      </c>
      <c r="J116" s="16"/>
      <c r="K116" s="16"/>
      <c r="L116" s="16"/>
      <c r="M116" s="15" t="s">
        <v>185</v>
      </c>
      <c r="N116" s="23"/>
    </row>
    <row r="117" ht="25.5" customHeight="1">
      <c r="A117" s="18" t="s">
        <v>155</v>
      </c>
      <c r="B117" s="19" t="s">
        <v>198</v>
      </c>
      <c r="C117" s="19" t="s">
        <v>184</v>
      </c>
      <c r="D117" s="19" t="s">
        <v>34</v>
      </c>
      <c r="E117" s="19" t="s">
        <v>34</v>
      </c>
      <c r="F117" s="19" t="s">
        <v>34</v>
      </c>
      <c r="G117" s="19" t="s">
        <v>34</v>
      </c>
      <c r="H117" s="19" t="s">
        <v>34</v>
      </c>
      <c r="I117" s="19" t="s">
        <v>34</v>
      </c>
      <c r="J117" s="20"/>
      <c r="K117" s="20"/>
      <c r="L117" s="20"/>
      <c r="M117" s="19" t="s">
        <v>185</v>
      </c>
      <c r="N117" s="22"/>
    </row>
    <row r="118" ht="25.5" customHeight="1">
      <c r="A118" s="14" t="s">
        <v>155</v>
      </c>
      <c r="B118" s="15" t="s">
        <v>199</v>
      </c>
      <c r="C118" s="15" t="s">
        <v>184</v>
      </c>
      <c r="D118" s="15" t="s">
        <v>34</v>
      </c>
      <c r="E118" s="15" t="s">
        <v>34</v>
      </c>
      <c r="F118" s="15" t="s">
        <v>34</v>
      </c>
      <c r="G118" s="15" t="s">
        <v>34</v>
      </c>
      <c r="H118" s="15" t="s">
        <v>34</v>
      </c>
      <c r="I118" s="15" t="s">
        <v>34</v>
      </c>
      <c r="J118" s="16"/>
      <c r="K118" s="16"/>
      <c r="L118" s="16"/>
      <c r="M118" s="15" t="s">
        <v>185</v>
      </c>
      <c r="N118" s="23"/>
    </row>
    <row r="119" ht="25.5" customHeight="1">
      <c r="A119" s="18" t="s">
        <v>155</v>
      </c>
      <c r="B119" s="19" t="s">
        <v>41</v>
      </c>
      <c r="C119" s="19" t="s">
        <v>184</v>
      </c>
      <c r="D119" s="19" t="s">
        <v>34</v>
      </c>
      <c r="E119" s="19" t="s">
        <v>34</v>
      </c>
      <c r="F119" s="19" t="s">
        <v>34</v>
      </c>
      <c r="G119" s="19" t="s">
        <v>34</v>
      </c>
      <c r="H119" s="19" t="s">
        <v>34</v>
      </c>
      <c r="I119" s="19" t="s">
        <v>34</v>
      </c>
      <c r="J119" s="20"/>
      <c r="K119" s="20"/>
      <c r="L119" s="20"/>
      <c r="M119" s="19" t="s">
        <v>185</v>
      </c>
      <c r="N119" s="22"/>
    </row>
    <row r="120" ht="25.5" customHeight="1">
      <c r="A120" s="14" t="s">
        <v>200</v>
      </c>
      <c r="B120" s="15" t="s">
        <v>201</v>
      </c>
      <c r="C120" s="15" t="s">
        <v>29</v>
      </c>
      <c r="D120" s="15" t="s">
        <v>202</v>
      </c>
      <c r="E120" s="15" t="s">
        <v>32</v>
      </c>
      <c r="F120" s="15" t="s">
        <v>31</v>
      </c>
      <c r="G120" s="15" t="s">
        <v>32</v>
      </c>
      <c r="H120" s="15" t="s">
        <v>33</v>
      </c>
      <c r="I120" s="15" t="s">
        <v>34</v>
      </c>
      <c r="J120" s="15" t="s">
        <v>203</v>
      </c>
      <c r="K120" s="15"/>
      <c r="L120" s="16"/>
      <c r="M120" s="15" t="s">
        <v>36</v>
      </c>
      <c r="N120" s="23"/>
    </row>
    <row r="121" ht="25.5" customHeight="1">
      <c r="A121" s="18" t="s">
        <v>200</v>
      </c>
      <c r="B121" s="19" t="s">
        <v>204</v>
      </c>
      <c r="C121" s="19" t="s">
        <v>29</v>
      </c>
      <c r="D121" s="19" t="s">
        <v>202</v>
      </c>
      <c r="E121" s="19" t="s">
        <v>32</v>
      </c>
      <c r="F121" s="19" t="s">
        <v>31</v>
      </c>
      <c r="G121" s="19" t="s">
        <v>32</v>
      </c>
      <c r="H121" s="19" t="s">
        <v>33</v>
      </c>
      <c r="I121" s="24" t="s">
        <v>205</v>
      </c>
      <c r="J121" s="19" t="s">
        <v>206</v>
      </c>
      <c r="K121" s="19"/>
      <c r="L121" s="20"/>
      <c r="M121" s="19" t="s">
        <v>36</v>
      </c>
      <c r="N121" s="22"/>
    </row>
    <row r="122" ht="25.5" customHeight="1">
      <c r="A122" s="14" t="s">
        <v>200</v>
      </c>
      <c r="B122" s="15" t="s">
        <v>204</v>
      </c>
      <c r="C122" s="15" t="s">
        <v>29</v>
      </c>
      <c r="D122" s="15" t="s">
        <v>202</v>
      </c>
      <c r="E122" s="15" t="s">
        <v>32</v>
      </c>
      <c r="F122" s="15" t="s">
        <v>31</v>
      </c>
      <c r="G122" s="15" t="s">
        <v>32</v>
      </c>
      <c r="H122" s="15" t="s">
        <v>33</v>
      </c>
      <c r="I122" s="24" t="s">
        <v>207</v>
      </c>
      <c r="J122" s="15" t="s">
        <v>206</v>
      </c>
      <c r="K122" s="15"/>
      <c r="L122" s="16"/>
      <c r="M122" s="15" t="s">
        <v>36</v>
      </c>
      <c r="N122" s="23"/>
    </row>
    <row r="123" ht="25.5" customHeight="1">
      <c r="A123" s="18" t="s">
        <v>200</v>
      </c>
      <c r="B123" s="19" t="s">
        <v>208</v>
      </c>
      <c r="C123" s="19" t="s">
        <v>29</v>
      </c>
      <c r="D123" s="19" t="s">
        <v>209</v>
      </c>
      <c r="E123" s="19" t="s">
        <v>32</v>
      </c>
      <c r="F123" s="19" t="s">
        <v>31</v>
      </c>
      <c r="G123" s="19" t="s">
        <v>32</v>
      </c>
      <c r="H123" s="19" t="s">
        <v>33</v>
      </c>
      <c r="I123" s="24" t="s">
        <v>210</v>
      </c>
      <c r="J123" s="19" t="s">
        <v>90</v>
      </c>
      <c r="K123" s="19"/>
      <c r="L123" s="20"/>
      <c r="M123" s="19" t="s">
        <v>87</v>
      </c>
      <c r="N123" s="22"/>
    </row>
    <row r="124" ht="25.5" customHeight="1">
      <c r="A124" s="14" t="s">
        <v>200</v>
      </c>
      <c r="B124" s="15" t="s">
        <v>211</v>
      </c>
      <c r="C124" s="15" t="s">
        <v>29</v>
      </c>
      <c r="D124" s="15" t="s">
        <v>209</v>
      </c>
      <c r="E124" s="15" t="s">
        <v>32</v>
      </c>
      <c r="F124" s="15" t="s">
        <v>31</v>
      </c>
      <c r="G124" s="15" t="s">
        <v>32</v>
      </c>
      <c r="H124" s="15" t="s">
        <v>33</v>
      </c>
      <c r="I124" s="24" t="s">
        <v>210</v>
      </c>
      <c r="J124" s="15" t="s">
        <v>90</v>
      </c>
      <c r="K124" s="15"/>
      <c r="L124" s="16"/>
      <c r="M124" s="15" t="s">
        <v>87</v>
      </c>
      <c r="N124" s="23"/>
    </row>
    <row r="125" ht="25.5" customHeight="1">
      <c r="A125" s="18" t="s">
        <v>212</v>
      </c>
      <c r="B125" s="19" t="s">
        <v>213</v>
      </c>
      <c r="C125" s="19" t="s">
        <v>29</v>
      </c>
      <c r="D125" s="19" t="s">
        <v>214</v>
      </c>
      <c r="E125" s="19" t="s">
        <v>32</v>
      </c>
      <c r="F125" s="19" t="s">
        <v>31</v>
      </c>
      <c r="G125" s="19" t="s">
        <v>31</v>
      </c>
      <c r="H125" s="19" t="s">
        <v>34</v>
      </c>
      <c r="I125" s="19" t="s">
        <v>34</v>
      </c>
      <c r="J125" s="19" t="s">
        <v>215</v>
      </c>
      <c r="K125" s="19" t="s">
        <v>216</v>
      </c>
      <c r="L125" s="20"/>
      <c r="M125" s="19" t="s">
        <v>214</v>
      </c>
      <c r="N125" s="22"/>
    </row>
    <row r="126" ht="25.5" customHeight="1">
      <c r="A126" s="14" t="s">
        <v>212</v>
      </c>
      <c r="B126" s="15" t="s">
        <v>217</v>
      </c>
      <c r="C126" s="15" t="s">
        <v>29</v>
      </c>
      <c r="D126" s="15" t="s">
        <v>218</v>
      </c>
      <c r="E126" s="15" t="s">
        <v>32</v>
      </c>
      <c r="F126" s="15" t="s">
        <v>31</v>
      </c>
      <c r="G126" s="15" t="s">
        <v>32</v>
      </c>
      <c r="H126" s="15" t="s">
        <v>33</v>
      </c>
      <c r="I126" s="15" t="s">
        <v>219</v>
      </c>
      <c r="J126" s="15" t="s">
        <v>220</v>
      </c>
      <c r="K126" s="15"/>
      <c r="L126" s="16"/>
      <c r="M126" s="15" t="s">
        <v>214</v>
      </c>
      <c r="N126" s="23"/>
    </row>
    <row r="127" ht="25.5" customHeight="1">
      <c r="A127" s="18" t="s">
        <v>212</v>
      </c>
      <c r="B127" s="19" t="s">
        <v>221</v>
      </c>
      <c r="C127" s="19" t="s">
        <v>29</v>
      </c>
      <c r="D127" s="19" t="s">
        <v>218</v>
      </c>
      <c r="E127" s="19" t="s">
        <v>32</v>
      </c>
      <c r="F127" s="19" t="s">
        <v>31</v>
      </c>
      <c r="G127" s="19" t="s">
        <v>32</v>
      </c>
      <c r="H127" s="19" t="s">
        <v>33</v>
      </c>
      <c r="I127" s="19" t="s">
        <v>34</v>
      </c>
      <c r="J127" s="25" t="s">
        <v>222</v>
      </c>
      <c r="K127" s="25"/>
      <c r="L127" s="20"/>
      <c r="M127" s="19" t="s">
        <v>100</v>
      </c>
      <c r="N127" s="22"/>
    </row>
    <row r="128" ht="25.5" customHeight="1">
      <c r="A128" s="14" t="s">
        <v>212</v>
      </c>
      <c r="B128" s="15" t="s">
        <v>223</v>
      </c>
      <c r="C128" s="15" t="s">
        <v>29</v>
      </c>
      <c r="D128" s="15" t="s">
        <v>224</v>
      </c>
      <c r="E128" s="15" t="s">
        <v>32</v>
      </c>
      <c r="F128" s="15" t="s">
        <v>31</v>
      </c>
      <c r="G128" s="15" t="s">
        <v>32</v>
      </c>
      <c r="H128" s="15" t="s">
        <v>33</v>
      </c>
      <c r="I128" s="26" t="s">
        <v>225</v>
      </c>
      <c r="J128" s="15" t="s">
        <v>226</v>
      </c>
      <c r="K128" s="15"/>
      <c r="L128" s="16"/>
      <c r="M128" s="15" t="s">
        <v>100</v>
      </c>
      <c r="N128" s="23"/>
    </row>
    <row r="129" ht="25.5" customHeight="1">
      <c r="A129" s="18" t="s">
        <v>212</v>
      </c>
      <c r="B129" s="19" t="s">
        <v>227</v>
      </c>
      <c r="C129" s="19" t="s">
        <v>29</v>
      </c>
      <c r="D129" s="19" t="s">
        <v>224</v>
      </c>
      <c r="E129" s="19" t="s">
        <v>32</v>
      </c>
      <c r="F129" s="19" t="s">
        <v>31</v>
      </c>
      <c r="G129" s="19" t="s">
        <v>32</v>
      </c>
      <c r="H129" s="19" t="s">
        <v>33</v>
      </c>
      <c r="I129" s="26" t="s">
        <v>225</v>
      </c>
      <c r="J129" s="19" t="s">
        <v>226</v>
      </c>
      <c r="K129" s="19"/>
      <c r="L129" s="20"/>
      <c r="M129" s="19" t="s">
        <v>100</v>
      </c>
      <c r="N129" s="22"/>
    </row>
    <row r="130" ht="25.5" customHeight="1">
      <c r="A130" s="14" t="s">
        <v>212</v>
      </c>
      <c r="B130" s="15" t="s">
        <v>47</v>
      </c>
      <c r="C130" s="15" t="s">
        <v>29</v>
      </c>
      <c r="D130" s="15" t="s">
        <v>228</v>
      </c>
      <c r="E130" s="15" t="s">
        <v>32</v>
      </c>
      <c r="F130" s="15" t="s">
        <v>31</v>
      </c>
      <c r="G130" s="15" t="s">
        <v>32</v>
      </c>
      <c r="H130" s="15" t="s">
        <v>33</v>
      </c>
      <c r="I130" s="15" t="s">
        <v>34</v>
      </c>
      <c r="J130" s="15" t="s">
        <v>229</v>
      </c>
      <c r="K130" s="15"/>
      <c r="L130" s="16"/>
      <c r="M130" s="15" t="s">
        <v>141</v>
      </c>
      <c r="N130" s="23"/>
    </row>
    <row r="131" ht="25.5" customHeight="1">
      <c r="A131" s="18" t="s">
        <v>212</v>
      </c>
      <c r="B131" s="19" t="s">
        <v>230</v>
      </c>
      <c r="C131" s="19" t="s">
        <v>29</v>
      </c>
      <c r="D131" s="19" t="s">
        <v>228</v>
      </c>
      <c r="E131" s="19" t="s">
        <v>32</v>
      </c>
      <c r="F131" s="19" t="s">
        <v>31</v>
      </c>
      <c r="G131" s="19" t="s">
        <v>32</v>
      </c>
      <c r="H131" s="19" t="s">
        <v>33</v>
      </c>
      <c r="I131" s="19" t="s">
        <v>34</v>
      </c>
      <c r="J131" s="19" t="s">
        <v>229</v>
      </c>
      <c r="K131" s="19"/>
      <c r="L131" s="20"/>
      <c r="M131" s="19" t="s">
        <v>141</v>
      </c>
      <c r="N131" s="22"/>
    </row>
    <row r="132" ht="25.5" customHeight="1">
      <c r="A132" s="14" t="s">
        <v>212</v>
      </c>
      <c r="B132" s="15" t="s">
        <v>231</v>
      </c>
      <c r="C132" s="15" t="s">
        <v>29</v>
      </c>
      <c r="D132" s="15" t="s">
        <v>228</v>
      </c>
      <c r="E132" s="15" t="s">
        <v>32</v>
      </c>
      <c r="F132" s="15" t="s">
        <v>31</v>
      </c>
      <c r="G132" s="15" t="s">
        <v>32</v>
      </c>
      <c r="H132" s="15" t="s">
        <v>33</v>
      </c>
      <c r="I132" s="15" t="s">
        <v>34</v>
      </c>
      <c r="J132" s="15" t="s">
        <v>229</v>
      </c>
      <c r="K132" s="15"/>
      <c r="L132" s="16"/>
      <c r="M132" s="15" t="s">
        <v>141</v>
      </c>
      <c r="N132" s="23"/>
    </row>
    <row r="133" ht="25.5" customHeight="1">
      <c r="A133" s="18" t="s">
        <v>232</v>
      </c>
      <c r="B133" s="19" t="s">
        <v>83</v>
      </c>
      <c r="C133" s="19" t="s">
        <v>29</v>
      </c>
      <c r="D133" s="19" t="s">
        <v>233</v>
      </c>
      <c r="E133" s="19" t="s">
        <v>117</v>
      </c>
      <c r="F133" s="19" t="s">
        <v>117</v>
      </c>
      <c r="G133" s="19" t="s">
        <v>117</v>
      </c>
      <c r="H133" s="19" t="s">
        <v>117</v>
      </c>
      <c r="I133" s="19" t="s">
        <v>117</v>
      </c>
      <c r="J133" s="19" t="s">
        <v>234</v>
      </c>
      <c r="K133" s="19" t="s">
        <v>117</v>
      </c>
      <c r="L133" s="20"/>
      <c r="M133" s="19" t="s">
        <v>235</v>
      </c>
      <c r="N133" s="22"/>
    </row>
    <row r="134" ht="25.5" customHeight="1">
      <c r="A134" s="14" t="s">
        <v>232</v>
      </c>
      <c r="B134" s="15" t="s">
        <v>83</v>
      </c>
      <c r="C134" s="15" t="s">
        <v>29</v>
      </c>
      <c r="D134" s="15" t="s">
        <v>233</v>
      </c>
      <c r="E134" s="15" t="s">
        <v>117</v>
      </c>
      <c r="F134" s="15" t="s">
        <v>117</v>
      </c>
      <c r="G134" s="15" t="s">
        <v>117</v>
      </c>
      <c r="H134" s="15" t="s">
        <v>117</v>
      </c>
      <c r="I134" s="15" t="s">
        <v>117</v>
      </c>
      <c r="J134" s="15" t="s">
        <v>236</v>
      </c>
      <c r="K134" s="15" t="s">
        <v>117</v>
      </c>
      <c r="L134" s="16"/>
      <c r="M134" s="15" t="s">
        <v>235</v>
      </c>
      <c r="N134" s="23"/>
    </row>
    <row r="135" ht="25.5" customHeight="1">
      <c r="A135" s="18" t="s">
        <v>232</v>
      </c>
      <c r="B135" s="19" t="s">
        <v>83</v>
      </c>
      <c r="C135" s="19" t="s">
        <v>29</v>
      </c>
      <c r="D135" s="19" t="s">
        <v>233</v>
      </c>
      <c r="E135" s="19" t="s">
        <v>117</v>
      </c>
      <c r="F135" s="19" t="s">
        <v>117</v>
      </c>
      <c r="G135" s="19" t="s">
        <v>117</v>
      </c>
      <c r="H135" s="19" t="s">
        <v>117</v>
      </c>
      <c r="I135" s="19" t="s">
        <v>117</v>
      </c>
      <c r="J135" s="19" t="s">
        <v>237</v>
      </c>
      <c r="K135" s="19" t="s">
        <v>117</v>
      </c>
      <c r="L135" s="20"/>
      <c r="M135" s="19" t="s">
        <v>235</v>
      </c>
      <c r="N135" s="22"/>
    </row>
    <row r="136" ht="25.5" customHeight="1">
      <c r="A136" s="14" t="s">
        <v>232</v>
      </c>
      <c r="B136" s="15" t="s">
        <v>83</v>
      </c>
      <c r="C136" s="15" t="s">
        <v>29</v>
      </c>
      <c r="D136" s="15" t="s">
        <v>233</v>
      </c>
      <c r="E136" s="15" t="s">
        <v>117</v>
      </c>
      <c r="F136" s="15" t="s">
        <v>117</v>
      </c>
      <c r="G136" s="15" t="s">
        <v>117</v>
      </c>
      <c r="H136" s="15" t="s">
        <v>117</v>
      </c>
      <c r="I136" s="15" t="s">
        <v>117</v>
      </c>
      <c r="J136" s="15" t="s">
        <v>238</v>
      </c>
      <c r="K136" s="15" t="s">
        <v>117</v>
      </c>
      <c r="L136" s="16"/>
      <c r="M136" s="15" t="s">
        <v>235</v>
      </c>
      <c r="N136" s="23"/>
    </row>
    <row r="137" ht="25.5" customHeight="1">
      <c r="A137" s="18" t="s">
        <v>232</v>
      </c>
      <c r="B137" s="19" t="s">
        <v>83</v>
      </c>
      <c r="C137" s="19" t="s">
        <v>29</v>
      </c>
      <c r="D137" s="19" t="s">
        <v>233</v>
      </c>
      <c r="E137" s="19" t="s">
        <v>117</v>
      </c>
      <c r="F137" s="19" t="s">
        <v>117</v>
      </c>
      <c r="G137" s="19" t="s">
        <v>117</v>
      </c>
      <c r="H137" s="19" t="s">
        <v>117</v>
      </c>
      <c r="I137" s="19" t="s">
        <v>117</v>
      </c>
      <c r="J137" s="19" t="s">
        <v>239</v>
      </c>
      <c r="K137" s="19" t="s">
        <v>117</v>
      </c>
      <c r="L137" s="20"/>
      <c r="M137" s="19" t="s">
        <v>235</v>
      </c>
      <c r="N137" s="22"/>
    </row>
    <row r="138" ht="25.5" customHeight="1">
      <c r="A138" s="14" t="s">
        <v>232</v>
      </c>
      <c r="B138" s="15" t="s">
        <v>231</v>
      </c>
      <c r="C138" s="15" t="s">
        <v>29</v>
      </c>
      <c r="D138" s="15" t="s">
        <v>233</v>
      </c>
      <c r="E138" s="15" t="s">
        <v>117</v>
      </c>
      <c r="F138" s="15" t="s">
        <v>117</v>
      </c>
      <c r="G138" s="15" t="s">
        <v>117</v>
      </c>
      <c r="H138" s="15" t="s">
        <v>117</v>
      </c>
      <c r="I138" s="15" t="s">
        <v>117</v>
      </c>
      <c r="J138" s="15" t="s">
        <v>240</v>
      </c>
      <c r="K138" s="15" t="s">
        <v>117</v>
      </c>
      <c r="L138" s="16"/>
      <c r="M138" s="15" t="s">
        <v>235</v>
      </c>
      <c r="N138" s="23"/>
    </row>
    <row r="139" ht="25.5" customHeight="1">
      <c r="A139" s="18" t="s">
        <v>232</v>
      </c>
      <c r="B139" s="19" t="s">
        <v>83</v>
      </c>
      <c r="C139" s="19" t="s">
        <v>29</v>
      </c>
      <c r="D139" s="19" t="s">
        <v>233</v>
      </c>
      <c r="E139" s="19" t="s">
        <v>117</v>
      </c>
      <c r="F139" s="19" t="s">
        <v>117</v>
      </c>
      <c r="G139" s="19" t="s">
        <v>117</v>
      </c>
      <c r="H139" s="19" t="s">
        <v>117</v>
      </c>
      <c r="I139" s="19" t="s">
        <v>117</v>
      </c>
      <c r="J139" s="19" t="s">
        <v>241</v>
      </c>
      <c r="K139" s="19" t="s">
        <v>117</v>
      </c>
      <c r="L139" s="20"/>
      <c r="M139" s="19" t="s">
        <v>235</v>
      </c>
      <c r="N139" s="22"/>
    </row>
    <row r="140" ht="25.5" customHeight="1">
      <c r="A140" s="14" t="s">
        <v>232</v>
      </c>
      <c r="B140" s="15" t="s">
        <v>242</v>
      </c>
      <c r="C140" s="15" t="s">
        <v>29</v>
      </c>
      <c r="D140" s="15" t="s">
        <v>233</v>
      </c>
      <c r="E140" s="15" t="s">
        <v>117</v>
      </c>
      <c r="F140" s="15" t="s">
        <v>117</v>
      </c>
      <c r="G140" s="15" t="s">
        <v>117</v>
      </c>
      <c r="H140" s="15" t="s">
        <v>117</v>
      </c>
      <c r="I140" s="15" t="s">
        <v>117</v>
      </c>
      <c r="J140" s="15" t="s">
        <v>243</v>
      </c>
      <c r="K140" s="15" t="s">
        <v>117</v>
      </c>
      <c r="L140" s="16"/>
      <c r="M140" s="15" t="s">
        <v>235</v>
      </c>
      <c r="N140" s="23"/>
    </row>
    <row r="141" ht="25.5" customHeight="1">
      <c r="A141" s="18" t="s">
        <v>232</v>
      </c>
      <c r="B141" s="19" t="s">
        <v>83</v>
      </c>
      <c r="C141" s="19" t="s">
        <v>29</v>
      </c>
      <c r="D141" s="19" t="s">
        <v>233</v>
      </c>
      <c r="E141" s="19" t="s">
        <v>117</v>
      </c>
      <c r="F141" s="19" t="s">
        <v>117</v>
      </c>
      <c r="G141" s="19" t="s">
        <v>117</v>
      </c>
      <c r="H141" s="19" t="s">
        <v>117</v>
      </c>
      <c r="I141" s="19" t="s">
        <v>117</v>
      </c>
      <c r="J141" s="19" t="s">
        <v>244</v>
      </c>
      <c r="K141" s="19" t="s">
        <v>117</v>
      </c>
      <c r="L141" s="20"/>
      <c r="M141" s="19" t="s">
        <v>235</v>
      </c>
      <c r="N141" s="22"/>
    </row>
    <row r="142" ht="25.5" customHeight="1">
      <c r="A142" s="14" t="s">
        <v>245</v>
      </c>
      <c r="B142" s="15" t="s">
        <v>201</v>
      </c>
      <c r="C142" s="15" t="s">
        <v>29</v>
      </c>
      <c r="D142" s="15" t="s">
        <v>36</v>
      </c>
      <c r="E142" s="15" t="s">
        <v>32</v>
      </c>
      <c r="F142" s="15" t="s">
        <v>31</v>
      </c>
      <c r="G142" s="15" t="s">
        <v>32</v>
      </c>
      <c r="H142" s="15" t="s">
        <v>33</v>
      </c>
      <c r="I142" s="15" t="s">
        <v>34</v>
      </c>
      <c r="J142" s="15" t="s">
        <v>246</v>
      </c>
      <c r="K142" s="15"/>
      <c r="L142" s="16"/>
      <c r="M142" s="15" t="s">
        <v>36</v>
      </c>
      <c r="N142" s="23"/>
    </row>
    <row r="143" ht="25.5" customHeight="1">
      <c r="A143" s="18" t="s">
        <v>245</v>
      </c>
      <c r="B143" s="19" t="s">
        <v>247</v>
      </c>
      <c r="C143" s="19" t="s">
        <v>29</v>
      </c>
      <c r="D143" s="19" t="s">
        <v>248</v>
      </c>
      <c r="E143" s="19" t="s">
        <v>31</v>
      </c>
      <c r="F143" s="19" t="s">
        <v>32</v>
      </c>
      <c r="G143" s="19" t="s">
        <v>32</v>
      </c>
      <c r="H143" s="19" t="s">
        <v>33</v>
      </c>
      <c r="I143" s="19" t="s">
        <v>34</v>
      </c>
      <c r="J143" s="19" t="s">
        <v>249</v>
      </c>
      <c r="K143" s="19"/>
      <c r="L143" s="19" t="s">
        <v>250</v>
      </c>
      <c r="M143" s="19" t="s">
        <v>251</v>
      </c>
      <c r="N143" s="22"/>
    </row>
    <row r="144" ht="25.5" customHeight="1">
      <c r="A144" s="14" t="s">
        <v>245</v>
      </c>
      <c r="B144" s="15" t="s">
        <v>252</v>
      </c>
      <c r="C144" s="15" t="s">
        <v>29</v>
      </c>
      <c r="D144" s="15" t="s">
        <v>248</v>
      </c>
      <c r="E144" s="15" t="s">
        <v>31</v>
      </c>
      <c r="F144" s="15" t="s">
        <v>32</v>
      </c>
      <c r="G144" s="15" t="s">
        <v>32</v>
      </c>
      <c r="H144" s="15" t="s">
        <v>33</v>
      </c>
      <c r="I144" s="15" t="s">
        <v>34</v>
      </c>
      <c r="J144" s="15" t="s">
        <v>249</v>
      </c>
      <c r="K144" s="15"/>
      <c r="L144" s="15" t="s">
        <v>250</v>
      </c>
      <c r="M144" s="15" t="s">
        <v>251</v>
      </c>
      <c r="N144" s="23"/>
    </row>
    <row r="145" ht="25.5" customHeight="1">
      <c r="A145" s="18" t="s">
        <v>245</v>
      </c>
      <c r="B145" s="19" t="s">
        <v>211</v>
      </c>
      <c r="C145" s="19" t="s">
        <v>29</v>
      </c>
      <c r="D145" s="19" t="s">
        <v>253</v>
      </c>
      <c r="E145" s="19" t="s">
        <v>32</v>
      </c>
      <c r="F145" s="19" t="s">
        <v>32</v>
      </c>
      <c r="G145" s="19" t="s">
        <v>32</v>
      </c>
      <c r="H145" s="19" t="s">
        <v>33</v>
      </c>
      <c r="I145" s="19" t="s">
        <v>34</v>
      </c>
      <c r="J145" s="19" t="s">
        <v>249</v>
      </c>
      <c r="K145" s="19"/>
      <c r="L145" s="19" t="s">
        <v>250</v>
      </c>
      <c r="M145" s="19" t="s">
        <v>254</v>
      </c>
      <c r="N145" s="22"/>
    </row>
    <row r="146" ht="25.5" customHeight="1">
      <c r="A146" s="14" t="s">
        <v>245</v>
      </c>
      <c r="B146" s="15" t="s">
        <v>208</v>
      </c>
      <c r="C146" s="15" t="s">
        <v>29</v>
      </c>
      <c r="D146" s="15" t="s">
        <v>253</v>
      </c>
      <c r="E146" s="15" t="s">
        <v>32</v>
      </c>
      <c r="F146" s="15" t="s">
        <v>31</v>
      </c>
      <c r="G146" s="15" t="s">
        <v>32</v>
      </c>
      <c r="H146" s="15" t="s">
        <v>33</v>
      </c>
      <c r="I146" s="15" t="s">
        <v>34</v>
      </c>
      <c r="J146" s="15" t="s">
        <v>249</v>
      </c>
      <c r="K146" s="15"/>
      <c r="L146" s="16"/>
      <c r="M146" s="15" t="s">
        <v>254</v>
      </c>
      <c r="N146" s="23"/>
    </row>
    <row r="147" ht="25.5" customHeight="1">
      <c r="A147" s="18" t="s">
        <v>245</v>
      </c>
      <c r="B147" s="19" t="s">
        <v>44</v>
      </c>
      <c r="C147" s="19" t="s">
        <v>29</v>
      </c>
      <c r="D147" s="19" t="s">
        <v>253</v>
      </c>
      <c r="E147" s="19" t="s">
        <v>31</v>
      </c>
      <c r="F147" s="19" t="s">
        <v>31</v>
      </c>
      <c r="G147" s="19" t="s">
        <v>32</v>
      </c>
      <c r="H147" s="19" t="s">
        <v>33</v>
      </c>
      <c r="I147" s="19" t="s">
        <v>34</v>
      </c>
      <c r="J147" s="19" t="s">
        <v>249</v>
      </c>
      <c r="K147" s="19"/>
      <c r="L147" s="20"/>
      <c r="M147" s="19" t="s">
        <v>254</v>
      </c>
      <c r="N147" s="22"/>
    </row>
    <row r="148" ht="25.5" customHeight="1">
      <c r="A148" s="14" t="s">
        <v>245</v>
      </c>
      <c r="B148" s="15" t="s">
        <v>200</v>
      </c>
      <c r="C148" s="15" t="s">
        <v>255</v>
      </c>
      <c r="D148" s="15" t="s">
        <v>253</v>
      </c>
      <c r="E148" s="15" t="s">
        <v>31</v>
      </c>
      <c r="F148" s="15" t="s">
        <v>31</v>
      </c>
      <c r="G148" s="15" t="s">
        <v>32</v>
      </c>
      <c r="H148" s="15" t="s">
        <v>33</v>
      </c>
      <c r="I148" s="15" t="s">
        <v>34</v>
      </c>
      <c r="J148" s="15" t="s">
        <v>249</v>
      </c>
      <c r="K148" s="15"/>
      <c r="L148" s="16"/>
      <c r="M148" s="15" t="s">
        <v>254</v>
      </c>
      <c r="N148" s="23"/>
    </row>
    <row r="149" ht="25.5" customHeight="1">
      <c r="A149" s="18" t="s">
        <v>211</v>
      </c>
      <c r="B149" s="19" t="s">
        <v>201</v>
      </c>
      <c r="C149" s="19" t="s">
        <v>69</v>
      </c>
      <c r="D149" s="19" t="s">
        <v>36</v>
      </c>
      <c r="E149" s="19" t="s">
        <v>34</v>
      </c>
      <c r="F149" s="19" t="s">
        <v>34</v>
      </c>
      <c r="G149" s="19" t="s">
        <v>34</v>
      </c>
      <c r="H149" s="19" t="s">
        <v>34</v>
      </c>
      <c r="I149" s="19" t="s">
        <v>34</v>
      </c>
      <c r="J149" s="19" t="s">
        <v>256</v>
      </c>
      <c r="K149" s="19"/>
      <c r="L149" s="20"/>
      <c r="M149" s="19" t="s">
        <v>36</v>
      </c>
      <c r="N149" s="22"/>
    </row>
    <row r="150" ht="25.5" customHeight="1">
      <c r="A150" s="14" t="s">
        <v>211</v>
      </c>
      <c r="B150" s="15" t="s">
        <v>201</v>
      </c>
      <c r="C150" s="15" t="s">
        <v>69</v>
      </c>
      <c r="D150" s="15" t="s">
        <v>257</v>
      </c>
      <c r="E150" s="15" t="s">
        <v>34</v>
      </c>
      <c r="F150" s="15" t="s">
        <v>34</v>
      </c>
      <c r="G150" s="15" t="s">
        <v>34</v>
      </c>
      <c r="H150" s="15" t="s">
        <v>34</v>
      </c>
      <c r="I150" s="15" t="s">
        <v>34</v>
      </c>
      <c r="J150" s="15" t="s">
        <v>257</v>
      </c>
      <c r="K150" s="15"/>
      <c r="L150" s="16"/>
      <c r="M150" s="15" t="s">
        <v>36</v>
      </c>
      <c r="N150" s="23"/>
    </row>
    <row r="151" ht="25.5" customHeight="1">
      <c r="A151" s="18" t="s">
        <v>211</v>
      </c>
      <c r="B151" s="19" t="s">
        <v>258</v>
      </c>
      <c r="C151" s="19" t="s">
        <v>69</v>
      </c>
      <c r="D151" s="19" t="s">
        <v>257</v>
      </c>
      <c r="E151" s="19" t="s">
        <v>34</v>
      </c>
      <c r="F151" s="19" t="s">
        <v>34</v>
      </c>
      <c r="G151" s="19" t="s">
        <v>34</v>
      </c>
      <c r="H151" s="19" t="s">
        <v>34</v>
      </c>
      <c r="I151" s="19" t="s">
        <v>34</v>
      </c>
      <c r="J151" s="19" t="s">
        <v>259</v>
      </c>
      <c r="K151" s="19"/>
      <c r="L151" s="20"/>
      <c r="M151" s="19" t="s">
        <v>100</v>
      </c>
      <c r="N151" s="22"/>
    </row>
    <row r="152" ht="25.5" customHeight="1">
      <c r="A152" s="14" t="s">
        <v>211</v>
      </c>
      <c r="B152" s="15" t="s">
        <v>213</v>
      </c>
      <c r="C152" s="15" t="s">
        <v>69</v>
      </c>
      <c r="D152" s="15" t="s">
        <v>257</v>
      </c>
      <c r="E152" s="15" t="s">
        <v>34</v>
      </c>
      <c r="F152" s="15" t="s">
        <v>34</v>
      </c>
      <c r="G152" s="15" t="s">
        <v>34</v>
      </c>
      <c r="H152" s="15" t="s">
        <v>34</v>
      </c>
      <c r="I152" s="15" t="s">
        <v>34</v>
      </c>
      <c r="J152" s="15" t="s">
        <v>259</v>
      </c>
      <c r="K152" s="15"/>
      <c r="L152" s="16"/>
      <c r="M152" s="15" t="s">
        <v>100</v>
      </c>
      <c r="N152" s="23"/>
    </row>
    <row r="153" ht="25.5" customHeight="1">
      <c r="A153" s="18" t="s">
        <v>211</v>
      </c>
      <c r="B153" s="19" t="s">
        <v>260</v>
      </c>
      <c r="C153" s="19" t="s">
        <v>69</v>
      </c>
      <c r="D153" s="19" t="s">
        <v>257</v>
      </c>
      <c r="E153" s="19" t="s">
        <v>34</v>
      </c>
      <c r="F153" s="19" t="s">
        <v>34</v>
      </c>
      <c r="G153" s="19" t="s">
        <v>34</v>
      </c>
      <c r="H153" s="19" t="s">
        <v>34</v>
      </c>
      <c r="I153" s="19" t="s">
        <v>34</v>
      </c>
      <c r="J153" s="19" t="s">
        <v>259</v>
      </c>
      <c r="K153" s="19"/>
      <c r="L153" s="20"/>
      <c r="M153" s="19" t="s">
        <v>100</v>
      </c>
      <c r="N153" s="22"/>
    </row>
    <row r="154" ht="25.5" customHeight="1">
      <c r="A154" s="14" t="s">
        <v>211</v>
      </c>
      <c r="B154" s="15" t="s">
        <v>261</v>
      </c>
      <c r="C154" s="15" t="s">
        <v>69</v>
      </c>
      <c r="D154" s="15" t="s">
        <v>257</v>
      </c>
      <c r="E154" s="15" t="s">
        <v>34</v>
      </c>
      <c r="F154" s="15" t="s">
        <v>34</v>
      </c>
      <c r="G154" s="15" t="s">
        <v>34</v>
      </c>
      <c r="H154" s="15" t="s">
        <v>34</v>
      </c>
      <c r="I154" s="15" t="s">
        <v>34</v>
      </c>
      <c r="J154" s="15" t="s">
        <v>259</v>
      </c>
      <c r="K154" s="15"/>
      <c r="L154" s="16"/>
      <c r="M154" s="15" t="s">
        <v>100</v>
      </c>
      <c r="N154" s="23"/>
    </row>
    <row r="155" ht="25.5" customHeight="1">
      <c r="A155" s="18" t="s">
        <v>211</v>
      </c>
      <c r="B155" s="19" t="s">
        <v>262</v>
      </c>
      <c r="C155" s="19" t="s">
        <v>69</v>
      </c>
      <c r="D155" s="19" t="s">
        <v>257</v>
      </c>
      <c r="E155" s="19" t="s">
        <v>34</v>
      </c>
      <c r="F155" s="19" t="s">
        <v>34</v>
      </c>
      <c r="G155" s="19" t="s">
        <v>34</v>
      </c>
      <c r="H155" s="19" t="s">
        <v>34</v>
      </c>
      <c r="I155" s="19" t="s">
        <v>34</v>
      </c>
      <c r="J155" s="19" t="s">
        <v>259</v>
      </c>
      <c r="K155" s="19"/>
      <c r="L155" s="20"/>
      <c r="M155" s="19" t="s">
        <v>100</v>
      </c>
      <c r="N155" s="22"/>
    </row>
    <row r="156" ht="25.5" customHeight="1">
      <c r="A156" s="14" t="s">
        <v>211</v>
      </c>
      <c r="B156" s="15" t="s">
        <v>263</v>
      </c>
      <c r="C156" s="15" t="s">
        <v>69</v>
      </c>
      <c r="D156" s="15" t="s">
        <v>257</v>
      </c>
      <c r="E156" s="15" t="s">
        <v>34</v>
      </c>
      <c r="F156" s="15" t="s">
        <v>34</v>
      </c>
      <c r="G156" s="15" t="s">
        <v>34</v>
      </c>
      <c r="H156" s="15" t="s">
        <v>34</v>
      </c>
      <c r="I156" s="15" t="s">
        <v>34</v>
      </c>
      <c r="J156" s="15" t="s">
        <v>259</v>
      </c>
      <c r="K156" s="15"/>
      <c r="L156" s="16"/>
      <c r="M156" s="15" t="s">
        <v>100</v>
      </c>
      <c r="N156" s="23"/>
    </row>
    <row r="157" ht="25.5" customHeight="1">
      <c r="A157" s="18" t="s">
        <v>211</v>
      </c>
      <c r="B157" s="19" t="s">
        <v>264</v>
      </c>
      <c r="C157" s="19" t="s">
        <v>69</v>
      </c>
      <c r="D157" s="19" t="s">
        <v>257</v>
      </c>
      <c r="E157" s="19" t="s">
        <v>34</v>
      </c>
      <c r="F157" s="19" t="s">
        <v>34</v>
      </c>
      <c r="G157" s="19" t="s">
        <v>34</v>
      </c>
      <c r="H157" s="19" t="s">
        <v>34</v>
      </c>
      <c r="I157" s="19" t="s">
        <v>34</v>
      </c>
      <c r="J157" s="19" t="s">
        <v>259</v>
      </c>
      <c r="K157" s="19"/>
      <c r="L157" s="20"/>
      <c r="M157" s="19" t="s">
        <v>265</v>
      </c>
      <c r="N157" s="22"/>
    </row>
    <row r="158" ht="25.5" customHeight="1">
      <c r="A158" s="14" t="s">
        <v>211</v>
      </c>
      <c r="B158" s="15" t="s">
        <v>266</v>
      </c>
      <c r="C158" s="15" t="s">
        <v>69</v>
      </c>
      <c r="D158" s="15" t="s">
        <v>257</v>
      </c>
      <c r="E158" s="15" t="s">
        <v>34</v>
      </c>
      <c r="F158" s="15" t="s">
        <v>34</v>
      </c>
      <c r="G158" s="15" t="s">
        <v>34</v>
      </c>
      <c r="H158" s="15" t="s">
        <v>34</v>
      </c>
      <c r="I158" s="15" t="s">
        <v>34</v>
      </c>
      <c r="J158" s="15" t="s">
        <v>259</v>
      </c>
      <c r="K158" s="15"/>
      <c r="L158" s="16"/>
      <c r="M158" s="15" t="s">
        <v>100</v>
      </c>
      <c r="N158" s="23"/>
    </row>
    <row r="159" ht="25.5" customHeight="1">
      <c r="A159" s="18" t="s">
        <v>211</v>
      </c>
      <c r="B159" s="19" t="s">
        <v>267</v>
      </c>
      <c r="C159" s="19" t="s">
        <v>69</v>
      </c>
      <c r="D159" s="19" t="s">
        <v>257</v>
      </c>
      <c r="E159" s="19" t="s">
        <v>34</v>
      </c>
      <c r="F159" s="19" t="s">
        <v>34</v>
      </c>
      <c r="G159" s="19" t="s">
        <v>34</v>
      </c>
      <c r="H159" s="19" t="s">
        <v>34</v>
      </c>
      <c r="I159" s="19" t="s">
        <v>34</v>
      </c>
      <c r="J159" s="19" t="s">
        <v>259</v>
      </c>
      <c r="K159" s="19"/>
      <c r="L159" s="20"/>
      <c r="M159" s="19" t="s">
        <v>100</v>
      </c>
      <c r="N159" s="22"/>
    </row>
    <row r="160" ht="25.5" customHeight="1">
      <c r="A160" s="14" t="s">
        <v>211</v>
      </c>
      <c r="B160" s="15" t="s">
        <v>268</v>
      </c>
      <c r="C160" s="15" t="s">
        <v>69</v>
      </c>
      <c r="D160" s="15" t="s">
        <v>257</v>
      </c>
      <c r="E160" s="15" t="s">
        <v>34</v>
      </c>
      <c r="F160" s="15" t="s">
        <v>34</v>
      </c>
      <c r="G160" s="15" t="s">
        <v>34</v>
      </c>
      <c r="H160" s="15" t="s">
        <v>34</v>
      </c>
      <c r="I160" s="15" t="s">
        <v>34</v>
      </c>
      <c r="J160" s="15" t="s">
        <v>259</v>
      </c>
      <c r="K160" s="15"/>
      <c r="L160" s="16"/>
      <c r="M160" s="15" t="s">
        <v>100</v>
      </c>
      <c r="N160" s="23"/>
    </row>
    <row r="161" ht="25.5" customHeight="1">
      <c r="A161" s="18" t="s">
        <v>211</v>
      </c>
      <c r="B161" s="19" t="s">
        <v>269</v>
      </c>
      <c r="C161" s="19" t="s">
        <v>69</v>
      </c>
      <c r="D161" s="19" t="s">
        <v>257</v>
      </c>
      <c r="E161" s="19" t="s">
        <v>34</v>
      </c>
      <c r="F161" s="19" t="s">
        <v>34</v>
      </c>
      <c r="G161" s="19" t="s">
        <v>34</v>
      </c>
      <c r="H161" s="19" t="s">
        <v>34</v>
      </c>
      <c r="I161" s="19" t="s">
        <v>34</v>
      </c>
      <c r="J161" s="19" t="s">
        <v>259</v>
      </c>
      <c r="K161" s="19"/>
      <c r="L161" s="20"/>
      <c r="M161" s="19" t="s">
        <v>100</v>
      </c>
      <c r="N161" s="22"/>
    </row>
    <row r="162" ht="25.5" customHeight="1">
      <c r="A162" s="14" t="s">
        <v>211</v>
      </c>
      <c r="B162" s="15" t="s">
        <v>270</v>
      </c>
      <c r="C162" s="15" t="s">
        <v>69</v>
      </c>
      <c r="D162" s="15" t="s">
        <v>257</v>
      </c>
      <c r="E162" s="15" t="s">
        <v>34</v>
      </c>
      <c r="F162" s="15" t="s">
        <v>34</v>
      </c>
      <c r="G162" s="15" t="s">
        <v>34</v>
      </c>
      <c r="H162" s="15" t="s">
        <v>34</v>
      </c>
      <c r="I162" s="15" t="s">
        <v>34</v>
      </c>
      <c r="J162" s="15" t="s">
        <v>259</v>
      </c>
      <c r="K162" s="15"/>
      <c r="L162" s="16"/>
      <c r="M162" s="15" t="s">
        <v>100</v>
      </c>
      <c r="N162" s="23"/>
    </row>
    <row r="163" ht="25.5" customHeight="1">
      <c r="A163" s="18" t="s">
        <v>211</v>
      </c>
      <c r="B163" s="19" t="s">
        <v>271</v>
      </c>
      <c r="C163" s="19" t="s">
        <v>69</v>
      </c>
      <c r="D163" s="19" t="s">
        <v>257</v>
      </c>
      <c r="E163" s="19" t="s">
        <v>34</v>
      </c>
      <c r="F163" s="19" t="s">
        <v>34</v>
      </c>
      <c r="G163" s="19" t="s">
        <v>34</v>
      </c>
      <c r="H163" s="19" t="s">
        <v>34</v>
      </c>
      <c r="I163" s="19" t="s">
        <v>34</v>
      </c>
      <c r="J163" s="19" t="s">
        <v>259</v>
      </c>
      <c r="K163" s="19"/>
      <c r="L163" s="20"/>
      <c r="M163" s="19" t="s">
        <v>100</v>
      </c>
      <c r="N163" s="22"/>
    </row>
    <row r="164" ht="25.5" customHeight="1">
      <c r="A164" s="14" t="s">
        <v>211</v>
      </c>
      <c r="B164" s="15" t="s">
        <v>272</v>
      </c>
      <c r="C164" s="15" t="s">
        <v>69</v>
      </c>
      <c r="D164" s="15" t="s">
        <v>257</v>
      </c>
      <c r="E164" s="15" t="s">
        <v>34</v>
      </c>
      <c r="F164" s="15" t="s">
        <v>34</v>
      </c>
      <c r="G164" s="15" t="s">
        <v>34</v>
      </c>
      <c r="H164" s="15" t="s">
        <v>34</v>
      </c>
      <c r="I164" s="15" t="s">
        <v>34</v>
      </c>
      <c r="J164" s="15" t="s">
        <v>259</v>
      </c>
      <c r="K164" s="15"/>
      <c r="L164" s="16"/>
      <c r="M164" s="15" t="s">
        <v>100</v>
      </c>
      <c r="N164" s="23"/>
    </row>
    <row r="165" ht="25.5" customHeight="1">
      <c r="A165" s="18" t="s">
        <v>211</v>
      </c>
      <c r="B165" s="19" t="s">
        <v>273</v>
      </c>
      <c r="C165" s="19" t="s">
        <v>69</v>
      </c>
      <c r="D165" s="19" t="s">
        <v>257</v>
      </c>
      <c r="E165" s="19" t="s">
        <v>34</v>
      </c>
      <c r="F165" s="19" t="s">
        <v>34</v>
      </c>
      <c r="G165" s="19" t="s">
        <v>34</v>
      </c>
      <c r="H165" s="19" t="s">
        <v>34</v>
      </c>
      <c r="I165" s="19" t="s">
        <v>34</v>
      </c>
      <c r="J165" s="19" t="s">
        <v>259</v>
      </c>
      <c r="K165" s="19"/>
      <c r="L165" s="20"/>
      <c r="M165" s="19" t="s">
        <v>100</v>
      </c>
      <c r="N165" s="22"/>
    </row>
    <row r="166" ht="25.5" customHeight="1">
      <c r="A166" s="14" t="s">
        <v>211</v>
      </c>
      <c r="B166" s="15" t="s">
        <v>274</v>
      </c>
      <c r="C166" s="15" t="s">
        <v>69</v>
      </c>
      <c r="D166" s="15" t="s">
        <v>257</v>
      </c>
      <c r="E166" s="15" t="s">
        <v>34</v>
      </c>
      <c r="F166" s="15" t="s">
        <v>34</v>
      </c>
      <c r="G166" s="15" t="s">
        <v>34</v>
      </c>
      <c r="H166" s="15" t="s">
        <v>34</v>
      </c>
      <c r="I166" s="15" t="s">
        <v>34</v>
      </c>
      <c r="J166" s="15" t="s">
        <v>259</v>
      </c>
      <c r="K166" s="15"/>
      <c r="L166" s="16"/>
      <c r="M166" s="15" t="s">
        <v>100</v>
      </c>
      <c r="N166" s="23"/>
    </row>
    <row r="167" ht="25.5" customHeight="1">
      <c r="A167" s="18" t="s">
        <v>211</v>
      </c>
      <c r="B167" s="19" t="s">
        <v>275</v>
      </c>
      <c r="C167" s="19" t="s">
        <v>69</v>
      </c>
      <c r="D167" s="19" t="s">
        <v>257</v>
      </c>
      <c r="E167" s="19" t="s">
        <v>34</v>
      </c>
      <c r="F167" s="19" t="s">
        <v>34</v>
      </c>
      <c r="G167" s="19" t="s">
        <v>34</v>
      </c>
      <c r="H167" s="19" t="s">
        <v>34</v>
      </c>
      <c r="I167" s="19" t="s">
        <v>34</v>
      </c>
      <c r="J167" s="19" t="s">
        <v>259</v>
      </c>
      <c r="K167" s="19"/>
      <c r="L167" s="20"/>
      <c r="M167" s="19" t="s">
        <v>100</v>
      </c>
      <c r="N167" s="22"/>
    </row>
    <row r="168" ht="25.5" customHeight="1">
      <c r="A168" s="14" t="s">
        <v>211</v>
      </c>
      <c r="B168" s="15" t="s">
        <v>110</v>
      </c>
      <c r="C168" s="15" t="s">
        <v>69</v>
      </c>
      <c r="D168" s="15" t="s">
        <v>111</v>
      </c>
      <c r="E168" s="15" t="s">
        <v>34</v>
      </c>
      <c r="F168" s="15" t="s">
        <v>34</v>
      </c>
      <c r="G168" s="15" t="s">
        <v>34</v>
      </c>
      <c r="H168" s="15" t="s">
        <v>34</v>
      </c>
      <c r="I168" s="15" t="s">
        <v>34</v>
      </c>
      <c r="J168" s="15" t="s">
        <v>90</v>
      </c>
      <c r="K168" s="15"/>
      <c r="L168" s="16"/>
      <c r="M168" s="15" t="s">
        <v>112</v>
      </c>
      <c r="N168" s="23"/>
    </row>
    <row r="169" ht="25.5" customHeight="1">
      <c r="A169" s="18" t="s">
        <v>211</v>
      </c>
      <c r="B169" s="19" t="s">
        <v>276</v>
      </c>
      <c r="C169" s="19" t="s">
        <v>69</v>
      </c>
      <c r="D169" s="19" t="s">
        <v>108</v>
      </c>
      <c r="E169" s="19" t="s">
        <v>34</v>
      </c>
      <c r="F169" s="19" t="s">
        <v>34</v>
      </c>
      <c r="G169" s="19" t="s">
        <v>34</v>
      </c>
      <c r="H169" s="19" t="s">
        <v>34</v>
      </c>
      <c r="I169" s="19" t="s">
        <v>34</v>
      </c>
      <c r="J169" s="19" t="s">
        <v>90</v>
      </c>
      <c r="K169" s="19"/>
      <c r="L169" s="20"/>
      <c r="M169" s="19" t="s">
        <v>109</v>
      </c>
      <c r="N169" s="22"/>
    </row>
    <row r="170" ht="25.5" customHeight="1">
      <c r="A170" s="14" t="s">
        <v>211</v>
      </c>
      <c r="B170" s="15" t="s">
        <v>277</v>
      </c>
      <c r="C170" s="15" t="s">
        <v>69</v>
      </c>
      <c r="D170" s="15" t="s">
        <v>111</v>
      </c>
      <c r="E170" s="15" t="s">
        <v>34</v>
      </c>
      <c r="F170" s="15" t="s">
        <v>34</v>
      </c>
      <c r="G170" s="15" t="s">
        <v>34</v>
      </c>
      <c r="H170" s="15" t="s">
        <v>34</v>
      </c>
      <c r="I170" s="15" t="s">
        <v>34</v>
      </c>
      <c r="J170" s="15" t="s">
        <v>90</v>
      </c>
      <c r="K170" s="15"/>
      <c r="L170" s="16"/>
      <c r="M170" s="15" t="s">
        <v>112</v>
      </c>
      <c r="N170" s="23"/>
    </row>
    <row r="171" ht="25.5" customHeight="1">
      <c r="A171" s="18" t="s">
        <v>211</v>
      </c>
      <c r="B171" s="19" t="s">
        <v>113</v>
      </c>
      <c r="C171" s="19" t="s">
        <v>69</v>
      </c>
      <c r="D171" s="19" t="s">
        <v>108</v>
      </c>
      <c r="E171" s="19" t="s">
        <v>34</v>
      </c>
      <c r="F171" s="19" t="s">
        <v>34</v>
      </c>
      <c r="G171" s="19" t="s">
        <v>34</v>
      </c>
      <c r="H171" s="19" t="s">
        <v>34</v>
      </c>
      <c r="I171" s="19" t="s">
        <v>34</v>
      </c>
      <c r="J171" s="19" t="s">
        <v>90</v>
      </c>
      <c r="K171" s="19"/>
      <c r="L171" s="20"/>
      <c r="M171" s="19" t="s">
        <v>109</v>
      </c>
      <c r="N171" s="22"/>
    </row>
    <row r="172" ht="25.5" customHeight="1">
      <c r="A172" s="14" t="s">
        <v>211</v>
      </c>
      <c r="B172" s="15" t="s">
        <v>278</v>
      </c>
      <c r="C172" s="15" t="s">
        <v>69</v>
      </c>
      <c r="D172" s="15" t="s">
        <v>111</v>
      </c>
      <c r="E172" s="15" t="s">
        <v>34</v>
      </c>
      <c r="F172" s="15" t="s">
        <v>34</v>
      </c>
      <c r="G172" s="15" t="s">
        <v>34</v>
      </c>
      <c r="H172" s="15" t="s">
        <v>34</v>
      </c>
      <c r="I172" s="15" t="s">
        <v>34</v>
      </c>
      <c r="J172" s="15" t="s">
        <v>90</v>
      </c>
      <c r="K172" s="15"/>
      <c r="L172" s="16"/>
      <c r="M172" s="15" t="s">
        <v>112</v>
      </c>
      <c r="N172" s="23"/>
    </row>
    <row r="173" ht="25.5" customHeight="1">
      <c r="A173" s="18" t="s">
        <v>211</v>
      </c>
      <c r="B173" s="19" t="s">
        <v>279</v>
      </c>
      <c r="C173" s="19" t="s">
        <v>69</v>
      </c>
      <c r="D173" s="19" t="s">
        <v>108</v>
      </c>
      <c r="E173" s="19" t="s">
        <v>34</v>
      </c>
      <c r="F173" s="19" t="s">
        <v>34</v>
      </c>
      <c r="G173" s="19" t="s">
        <v>34</v>
      </c>
      <c r="H173" s="19" t="s">
        <v>34</v>
      </c>
      <c r="I173" s="19" t="s">
        <v>34</v>
      </c>
      <c r="J173" s="19" t="s">
        <v>90</v>
      </c>
      <c r="K173" s="19"/>
      <c r="L173" s="20"/>
      <c r="M173" s="19" t="s">
        <v>251</v>
      </c>
      <c r="N173" s="22"/>
    </row>
    <row r="174" ht="25.5" customHeight="1">
      <c r="A174" s="14" t="s">
        <v>211</v>
      </c>
      <c r="B174" s="15" t="s">
        <v>280</v>
      </c>
      <c r="C174" s="15" t="s">
        <v>69</v>
      </c>
      <c r="D174" s="15" t="s">
        <v>108</v>
      </c>
      <c r="E174" s="15" t="s">
        <v>34</v>
      </c>
      <c r="F174" s="15" t="s">
        <v>34</v>
      </c>
      <c r="G174" s="15" t="s">
        <v>34</v>
      </c>
      <c r="H174" s="15" t="s">
        <v>34</v>
      </c>
      <c r="I174" s="15" t="s">
        <v>34</v>
      </c>
      <c r="J174" s="15" t="s">
        <v>90</v>
      </c>
      <c r="K174" s="15"/>
      <c r="L174" s="16"/>
      <c r="M174" s="15" t="s">
        <v>251</v>
      </c>
      <c r="N174" s="23"/>
    </row>
    <row r="175" ht="25.5" customHeight="1">
      <c r="A175" s="18" t="s">
        <v>281</v>
      </c>
      <c r="B175" s="19" t="s">
        <v>282</v>
      </c>
      <c r="C175" s="19" t="s">
        <v>29</v>
      </c>
      <c r="D175" s="19" t="s">
        <v>36</v>
      </c>
      <c r="E175" s="19" t="s">
        <v>32</v>
      </c>
      <c r="F175" s="19" t="s">
        <v>31</v>
      </c>
      <c r="G175" s="19" t="s">
        <v>32</v>
      </c>
      <c r="H175" s="19" t="s">
        <v>33</v>
      </c>
      <c r="I175" s="19" t="s">
        <v>34</v>
      </c>
      <c r="J175" s="19" t="s">
        <v>90</v>
      </c>
      <c r="K175" s="19"/>
      <c r="L175" s="20"/>
      <c r="M175" s="19" t="s">
        <v>36</v>
      </c>
      <c r="N175" s="22"/>
    </row>
    <row r="176" ht="25.5" customHeight="1">
      <c r="A176" s="14" t="s">
        <v>281</v>
      </c>
      <c r="B176" s="15" t="s">
        <v>283</v>
      </c>
      <c r="C176" s="15" t="s">
        <v>29</v>
      </c>
      <c r="D176" s="15" t="s">
        <v>36</v>
      </c>
      <c r="E176" s="15" t="s">
        <v>32</v>
      </c>
      <c r="F176" s="15" t="s">
        <v>31</v>
      </c>
      <c r="G176" s="15" t="s">
        <v>32</v>
      </c>
      <c r="H176" s="15" t="s">
        <v>33</v>
      </c>
      <c r="I176" s="15" t="s">
        <v>34</v>
      </c>
      <c r="J176" s="15" t="s">
        <v>90</v>
      </c>
      <c r="K176" s="15"/>
      <c r="L176" s="16"/>
      <c r="M176" s="15" t="s">
        <v>36</v>
      </c>
      <c r="N176" s="23"/>
    </row>
    <row r="177" ht="25.5" customHeight="1">
      <c r="A177" s="18" t="s">
        <v>281</v>
      </c>
      <c r="B177" s="19" t="s">
        <v>284</v>
      </c>
      <c r="C177" s="19" t="s">
        <v>29</v>
      </c>
      <c r="D177" s="19" t="s">
        <v>36</v>
      </c>
      <c r="E177" s="19" t="s">
        <v>32</v>
      </c>
      <c r="F177" s="19" t="s">
        <v>31</v>
      </c>
      <c r="G177" s="19" t="s">
        <v>32</v>
      </c>
      <c r="H177" s="19" t="s">
        <v>33</v>
      </c>
      <c r="I177" s="19" t="s">
        <v>34</v>
      </c>
      <c r="J177" s="19" t="s">
        <v>90</v>
      </c>
      <c r="K177" s="19"/>
      <c r="L177" s="20"/>
      <c r="M177" s="19" t="s">
        <v>36</v>
      </c>
      <c r="N177" s="22"/>
    </row>
    <row r="178" ht="25.5" customHeight="1">
      <c r="A178" s="14" t="s">
        <v>281</v>
      </c>
      <c r="B178" s="15" t="s">
        <v>285</v>
      </c>
      <c r="C178" s="15" t="s">
        <v>29</v>
      </c>
      <c r="D178" s="15" t="s">
        <v>286</v>
      </c>
      <c r="E178" s="15" t="s">
        <v>32</v>
      </c>
      <c r="F178" s="15" t="s">
        <v>31</v>
      </c>
      <c r="G178" s="15" t="s">
        <v>32</v>
      </c>
      <c r="H178" s="15" t="s">
        <v>33</v>
      </c>
      <c r="I178" s="15" t="s">
        <v>34</v>
      </c>
      <c r="J178" s="15" t="s">
        <v>90</v>
      </c>
      <c r="K178" s="15"/>
      <c r="L178" s="16"/>
      <c r="M178" s="15" t="s">
        <v>287</v>
      </c>
      <c r="N178" s="23"/>
    </row>
    <row r="179" ht="25.5" customHeight="1">
      <c r="A179" s="18" t="s">
        <v>281</v>
      </c>
      <c r="B179" s="19" t="s">
        <v>288</v>
      </c>
      <c r="C179" s="19" t="s">
        <v>29</v>
      </c>
      <c r="D179" s="19" t="s">
        <v>289</v>
      </c>
      <c r="E179" s="19" t="s">
        <v>32</v>
      </c>
      <c r="F179" s="19" t="s">
        <v>31</v>
      </c>
      <c r="G179" s="19" t="s">
        <v>32</v>
      </c>
      <c r="H179" s="20"/>
      <c r="I179" s="19" t="s">
        <v>34</v>
      </c>
      <c r="J179" s="19" t="s">
        <v>290</v>
      </c>
      <c r="K179" s="19"/>
      <c r="L179" s="20"/>
      <c r="M179" s="19" t="s">
        <v>289</v>
      </c>
      <c r="N179" s="22"/>
    </row>
    <row r="180" ht="25.5" customHeight="1">
      <c r="A180" s="14" t="s">
        <v>281</v>
      </c>
      <c r="B180" s="15" t="s">
        <v>291</v>
      </c>
      <c r="C180" s="15" t="s">
        <v>29</v>
      </c>
      <c r="D180" s="15" t="s">
        <v>292</v>
      </c>
      <c r="E180" s="15" t="s">
        <v>32</v>
      </c>
      <c r="F180" s="15" t="s">
        <v>34</v>
      </c>
      <c r="G180" s="15" t="s">
        <v>32</v>
      </c>
      <c r="H180" s="15" t="s">
        <v>173</v>
      </c>
      <c r="I180" s="15" t="s">
        <v>34</v>
      </c>
      <c r="J180" s="15" t="s">
        <v>293</v>
      </c>
      <c r="K180" s="15"/>
      <c r="L180" s="16"/>
      <c r="M180" s="15" t="s">
        <v>170</v>
      </c>
      <c r="N180" s="23"/>
    </row>
    <row r="181" ht="25.5" customHeight="1">
      <c r="A181" s="18" t="s">
        <v>281</v>
      </c>
      <c r="B181" s="19" t="s">
        <v>294</v>
      </c>
      <c r="C181" s="19" t="s">
        <v>29</v>
      </c>
      <c r="D181" s="19" t="s">
        <v>295</v>
      </c>
      <c r="E181" s="19" t="s">
        <v>32</v>
      </c>
      <c r="F181" s="19" t="s">
        <v>34</v>
      </c>
      <c r="G181" s="19" t="s">
        <v>32</v>
      </c>
      <c r="H181" s="19" t="s">
        <v>173</v>
      </c>
      <c r="I181" s="19" t="s">
        <v>34</v>
      </c>
      <c r="J181" s="19" t="s">
        <v>296</v>
      </c>
      <c r="K181" s="19" t="s">
        <v>32</v>
      </c>
      <c r="L181" s="20"/>
      <c r="M181" s="19" t="s">
        <v>170</v>
      </c>
      <c r="N181" s="22"/>
    </row>
    <row r="182" ht="25.5" customHeight="1">
      <c r="A182" s="14" t="s">
        <v>281</v>
      </c>
      <c r="B182" s="15" t="s">
        <v>297</v>
      </c>
      <c r="C182" s="15" t="s">
        <v>29</v>
      </c>
      <c r="D182" s="15" t="s">
        <v>298</v>
      </c>
      <c r="E182" s="15" t="s">
        <v>32</v>
      </c>
      <c r="F182" s="15" t="s">
        <v>34</v>
      </c>
      <c r="G182" s="15" t="s">
        <v>32</v>
      </c>
      <c r="H182" s="15" t="s">
        <v>173</v>
      </c>
      <c r="I182" s="15" t="s">
        <v>34</v>
      </c>
      <c r="J182" s="15" t="s">
        <v>299</v>
      </c>
      <c r="K182" s="15"/>
      <c r="L182" s="16"/>
      <c r="M182" s="15" t="s">
        <v>170</v>
      </c>
      <c r="N182" s="23"/>
    </row>
    <row r="183" ht="25.5" customHeight="1">
      <c r="A183" s="18" t="s">
        <v>281</v>
      </c>
      <c r="B183" s="19" t="s">
        <v>48</v>
      </c>
      <c r="C183" s="19" t="s">
        <v>29</v>
      </c>
      <c r="D183" s="19" t="s">
        <v>300</v>
      </c>
      <c r="E183" s="19" t="s">
        <v>32</v>
      </c>
      <c r="F183" s="19" t="s">
        <v>31</v>
      </c>
      <c r="G183" s="19" t="s">
        <v>32</v>
      </c>
      <c r="H183" s="19" t="s">
        <v>33</v>
      </c>
      <c r="I183" s="19" t="s">
        <v>34</v>
      </c>
      <c r="J183" s="25" t="s">
        <v>301</v>
      </c>
      <c r="K183" s="25"/>
      <c r="L183" s="20"/>
      <c r="M183" s="19" t="s">
        <v>251</v>
      </c>
      <c r="N183" s="22"/>
    </row>
    <row r="184" ht="25.5" customHeight="1">
      <c r="A184" s="14" t="s">
        <v>281</v>
      </c>
      <c r="B184" s="15" t="s">
        <v>83</v>
      </c>
      <c r="C184" s="15" t="s">
        <v>29</v>
      </c>
      <c r="D184" s="15" t="s">
        <v>34</v>
      </c>
      <c r="E184" s="15" t="s">
        <v>34</v>
      </c>
      <c r="F184" s="15" t="s">
        <v>34</v>
      </c>
      <c r="G184" s="15" t="s">
        <v>34</v>
      </c>
      <c r="H184" s="15" t="s">
        <v>34</v>
      </c>
      <c r="I184" s="15" t="s">
        <v>34</v>
      </c>
      <c r="J184" s="15" t="s">
        <v>34</v>
      </c>
      <c r="K184" s="15"/>
      <c r="L184" s="16"/>
      <c r="M184" s="15" t="s">
        <v>87</v>
      </c>
      <c r="N184" s="23"/>
    </row>
    <row r="185" ht="25.5" customHeight="1">
      <c r="A185" s="18" t="s">
        <v>281</v>
      </c>
      <c r="B185" s="19" t="s">
        <v>83</v>
      </c>
      <c r="C185" s="19" t="s">
        <v>29</v>
      </c>
      <c r="D185" s="19" t="s">
        <v>34</v>
      </c>
      <c r="E185" s="19" t="s">
        <v>34</v>
      </c>
      <c r="F185" s="19" t="s">
        <v>34</v>
      </c>
      <c r="G185" s="19" t="s">
        <v>34</v>
      </c>
      <c r="H185" s="19" t="s">
        <v>34</v>
      </c>
      <c r="I185" s="19" t="s">
        <v>34</v>
      </c>
      <c r="J185" s="19" t="s">
        <v>34</v>
      </c>
      <c r="K185" s="19"/>
      <c r="L185" s="20"/>
      <c r="M185" s="19" t="s">
        <v>87</v>
      </c>
      <c r="N185" s="22"/>
    </row>
    <row r="186" ht="25.5" customHeight="1">
      <c r="A186" s="14" t="s">
        <v>281</v>
      </c>
      <c r="B186" s="15" t="s">
        <v>83</v>
      </c>
      <c r="C186" s="15" t="s">
        <v>29</v>
      </c>
      <c r="D186" s="15" t="s">
        <v>34</v>
      </c>
      <c r="E186" s="15" t="s">
        <v>34</v>
      </c>
      <c r="F186" s="15" t="s">
        <v>34</v>
      </c>
      <c r="G186" s="15" t="s">
        <v>34</v>
      </c>
      <c r="H186" s="15" t="s">
        <v>34</v>
      </c>
      <c r="I186" s="15" t="s">
        <v>34</v>
      </c>
      <c r="J186" s="15" t="s">
        <v>34</v>
      </c>
      <c r="K186" s="15"/>
      <c r="L186" s="16"/>
      <c r="M186" s="15" t="s">
        <v>87</v>
      </c>
      <c r="N186" s="23"/>
    </row>
    <row r="187" ht="25.5" customHeight="1">
      <c r="A187" s="18" t="s">
        <v>281</v>
      </c>
      <c r="B187" s="19" t="s">
        <v>83</v>
      </c>
      <c r="C187" s="19" t="s">
        <v>29</v>
      </c>
      <c r="D187" s="19" t="s">
        <v>34</v>
      </c>
      <c r="E187" s="19" t="s">
        <v>34</v>
      </c>
      <c r="F187" s="19" t="s">
        <v>34</v>
      </c>
      <c r="G187" s="19" t="s">
        <v>34</v>
      </c>
      <c r="H187" s="19" t="s">
        <v>34</v>
      </c>
      <c r="I187" s="19" t="s">
        <v>34</v>
      </c>
      <c r="J187" s="19" t="s">
        <v>34</v>
      </c>
      <c r="K187" s="19"/>
      <c r="L187" s="20"/>
      <c r="M187" s="19" t="s">
        <v>87</v>
      </c>
      <c r="N187" s="22"/>
    </row>
    <row r="188" ht="25.5" customHeight="1">
      <c r="A188" s="14" t="s">
        <v>281</v>
      </c>
      <c r="B188" s="15" t="s">
        <v>83</v>
      </c>
      <c r="C188" s="15" t="s">
        <v>29</v>
      </c>
      <c r="D188" s="15" t="s">
        <v>34</v>
      </c>
      <c r="E188" s="15" t="s">
        <v>34</v>
      </c>
      <c r="F188" s="15" t="s">
        <v>34</v>
      </c>
      <c r="G188" s="15" t="s">
        <v>34</v>
      </c>
      <c r="H188" s="15" t="s">
        <v>34</v>
      </c>
      <c r="I188" s="15" t="s">
        <v>34</v>
      </c>
      <c r="J188" s="15" t="s">
        <v>34</v>
      </c>
      <c r="K188" s="15"/>
      <c r="L188" s="16"/>
      <c r="M188" s="15" t="s">
        <v>87</v>
      </c>
      <c r="N188" s="23"/>
    </row>
    <row r="189" ht="25.5" customHeight="1">
      <c r="A189" s="18" t="s">
        <v>281</v>
      </c>
      <c r="B189" s="19" t="s">
        <v>83</v>
      </c>
      <c r="C189" s="19" t="s">
        <v>29</v>
      </c>
      <c r="D189" s="19" t="s">
        <v>34</v>
      </c>
      <c r="E189" s="19" t="s">
        <v>34</v>
      </c>
      <c r="F189" s="19" t="s">
        <v>34</v>
      </c>
      <c r="G189" s="19" t="s">
        <v>34</v>
      </c>
      <c r="H189" s="19" t="s">
        <v>34</v>
      </c>
      <c r="I189" s="19" t="s">
        <v>34</v>
      </c>
      <c r="J189" s="19" t="s">
        <v>34</v>
      </c>
      <c r="K189" s="19"/>
      <c r="L189" s="20"/>
      <c r="M189" s="19" t="s">
        <v>87</v>
      </c>
      <c r="N189" s="22"/>
    </row>
    <row r="190" ht="25.5" customHeight="1">
      <c r="A190" s="14" t="s">
        <v>281</v>
      </c>
      <c r="B190" s="15" t="s">
        <v>83</v>
      </c>
      <c r="C190" s="15" t="s">
        <v>29</v>
      </c>
      <c r="D190" s="15" t="s">
        <v>34</v>
      </c>
      <c r="E190" s="15" t="s">
        <v>34</v>
      </c>
      <c r="F190" s="15" t="s">
        <v>34</v>
      </c>
      <c r="G190" s="15" t="s">
        <v>34</v>
      </c>
      <c r="H190" s="15" t="s">
        <v>34</v>
      </c>
      <c r="I190" s="15" t="s">
        <v>34</v>
      </c>
      <c r="J190" s="15" t="s">
        <v>34</v>
      </c>
      <c r="K190" s="15"/>
      <c r="L190" s="16"/>
      <c r="M190" s="15" t="s">
        <v>87</v>
      </c>
      <c r="N190" s="23"/>
    </row>
    <row r="191" ht="25.5" customHeight="1">
      <c r="A191" s="18" t="s">
        <v>281</v>
      </c>
      <c r="B191" s="19" t="s">
        <v>83</v>
      </c>
      <c r="C191" s="19" t="s">
        <v>29</v>
      </c>
      <c r="D191" s="19" t="s">
        <v>34</v>
      </c>
      <c r="E191" s="19" t="s">
        <v>34</v>
      </c>
      <c r="F191" s="19" t="s">
        <v>34</v>
      </c>
      <c r="G191" s="19" t="s">
        <v>34</v>
      </c>
      <c r="H191" s="19" t="s">
        <v>34</v>
      </c>
      <c r="I191" s="19" t="s">
        <v>34</v>
      </c>
      <c r="J191" s="19" t="s">
        <v>34</v>
      </c>
      <c r="K191" s="19"/>
      <c r="L191" s="20"/>
      <c r="M191" s="19" t="s">
        <v>87</v>
      </c>
      <c r="N191" s="22"/>
    </row>
    <row r="192" ht="25.5" customHeight="1">
      <c r="A192" s="14" t="s">
        <v>281</v>
      </c>
      <c r="B192" s="15" t="s">
        <v>83</v>
      </c>
      <c r="C192" s="15" t="s">
        <v>29</v>
      </c>
      <c r="D192" s="15" t="s">
        <v>34</v>
      </c>
      <c r="E192" s="15" t="s">
        <v>34</v>
      </c>
      <c r="F192" s="15" t="s">
        <v>34</v>
      </c>
      <c r="G192" s="15" t="s">
        <v>34</v>
      </c>
      <c r="H192" s="15" t="s">
        <v>34</v>
      </c>
      <c r="I192" s="15" t="s">
        <v>34</v>
      </c>
      <c r="J192" s="15" t="s">
        <v>34</v>
      </c>
      <c r="K192" s="15"/>
      <c r="L192" s="16"/>
      <c r="M192" s="15" t="s">
        <v>87</v>
      </c>
      <c r="N192" s="23"/>
    </row>
    <row r="193" ht="25.5" customHeight="1">
      <c r="A193" s="18" t="s">
        <v>281</v>
      </c>
      <c r="B193" s="19" t="s">
        <v>83</v>
      </c>
      <c r="C193" s="19" t="s">
        <v>29</v>
      </c>
      <c r="D193" s="19" t="s">
        <v>34</v>
      </c>
      <c r="E193" s="19" t="s">
        <v>34</v>
      </c>
      <c r="F193" s="19" t="s">
        <v>34</v>
      </c>
      <c r="G193" s="19" t="s">
        <v>34</v>
      </c>
      <c r="H193" s="19" t="s">
        <v>34</v>
      </c>
      <c r="I193" s="19" t="s">
        <v>34</v>
      </c>
      <c r="J193" s="19" t="s">
        <v>34</v>
      </c>
      <c r="K193" s="19"/>
      <c r="L193" s="20"/>
      <c r="M193" s="19" t="s">
        <v>87</v>
      </c>
      <c r="N193" s="22"/>
    </row>
    <row r="194" ht="25.5" customHeight="1">
      <c r="A194" s="14" t="s">
        <v>281</v>
      </c>
      <c r="B194" s="15" t="s">
        <v>83</v>
      </c>
      <c r="C194" s="15" t="s">
        <v>29</v>
      </c>
      <c r="D194" s="15" t="s">
        <v>34</v>
      </c>
      <c r="E194" s="15" t="s">
        <v>34</v>
      </c>
      <c r="F194" s="15" t="s">
        <v>34</v>
      </c>
      <c r="G194" s="15" t="s">
        <v>34</v>
      </c>
      <c r="H194" s="15" t="s">
        <v>34</v>
      </c>
      <c r="I194" s="15" t="s">
        <v>34</v>
      </c>
      <c r="J194" s="15" t="s">
        <v>34</v>
      </c>
      <c r="K194" s="15"/>
      <c r="L194" s="16"/>
      <c r="M194" s="15" t="s">
        <v>87</v>
      </c>
      <c r="N194" s="23"/>
    </row>
    <row r="195" ht="25.5" customHeight="1">
      <c r="A195" s="18" t="s">
        <v>281</v>
      </c>
      <c r="B195" s="19" t="s">
        <v>83</v>
      </c>
      <c r="C195" s="19" t="s">
        <v>29</v>
      </c>
      <c r="D195" s="19" t="s">
        <v>34</v>
      </c>
      <c r="E195" s="19" t="s">
        <v>34</v>
      </c>
      <c r="F195" s="19" t="s">
        <v>34</v>
      </c>
      <c r="G195" s="19" t="s">
        <v>34</v>
      </c>
      <c r="H195" s="19" t="s">
        <v>34</v>
      </c>
      <c r="I195" s="19" t="s">
        <v>34</v>
      </c>
      <c r="J195" s="19" t="s">
        <v>34</v>
      </c>
      <c r="K195" s="19"/>
      <c r="L195" s="20"/>
      <c r="M195" s="19" t="s">
        <v>87</v>
      </c>
      <c r="N195" s="22"/>
    </row>
    <row r="196" ht="25.5" customHeight="1">
      <c r="A196" s="14" t="s">
        <v>281</v>
      </c>
      <c r="B196" s="15" t="s">
        <v>83</v>
      </c>
      <c r="C196" s="15" t="s">
        <v>29</v>
      </c>
      <c r="D196" s="15" t="s">
        <v>34</v>
      </c>
      <c r="E196" s="15" t="s">
        <v>34</v>
      </c>
      <c r="F196" s="15" t="s">
        <v>34</v>
      </c>
      <c r="G196" s="15" t="s">
        <v>34</v>
      </c>
      <c r="H196" s="15" t="s">
        <v>34</v>
      </c>
      <c r="I196" s="15" t="s">
        <v>34</v>
      </c>
      <c r="J196" s="15" t="s">
        <v>34</v>
      </c>
      <c r="K196" s="15"/>
      <c r="L196" s="16"/>
      <c r="M196" s="15" t="s">
        <v>87</v>
      </c>
      <c r="N196" s="23"/>
    </row>
    <row r="197" ht="25.5" customHeight="1">
      <c r="A197" s="18" t="s">
        <v>281</v>
      </c>
      <c r="B197" s="19" t="s">
        <v>83</v>
      </c>
      <c r="C197" s="19" t="s">
        <v>29</v>
      </c>
      <c r="D197" s="19" t="s">
        <v>34</v>
      </c>
      <c r="E197" s="19" t="s">
        <v>34</v>
      </c>
      <c r="F197" s="19" t="s">
        <v>34</v>
      </c>
      <c r="G197" s="19" t="s">
        <v>34</v>
      </c>
      <c r="H197" s="19" t="s">
        <v>34</v>
      </c>
      <c r="I197" s="19" t="s">
        <v>34</v>
      </c>
      <c r="J197" s="19" t="s">
        <v>34</v>
      </c>
      <c r="K197" s="19"/>
      <c r="L197" s="20"/>
      <c r="M197" s="19" t="s">
        <v>87</v>
      </c>
      <c r="N197" s="22"/>
    </row>
    <row r="198" ht="25.5" customHeight="1">
      <c r="A198" s="14" t="s">
        <v>281</v>
      </c>
      <c r="B198" s="15" t="s">
        <v>83</v>
      </c>
      <c r="C198" s="15" t="s">
        <v>29</v>
      </c>
      <c r="D198" s="15" t="s">
        <v>34</v>
      </c>
      <c r="E198" s="15" t="s">
        <v>34</v>
      </c>
      <c r="F198" s="15" t="s">
        <v>34</v>
      </c>
      <c r="G198" s="15" t="s">
        <v>34</v>
      </c>
      <c r="H198" s="15" t="s">
        <v>34</v>
      </c>
      <c r="I198" s="15" t="s">
        <v>34</v>
      </c>
      <c r="J198" s="15" t="s">
        <v>34</v>
      </c>
      <c r="K198" s="15"/>
      <c r="L198" s="16"/>
      <c r="M198" s="15" t="s">
        <v>87</v>
      </c>
      <c r="N198" s="23"/>
    </row>
    <row r="199" ht="25.5" customHeight="1">
      <c r="A199" s="18" t="s">
        <v>281</v>
      </c>
      <c r="B199" s="19" t="s">
        <v>83</v>
      </c>
      <c r="C199" s="19" t="s">
        <v>29</v>
      </c>
      <c r="D199" s="19" t="s">
        <v>34</v>
      </c>
      <c r="E199" s="19" t="s">
        <v>34</v>
      </c>
      <c r="F199" s="19" t="s">
        <v>34</v>
      </c>
      <c r="G199" s="19" t="s">
        <v>34</v>
      </c>
      <c r="H199" s="19" t="s">
        <v>34</v>
      </c>
      <c r="I199" s="19" t="s">
        <v>34</v>
      </c>
      <c r="J199" s="19" t="s">
        <v>34</v>
      </c>
      <c r="K199" s="19"/>
      <c r="L199" s="20"/>
      <c r="M199" s="19" t="s">
        <v>87</v>
      </c>
      <c r="N199" s="22"/>
    </row>
    <row r="200" ht="25.5" customHeight="1">
      <c r="A200" s="14" t="s">
        <v>281</v>
      </c>
      <c r="B200" s="15" t="s">
        <v>83</v>
      </c>
      <c r="C200" s="15" t="s">
        <v>29</v>
      </c>
      <c r="D200" s="15" t="s">
        <v>34</v>
      </c>
      <c r="E200" s="15" t="s">
        <v>34</v>
      </c>
      <c r="F200" s="15" t="s">
        <v>34</v>
      </c>
      <c r="G200" s="15" t="s">
        <v>34</v>
      </c>
      <c r="H200" s="15" t="s">
        <v>34</v>
      </c>
      <c r="I200" s="15" t="s">
        <v>34</v>
      </c>
      <c r="J200" s="15" t="s">
        <v>34</v>
      </c>
      <c r="K200" s="15"/>
      <c r="L200" s="16"/>
      <c r="M200" s="15" t="s">
        <v>87</v>
      </c>
      <c r="N200" s="23"/>
    </row>
    <row r="201" ht="25.5" customHeight="1">
      <c r="A201" s="18" t="s">
        <v>230</v>
      </c>
      <c r="B201" s="19" t="s">
        <v>113</v>
      </c>
      <c r="C201" s="19" t="s">
        <v>69</v>
      </c>
      <c r="D201" s="19" t="s">
        <v>34</v>
      </c>
      <c r="E201" s="19" t="s">
        <v>34</v>
      </c>
      <c r="F201" s="19" t="s">
        <v>34</v>
      </c>
      <c r="G201" s="19" t="s">
        <v>34</v>
      </c>
      <c r="H201" s="19" t="s">
        <v>34</v>
      </c>
      <c r="I201" s="19" t="s">
        <v>34</v>
      </c>
      <c r="J201" s="19" t="s">
        <v>90</v>
      </c>
      <c r="K201" s="19"/>
      <c r="L201" s="20"/>
      <c r="M201" s="19" t="s">
        <v>109</v>
      </c>
      <c r="N201" s="22"/>
    </row>
    <row r="202" ht="25.5" customHeight="1">
      <c r="A202" s="14" t="s">
        <v>230</v>
      </c>
      <c r="B202" s="15" t="s">
        <v>280</v>
      </c>
      <c r="C202" s="15" t="s">
        <v>69</v>
      </c>
      <c r="D202" s="15" t="s">
        <v>34</v>
      </c>
      <c r="E202" s="15" t="s">
        <v>34</v>
      </c>
      <c r="F202" s="15" t="s">
        <v>34</v>
      </c>
      <c r="G202" s="15" t="s">
        <v>34</v>
      </c>
      <c r="H202" s="15" t="s">
        <v>34</v>
      </c>
      <c r="I202" s="15" t="s">
        <v>34</v>
      </c>
      <c r="J202" s="15" t="s">
        <v>90</v>
      </c>
      <c r="K202" s="15"/>
      <c r="L202" s="16"/>
      <c r="M202" s="15" t="s">
        <v>109</v>
      </c>
      <c r="N202" s="23"/>
    </row>
    <row r="203" ht="25.5" customHeight="1">
      <c r="A203" s="18" t="s">
        <v>230</v>
      </c>
      <c r="B203" s="19" t="s">
        <v>47</v>
      </c>
      <c r="C203" s="19" t="s">
        <v>69</v>
      </c>
      <c r="D203" s="19" t="s">
        <v>34</v>
      </c>
      <c r="E203" s="19" t="s">
        <v>34</v>
      </c>
      <c r="F203" s="19" t="s">
        <v>34</v>
      </c>
      <c r="G203" s="19" t="s">
        <v>34</v>
      </c>
      <c r="H203" s="19" t="s">
        <v>34</v>
      </c>
      <c r="I203" s="19" t="s">
        <v>34</v>
      </c>
      <c r="J203" s="19" t="s">
        <v>90</v>
      </c>
      <c r="K203" s="19"/>
      <c r="L203" s="20"/>
      <c r="M203" s="19" t="s">
        <v>287</v>
      </c>
      <c r="N203" s="22"/>
    </row>
    <row r="204" ht="25.5" customHeight="1">
      <c r="A204" s="14" t="s">
        <v>230</v>
      </c>
      <c r="B204" s="15" t="s">
        <v>212</v>
      </c>
      <c r="C204" s="15" t="s">
        <v>69</v>
      </c>
      <c r="D204" s="15" t="s">
        <v>34</v>
      </c>
      <c r="E204" s="15" t="s">
        <v>34</v>
      </c>
      <c r="F204" s="15" t="s">
        <v>34</v>
      </c>
      <c r="G204" s="15" t="s">
        <v>34</v>
      </c>
      <c r="H204" s="15" t="s">
        <v>34</v>
      </c>
      <c r="I204" s="15" t="s">
        <v>34</v>
      </c>
      <c r="J204" s="15" t="s">
        <v>90</v>
      </c>
      <c r="K204" s="15"/>
      <c r="L204" s="16"/>
      <c r="M204" s="15" t="s">
        <v>36</v>
      </c>
      <c r="N204" s="23"/>
    </row>
    <row r="205" ht="25.5" customHeight="1">
      <c r="A205" s="18" t="s">
        <v>230</v>
      </c>
      <c r="B205" s="19" t="s">
        <v>52</v>
      </c>
      <c r="C205" s="19" t="s">
        <v>69</v>
      </c>
      <c r="D205" s="19" t="s">
        <v>34</v>
      </c>
      <c r="E205" s="19" t="s">
        <v>34</v>
      </c>
      <c r="F205" s="19" t="s">
        <v>34</v>
      </c>
      <c r="G205" s="19" t="s">
        <v>34</v>
      </c>
      <c r="H205" s="19" t="s">
        <v>34</v>
      </c>
      <c r="I205" s="19" t="s">
        <v>34</v>
      </c>
      <c r="J205" s="19" t="s">
        <v>90</v>
      </c>
      <c r="K205" s="19"/>
      <c r="L205" s="20"/>
      <c r="M205" s="19" t="s">
        <v>287</v>
      </c>
      <c r="N205" s="22"/>
    </row>
    <row r="206" ht="25.5" customHeight="1">
      <c r="A206" s="14" t="s">
        <v>230</v>
      </c>
      <c r="B206" s="15" t="s">
        <v>302</v>
      </c>
      <c r="C206" s="15" t="s">
        <v>69</v>
      </c>
      <c r="D206" s="15" t="s">
        <v>34</v>
      </c>
      <c r="E206" s="15" t="s">
        <v>34</v>
      </c>
      <c r="F206" s="15" t="s">
        <v>34</v>
      </c>
      <c r="G206" s="15" t="s">
        <v>34</v>
      </c>
      <c r="H206" s="15" t="s">
        <v>34</v>
      </c>
      <c r="I206" s="15" t="s">
        <v>34</v>
      </c>
      <c r="J206" s="15" t="s">
        <v>90</v>
      </c>
      <c r="K206" s="15"/>
      <c r="L206" s="16"/>
      <c r="M206" s="15" t="s">
        <v>287</v>
      </c>
      <c r="N206" s="23"/>
    </row>
    <row r="207" ht="25.5" customHeight="1">
      <c r="A207" s="18" t="s">
        <v>208</v>
      </c>
      <c r="B207" s="19" t="s">
        <v>303</v>
      </c>
      <c r="C207" s="19" t="s">
        <v>29</v>
      </c>
      <c r="D207" s="19" t="s">
        <v>111</v>
      </c>
      <c r="E207" s="19" t="s">
        <v>32</v>
      </c>
      <c r="F207" s="19" t="s">
        <v>32</v>
      </c>
      <c r="G207" s="19" t="s">
        <v>32</v>
      </c>
      <c r="H207" s="19" t="s">
        <v>304</v>
      </c>
      <c r="I207" s="19" t="s">
        <v>34</v>
      </c>
      <c r="J207" s="19" t="s">
        <v>305</v>
      </c>
      <c r="K207" s="19"/>
      <c r="L207" s="20"/>
      <c r="M207" s="19" t="s">
        <v>112</v>
      </c>
      <c r="N207" s="22"/>
    </row>
    <row r="208" ht="25.5" customHeight="1">
      <c r="A208" s="14" t="s">
        <v>208</v>
      </c>
      <c r="B208" s="15" t="s">
        <v>306</v>
      </c>
      <c r="C208" s="15" t="s">
        <v>92</v>
      </c>
      <c r="D208" s="15" t="s">
        <v>307</v>
      </c>
      <c r="E208" s="15" t="s">
        <v>32</v>
      </c>
      <c r="F208" s="15" t="s">
        <v>31</v>
      </c>
      <c r="G208" s="15" t="s">
        <v>32</v>
      </c>
      <c r="H208" s="15" t="s">
        <v>33</v>
      </c>
      <c r="I208" s="15" t="s">
        <v>34</v>
      </c>
      <c r="J208" s="15" t="s">
        <v>90</v>
      </c>
      <c r="K208" s="15"/>
      <c r="L208" s="16"/>
      <c r="M208" s="15" t="s">
        <v>289</v>
      </c>
      <c r="N208" s="23"/>
    </row>
    <row r="209" ht="25.5" customHeight="1">
      <c r="A209" s="18" t="s">
        <v>208</v>
      </c>
      <c r="B209" s="19" t="s">
        <v>308</v>
      </c>
      <c r="C209" s="19" t="s">
        <v>92</v>
      </c>
      <c r="D209" s="19" t="s">
        <v>309</v>
      </c>
      <c r="E209" s="19" t="s">
        <v>32</v>
      </c>
      <c r="F209" s="19" t="s">
        <v>31</v>
      </c>
      <c r="G209" s="19" t="s">
        <v>32</v>
      </c>
      <c r="H209" s="19" t="s">
        <v>33</v>
      </c>
      <c r="I209" s="19" t="s">
        <v>34</v>
      </c>
      <c r="J209" s="19" t="s">
        <v>90</v>
      </c>
      <c r="K209" s="19"/>
      <c r="L209" s="20"/>
      <c r="M209" s="19" t="s">
        <v>100</v>
      </c>
      <c r="N209" s="22"/>
    </row>
    <row r="210" ht="25.5" customHeight="1">
      <c r="A210" s="14" t="s">
        <v>208</v>
      </c>
      <c r="B210" s="15" t="s">
        <v>310</v>
      </c>
      <c r="C210" s="15" t="s">
        <v>29</v>
      </c>
      <c r="D210" s="15" t="s">
        <v>311</v>
      </c>
      <c r="E210" s="15" t="s">
        <v>32</v>
      </c>
      <c r="F210" s="15" t="s">
        <v>31</v>
      </c>
      <c r="G210" s="15" t="s">
        <v>32</v>
      </c>
      <c r="H210" s="15" t="s">
        <v>33</v>
      </c>
      <c r="I210" s="15" t="s">
        <v>34</v>
      </c>
      <c r="J210" s="15" t="s">
        <v>90</v>
      </c>
      <c r="K210" s="15"/>
      <c r="L210" s="16"/>
      <c r="M210" s="15" t="s">
        <v>178</v>
      </c>
      <c r="N210" s="23"/>
    </row>
    <row r="211" ht="25.5" customHeight="1">
      <c r="A211" s="18" t="s">
        <v>312</v>
      </c>
      <c r="B211" s="19" t="s">
        <v>47</v>
      </c>
      <c r="C211" s="19" t="s">
        <v>29</v>
      </c>
      <c r="D211" s="19" t="s">
        <v>313</v>
      </c>
      <c r="E211" s="19" t="s">
        <v>32</v>
      </c>
      <c r="F211" s="19" t="s">
        <v>34</v>
      </c>
      <c r="G211" s="19" t="s">
        <v>32</v>
      </c>
      <c r="H211" s="19" t="s">
        <v>33</v>
      </c>
      <c r="I211" s="19" t="s">
        <v>34</v>
      </c>
      <c r="J211" s="19" t="s">
        <v>314</v>
      </c>
      <c r="K211" s="19"/>
      <c r="L211" s="20"/>
      <c r="M211" s="19" t="s">
        <v>36</v>
      </c>
      <c r="N211" s="22"/>
    </row>
    <row r="212" ht="25.5" customHeight="1">
      <c r="A212" s="14" t="s">
        <v>312</v>
      </c>
      <c r="B212" s="15" t="s">
        <v>315</v>
      </c>
      <c r="C212" s="15" t="s">
        <v>29</v>
      </c>
      <c r="D212" s="15" t="s">
        <v>36</v>
      </c>
      <c r="E212" s="15" t="s">
        <v>32</v>
      </c>
      <c r="F212" s="15" t="s">
        <v>34</v>
      </c>
      <c r="G212" s="15" t="s">
        <v>32</v>
      </c>
      <c r="H212" s="15" t="s">
        <v>33</v>
      </c>
      <c r="I212" s="15" t="s">
        <v>34</v>
      </c>
      <c r="J212" s="15" t="s">
        <v>314</v>
      </c>
      <c r="K212" s="15"/>
      <c r="L212" s="16"/>
      <c r="M212" s="15" t="s">
        <v>36</v>
      </c>
      <c r="N212" s="23"/>
    </row>
    <row r="213" ht="25.5" customHeight="1">
      <c r="A213" s="18" t="s">
        <v>312</v>
      </c>
      <c r="B213" s="19" t="s">
        <v>316</v>
      </c>
      <c r="C213" s="19" t="s">
        <v>29</v>
      </c>
      <c r="D213" s="19" t="s">
        <v>317</v>
      </c>
      <c r="E213" s="19" t="s">
        <v>32</v>
      </c>
      <c r="F213" s="19" t="s">
        <v>34</v>
      </c>
      <c r="G213" s="19" t="s">
        <v>32</v>
      </c>
      <c r="H213" s="19" t="s">
        <v>33</v>
      </c>
      <c r="I213" s="19" t="s">
        <v>34</v>
      </c>
      <c r="J213" s="19" t="s">
        <v>314</v>
      </c>
      <c r="K213" s="19"/>
      <c r="L213" s="20"/>
      <c r="M213" s="19" t="s">
        <v>170</v>
      </c>
      <c r="N213" s="22"/>
    </row>
    <row r="214" ht="25.5" customHeight="1">
      <c r="A214" s="14" t="s">
        <v>312</v>
      </c>
      <c r="B214" s="15" t="s">
        <v>213</v>
      </c>
      <c r="C214" s="15" t="s">
        <v>29</v>
      </c>
      <c r="D214" s="15" t="s">
        <v>318</v>
      </c>
      <c r="E214" s="15" t="s">
        <v>32</v>
      </c>
      <c r="F214" s="15" t="s">
        <v>34</v>
      </c>
      <c r="G214" s="15" t="s">
        <v>32</v>
      </c>
      <c r="H214" s="15" t="s">
        <v>33</v>
      </c>
      <c r="I214" s="15" t="s">
        <v>34</v>
      </c>
      <c r="J214" s="15" t="s">
        <v>314</v>
      </c>
      <c r="K214" s="15"/>
      <c r="L214" s="16"/>
      <c r="M214" s="15" t="s">
        <v>214</v>
      </c>
      <c r="N214" s="23"/>
    </row>
    <row r="215" ht="25.5" customHeight="1">
      <c r="A215" s="18" t="s">
        <v>312</v>
      </c>
      <c r="B215" s="19" t="s">
        <v>319</v>
      </c>
      <c r="C215" s="19" t="s">
        <v>29</v>
      </c>
      <c r="D215" s="19" t="s">
        <v>320</v>
      </c>
      <c r="E215" s="19" t="s">
        <v>31</v>
      </c>
      <c r="F215" s="19" t="s">
        <v>34</v>
      </c>
      <c r="G215" s="19" t="s">
        <v>32</v>
      </c>
      <c r="H215" s="19" t="s">
        <v>33</v>
      </c>
      <c r="I215" s="19" t="s">
        <v>34</v>
      </c>
      <c r="J215" s="19" t="s">
        <v>314</v>
      </c>
      <c r="K215" s="19"/>
      <c r="L215" s="20"/>
      <c r="M215" s="19" t="s">
        <v>214</v>
      </c>
      <c r="N215" s="22"/>
    </row>
    <row r="216" ht="25.5" customHeight="1">
      <c r="A216" s="14" t="s">
        <v>312</v>
      </c>
      <c r="B216" s="15" t="s">
        <v>83</v>
      </c>
      <c r="C216" s="15" t="s">
        <v>69</v>
      </c>
      <c r="D216" s="15" t="s">
        <v>321</v>
      </c>
      <c r="E216" s="15" t="s">
        <v>34</v>
      </c>
      <c r="F216" s="15" t="s">
        <v>34</v>
      </c>
      <c r="G216" s="15" t="s">
        <v>34</v>
      </c>
      <c r="H216" s="15" t="s">
        <v>33</v>
      </c>
      <c r="I216" s="15" t="s">
        <v>34</v>
      </c>
      <c r="J216" s="15" t="s">
        <v>34</v>
      </c>
      <c r="K216" s="15" t="s">
        <v>31</v>
      </c>
      <c r="L216" s="16"/>
      <c r="M216" s="15" t="s">
        <v>87</v>
      </c>
      <c r="N216" s="23"/>
    </row>
    <row r="217" ht="25.5" customHeight="1">
      <c r="A217" s="18" t="s">
        <v>312</v>
      </c>
      <c r="B217" s="19" t="s">
        <v>83</v>
      </c>
      <c r="C217" s="19" t="s">
        <v>69</v>
      </c>
      <c r="D217" s="19" t="s">
        <v>321</v>
      </c>
      <c r="E217" s="19" t="s">
        <v>34</v>
      </c>
      <c r="F217" s="19" t="s">
        <v>34</v>
      </c>
      <c r="G217" s="19" t="s">
        <v>34</v>
      </c>
      <c r="H217" s="19" t="s">
        <v>33</v>
      </c>
      <c r="I217" s="19" t="s">
        <v>34</v>
      </c>
      <c r="J217" s="19" t="s">
        <v>34</v>
      </c>
      <c r="K217" s="19" t="s">
        <v>31</v>
      </c>
      <c r="L217" s="20"/>
      <c r="M217" s="19" t="s">
        <v>87</v>
      </c>
      <c r="N217" s="22"/>
    </row>
    <row r="218" ht="25.5" customHeight="1">
      <c r="A218" s="14" t="s">
        <v>312</v>
      </c>
      <c r="B218" s="15" t="s">
        <v>83</v>
      </c>
      <c r="C218" s="15" t="s">
        <v>69</v>
      </c>
      <c r="D218" s="15" t="s">
        <v>321</v>
      </c>
      <c r="E218" s="15" t="s">
        <v>34</v>
      </c>
      <c r="F218" s="15" t="s">
        <v>34</v>
      </c>
      <c r="G218" s="15" t="s">
        <v>34</v>
      </c>
      <c r="H218" s="15" t="s">
        <v>33</v>
      </c>
      <c r="I218" s="15" t="s">
        <v>34</v>
      </c>
      <c r="J218" s="15" t="s">
        <v>34</v>
      </c>
      <c r="K218" s="15" t="s">
        <v>31</v>
      </c>
      <c r="L218" s="16"/>
      <c r="M218" s="15" t="s">
        <v>87</v>
      </c>
      <c r="N218" s="23"/>
    </row>
    <row r="219" ht="25.5" customHeight="1">
      <c r="A219" s="18" t="s">
        <v>312</v>
      </c>
      <c r="B219" s="19" t="s">
        <v>83</v>
      </c>
      <c r="C219" s="19" t="s">
        <v>69</v>
      </c>
      <c r="D219" s="19" t="s">
        <v>321</v>
      </c>
      <c r="E219" s="19" t="s">
        <v>34</v>
      </c>
      <c r="F219" s="19" t="s">
        <v>34</v>
      </c>
      <c r="G219" s="19" t="s">
        <v>34</v>
      </c>
      <c r="H219" s="19" t="s">
        <v>33</v>
      </c>
      <c r="I219" s="19" t="s">
        <v>34</v>
      </c>
      <c r="J219" s="19" t="s">
        <v>34</v>
      </c>
      <c r="K219" s="19" t="s">
        <v>31</v>
      </c>
      <c r="L219" s="20"/>
      <c r="M219" s="19" t="s">
        <v>87</v>
      </c>
      <c r="N219" s="22"/>
    </row>
    <row r="220" ht="25.5" customHeight="1">
      <c r="A220" s="14" t="s">
        <v>312</v>
      </c>
      <c r="B220" s="15" t="s">
        <v>83</v>
      </c>
      <c r="C220" s="15" t="s">
        <v>69</v>
      </c>
      <c r="D220" s="15" t="s">
        <v>321</v>
      </c>
      <c r="E220" s="15" t="s">
        <v>34</v>
      </c>
      <c r="F220" s="15" t="s">
        <v>34</v>
      </c>
      <c r="G220" s="15" t="s">
        <v>34</v>
      </c>
      <c r="H220" s="15" t="s">
        <v>33</v>
      </c>
      <c r="I220" s="15" t="s">
        <v>34</v>
      </c>
      <c r="J220" s="15" t="s">
        <v>34</v>
      </c>
      <c r="K220" s="15" t="s">
        <v>31</v>
      </c>
      <c r="L220" s="16"/>
      <c r="M220" s="15" t="s">
        <v>87</v>
      </c>
      <c r="N220" s="23"/>
    </row>
    <row r="221" ht="25.5" customHeight="1">
      <c r="A221" s="18" t="s">
        <v>312</v>
      </c>
      <c r="B221" s="19" t="s">
        <v>83</v>
      </c>
      <c r="C221" s="19" t="s">
        <v>69</v>
      </c>
      <c r="D221" s="19" t="s">
        <v>321</v>
      </c>
      <c r="E221" s="19" t="s">
        <v>34</v>
      </c>
      <c r="F221" s="19" t="s">
        <v>34</v>
      </c>
      <c r="G221" s="19" t="s">
        <v>34</v>
      </c>
      <c r="H221" s="19" t="s">
        <v>33</v>
      </c>
      <c r="I221" s="19" t="s">
        <v>34</v>
      </c>
      <c r="J221" s="19" t="s">
        <v>34</v>
      </c>
      <c r="K221" s="19" t="s">
        <v>31</v>
      </c>
      <c r="L221" s="20"/>
      <c r="M221" s="19" t="s">
        <v>87</v>
      </c>
      <c r="N221" s="22"/>
    </row>
    <row r="222" ht="25.5" customHeight="1">
      <c r="A222" s="14" t="s">
        <v>312</v>
      </c>
      <c r="B222" s="15" t="s">
        <v>83</v>
      </c>
      <c r="C222" s="15" t="s">
        <v>69</v>
      </c>
      <c r="D222" s="15" t="s">
        <v>321</v>
      </c>
      <c r="E222" s="15" t="s">
        <v>34</v>
      </c>
      <c r="F222" s="15" t="s">
        <v>34</v>
      </c>
      <c r="G222" s="15" t="s">
        <v>34</v>
      </c>
      <c r="H222" s="15" t="s">
        <v>33</v>
      </c>
      <c r="I222" s="15" t="s">
        <v>34</v>
      </c>
      <c r="J222" s="15" t="s">
        <v>34</v>
      </c>
      <c r="K222" s="15" t="s">
        <v>31</v>
      </c>
      <c r="L222" s="16"/>
      <c r="M222" s="15" t="s">
        <v>87</v>
      </c>
      <c r="N222" s="23"/>
    </row>
    <row r="223" ht="25.5" customHeight="1">
      <c r="A223" s="18" t="s">
        <v>312</v>
      </c>
      <c r="B223" s="19" t="s">
        <v>83</v>
      </c>
      <c r="C223" s="19" t="s">
        <v>69</v>
      </c>
      <c r="D223" s="19" t="s">
        <v>321</v>
      </c>
      <c r="E223" s="19" t="s">
        <v>34</v>
      </c>
      <c r="F223" s="19" t="s">
        <v>34</v>
      </c>
      <c r="G223" s="19" t="s">
        <v>34</v>
      </c>
      <c r="H223" s="19" t="s">
        <v>33</v>
      </c>
      <c r="I223" s="19" t="s">
        <v>34</v>
      </c>
      <c r="J223" s="19" t="s">
        <v>34</v>
      </c>
      <c r="K223" s="19" t="s">
        <v>31</v>
      </c>
      <c r="L223" s="20"/>
      <c r="M223" s="19" t="s">
        <v>87</v>
      </c>
      <c r="N223" s="22"/>
    </row>
    <row r="224" ht="25.5" customHeight="1">
      <c r="A224" s="14" t="s">
        <v>312</v>
      </c>
      <c r="B224" s="15" t="s">
        <v>83</v>
      </c>
      <c r="C224" s="15" t="s">
        <v>69</v>
      </c>
      <c r="D224" s="15" t="s">
        <v>321</v>
      </c>
      <c r="E224" s="15" t="s">
        <v>34</v>
      </c>
      <c r="F224" s="15" t="s">
        <v>34</v>
      </c>
      <c r="G224" s="15" t="s">
        <v>34</v>
      </c>
      <c r="H224" s="15" t="s">
        <v>33</v>
      </c>
      <c r="I224" s="15" t="s">
        <v>34</v>
      </c>
      <c r="J224" s="15" t="s">
        <v>34</v>
      </c>
      <c r="K224" s="15" t="s">
        <v>31</v>
      </c>
      <c r="L224" s="16"/>
      <c r="M224" s="15" t="s">
        <v>87</v>
      </c>
      <c r="N224" s="23"/>
    </row>
    <row r="225" ht="25.5" customHeight="1">
      <c r="A225" s="18" t="s">
        <v>312</v>
      </c>
      <c r="B225" s="19" t="s">
        <v>83</v>
      </c>
      <c r="C225" s="19" t="s">
        <v>69</v>
      </c>
      <c r="D225" s="19" t="s">
        <v>321</v>
      </c>
      <c r="E225" s="19" t="s">
        <v>34</v>
      </c>
      <c r="F225" s="19" t="s">
        <v>34</v>
      </c>
      <c r="G225" s="19" t="s">
        <v>34</v>
      </c>
      <c r="H225" s="19" t="s">
        <v>33</v>
      </c>
      <c r="I225" s="19" t="s">
        <v>34</v>
      </c>
      <c r="J225" s="19" t="s">
        <v>34</v>
      </c>
      <c r="K225" s="19" t="s">
        <v>31</v>
      </c>
      <c r="L225" s="20"/>
      <c r="M225" s="19" t="s">
        <v>87</v>
      </c>
      <c r="N225" s="22"/>
    </row>
    <row r="226" ht="25.5" customHeight="1">
      <c r="A226" s="14" t="s">
        <v>312</v>
      </c>
      <c r="B226" s="15" t="s">
        <v>83</v>
      </c>
      <c r="C226" s="15" t="s">
        <v>69</v>
      </c>
      <c r="D226" s="15" t="s">
        <v>321</v>
      </c>
      <c r="E226" s="15" t="s">
        <v>34</v>
      </c>
      <c r="F226" s="15" t="s">
        <v>34</v>
      </c>
      <c r="G226" s="15" t="s">
        <v>34</v>
      </c>
      <c r="H226" s="15" t="s">
        <v>33</v>
      </c>
      <c r="I226" s="15" t="s">
        <v>34</v>
      </c>
      <c r="J226" s="15" t="s">
        <v>34</v>
      </c>
      <c r="K226" s="15" t="s">
        <v>31</v>
      </c>
      <c r="L226" s="16"/>
      <c r="M226" s="15" t="s">
        <v>87</v>
      </c>
      <c r="N226" s="23"/>
    </row>
    <row r="227" ht="25.5" customHeight="1">
      <c r="A227" s="18" t="s">
        <v>312</v>
      </c>
      <c r="B227" s="19" t="s">
        <v>83</v>
      </c>
      <c r="C227" s="19" t="s">
        <v>69</v>
      </c>
      <c r="D227" s="19" t="s">
        <v>321</v>
      </c>
      <c r="E227" s="19" t="s">
        <v>34</v>
      </c>
      <c r="F227" s="19" t="s">
        <v>34</v>
      </c>
      <c r="G227" s="19" t="s">
        <v>34</v>
      </c>
      <c r="H227" s="19" t="s">
        <v>33</v>
      </c>
      <c r="I227" s="19" t="s">
        <v>34</v>
      </c>
      <c r="J227" s="20"/>
      <c r="K227" s="20" t="s">
        <v>31</v>
      </c>
      <c r="L227" s="20"/>
      <c r="M227" s="19" t="s">
        <v>87</v>
      </c>
      <c r="N227" s="22"/>
    </row>
    <row r="228" ht="25.5" customHeight="1">
      <c r="A228" s="14" t="s">
        <v>283</v>
      </c>
      <c r="B228" s="15" t="s">
        <v>322</v>
      </c>
      <c r="C228" s="15" t="s">
        <v>29</v>
      </c>
      <c r="D228" s="15" t="s">
        <v>34</v>
      </c>
      <c r="E228" s="15" t="s">
        <v>34</v>
      </c>
      <c r="F228" s="15" t="s">
        <v>34</v>
      </c>
      <c r="G228" s="15" t="s">
        <v>34</v>
      </c>
      <c r="H228" s="15" t="s">
        <v>34</v>
      </c>
      <c r="I228" s="15" t="s">
        <v>34</v>
      </c>
      <c r="J228" s="15" t="s">
        <v>90</v>
      </c>
      <c r="K228" s="15"/>
      <c r="L228" s="16"/>
      <c r="M228" s="15" t="s">
        <v>100</v>
      </c>
      <c r="N228" s="23"/>
    </row>
    <row r="229" ht="25.5" customHeight="1">
      <c r="A229" s="18" t="s">
        <v>283</v>
      </c>
      <c r="B229" s="25" t="s">
        <v>213</v>
      </c>
      <c r="C229" s="19" t="s">
        <v>29</v>
      </c>
      <c r="D229" s="19" t="s">
        <v>34</v>
      </c>
      <c r="E229" s="19" t="s">
        <v>34</v>
      </c>
      <c r="F229" s="19" t="s">
        <v>34</v>
      </c>
      <c r="G229" s="19" t="s">
        <v>34</v>
      </c>
      <c r="H229" s="19" t="s">
        <v>34</v>
      </c>
      <c r="I229" s="19" t="s">
        <v>34</v>
      </c>
      <c r="J229" s="19" t="s">
        <v>90</v>
      </c>
      <c r="K229" s="19"/>
      <c r="L229" s="20"/>
      <c r="M229" s="19" t="s">
        <v>214</v>
      </c>
      <c r="N229" s="22"/>
    </row>
    <row r="230" ht="25.5" customHeight="1">
      <c r="A230" s="14" t="s">
        <v>283</v>
      </c>
      <c r="B230" s="15" t="s">
        <v>323</v>
      </c>
      <c r="C230" s="15" t="s">
        <v>29</v>
      </c>
      <c r="D230" s="15" t="s">
        <v>34</v>
      </c>
      <c r="E230" s="15" t="s">
        <v>34</v>
      </c>
      <c r="F230" s="15" t="s">
        <v>34</v>
      </c>
      <c r="G230" s="15" t="s">
        <v>34</v>
      </c>
      <c r="H230" s="15" t="s">
        <v>34</v>
      </c>
      <c r="I230" s="15" t="s">
        <v>34</v>
      </c>
      <c r="J230" s="15" t="s">
        <v>90</v>
      </c>
      <c r="K230" s="15"/>
      <c r="L230" s="16"/>
      <c r="M230" s="15" t="s">
        <v>178</v>
      </c>
      <c r="N230" s="23"/>
    </row>
    <row r="231" ht="25.5" customHeight="1">
      <c r="A231" s="18" t="s">
        <v>283</v>
      </c>
      <c r="B231" s="19" t="s">
        <v>324</v>
      </c>
      <c r="C231" s="19" t="s">
        <v>29</v>
      </c>
      <c r="D231" s="19" t="s">
        <v>34</v>
      </c>
      <c r="E231" s="19" t="s">
        <v>34</v>
      </c>
      <c r="F231" s="19" t="s">
        <v>34</v>
      </c>
      <c r="G231" s="19" t="s">
        <v>34</v>
      </c>
      <c r="H231" s="19" t="s">
        <v>34</v>
      </c>
      <c r="I231" s="19" t="s">
        <v>34</v>
      </c>
      <c r="J231" s="19" t="s">
        <v>90</v>
      </c>
      <c r="K231" s="19"/>
      <c r="L231" s="20"/>
      <c r="M231" s="19" t="s">
        <v>178</v>
      </c>
      <c r="N231" s="22"/>
    </row>
    <row r="232" ht="25.5" customHeight="1">
      <c r="A232" s="14" t="s">
        <v>283</v>
      </c>
      <c r="B232" s="15" t="s">
        <v>223</v>
      </c>
      <c r="C232" s="15" t="s">
        <v>29</v>
      </c>
      <c r="D232" s="15" t="s">
        <v>34</v>
      </c>
      <c r="E232" s="15" t="s">
        <v>34</v>
      </c>
      <c r="F232" s="15" t="s">
        <v>34</v>
      </c>
      <c r="G232" s="15" t="s">
        <v>34</v>
      </c>
      <c r="H232" s="15" t="s">
        <v>34</v>
      </c>
      <c r="I232" s="15" t="s">
        <v>34</v>
      </c>
      <c r="J232" s="15" t="s">
        <v>90</v>
      </c>
      <c r="K232" s="15"/>
      <c r="L232" s="16"/>
      <c r="M232" s="15" t="s">
        <v>72</v>
      </c>
      <c r="N232" s="23"/>
    </row>
    <row r="233" ht="25.5" customHeight="1">
      <c r="A233" s="18" t="s">
        <v>283</v>
      </c>
      <c r="B233" s="19" t="s">
        <v>325</v>
      </c>
      <c r="C233" s="19" t="s">
        <v>29</v>
      </c>
      <c r="D233" s="19" t="s">
        <v>34</v>
      </c>
      <c r="E233" s="19" t="s">
        <v>34</v>
      </c>
      <c r="F233" s="19" t="s">
        <v>34</v>
      </c>
      <c r="G233" s="19" t="s">
        <v>34</v>
      </c>
      <c r="H233" s="19" t="s">
        <v>34</v>
      </c>
      <c r="I233" s="19" t="s">
        <v>34</v>
      </c>
      <c r="J233" s="19" t="s">
        <v>90</v>
      </c>
      <c r="K233" s="19"/>
      <c r="L233" s="20"/>
      <c r="M233" s="19" t="s">
        <v>170</v>
      </c>
      <c r="N233" s="22"/>
    </row>
    <row r="234" ht="25.5" customHeight="1">
      <c r="A234" s="14" t="s">
        <v>283</v>
      </c>
      <c r="B234" s="15" t="s">
        <v>326</v>
      </c>
      <c r="C234" s="15" t="s">
        <v>29</v>
      </c>
      <c r="D234" s="15" t="s">
        <v>34</v>
      </c>
      <c r="E234" s="15" t="s">
        <v>34</v>
      </c>
      <c r="F234" s="15" t="s">
        <v>34</v>
      </c>
      <c r="G234" s="15" t="s">
        <v>34</v>
      </c>
      <c r="H234" s="15" t="s">
        <v>34</v>
      </c>
      <c r="I234" s="15" t="s">
        <v>34</v>
      </c>
      <c r="J234" s="15" t="s">
        <v>90</v>
      </c>
      <c r="K234" s="15"/>
      <c r="L234" s="16"/>
      <c r="M234" s="15" t="s">
        <v>327</v>
      </c>
      <c r="N234" s="23"/>
    </row>
    <row r="235" ht="25.5" customHeight="1">
      <c r="A235" s="18" t="s">
        <v>283</v>
      </c>
      <c r="B235" s="19" t="s">
        <v>227</v>
      </c>
      <c r="C235" s="19" t="s">
        <v>29</v>
      </c>
      <c r="D235" s="19" t="s">
        <v>34</v>
      </c>
      <c r="E235" s="19" t="s">
        <v>34</v>
      </c>
      <c r="F235" s="19" t="s">
        <v>34</v>
      </c>
      <c r="G235" s="19" t="s">
        <v>34</v>
      </c>
      <c r="H235" s="19" t="s">
        <v>34</v>
      </c>
      <c r="I235" s="19" t="s">
        <v>34</v>
      </c>
      <c r="J235" s="19" t="s">
        <v>90</v>
      </c>
      <c r="K235" s="19"/>
      <c r="L235" s="20"/>
      <c r="M235" s="19" t="s">
        <v>100</v>
      </c>
      <c r="N235" s="22"/>
    </row>
    <row r="236" ht="25.5" customHeight="1">
      <c r="A236" s="14" t="s">
        <v>283</v>
      </c>
      <c r="B236" s="15" t="s">
        <v>328</v>
      </c>
      <c r="C236" s="15" t="s">
        <v>29</v>
      </c>
      <c r="D236" s="15" t="s">
        <v>34</v>
      </c>
      <c r="E236" s="15" t="s">
        <v>34</v>
      </c>
      <c r="F236" s="15" t="s">
        <v>34</v>
      </c>
      <c r="G236" s="15" t="s">
        <v>34</v>
      </c>
      <c r="H236" s="15" t="s">
        <v>34</v>
      </c>
      <c r="I236" s="15" t="s">
        <v>34</v>
      </c>
      <c r="J236" s="15" t="s">
        <v>90</v>
      </c>
      <c r="K236" s="15"/>
      <c r="L236" s="16"/>
      <c r="M236" s="15" t="s">
        <v>100</v>
      </c>
      <c r="N236" s="23"/>
    </row>
    <row r="237" ht="25.5" customHeight="1">
      <c r="A237" s="18" t="s">
        <v>283</v>
      </c>
      <c r="B237" s="19" t="s">
        <v>329</v>
      </c>
      <c r="C237" s="19" t="s">
        <v>29</v>
      </c>
      <c r="D237" s="19" t="s">
        <v>34</v>
      </c>
      <c r="E237" s="19" t="s">
        <v>34</v>
      </c>
      <c r="F237" s="19" t="s">
        <v>34</v>
      </c>
      <c r="G237" s="19" t="s">
        <v>34</v>
      </c>
      <c r="H237" s="19" t="s">
        <v>34</v>
      </c>
      <c r="I237" s="19" t="s">
        <v>34</v>
      </c>
      <c r="J237" s="19" t="s">
        <v>90</v>
      </c>
      <c r="K237" s="19"/>
      <c r="L237" s="20"/>
      <c r="M237" s="19" t="s">
        <v>178</v>
      </c>
      <c r="N237" s="22"/>
    </row>
    <row r="238" ht="25.5" customHeight="1">
      <c r="A238" s="14" t="s">
        <v>283</v>
      </c>
      <c r="B238" s="15" t="s">
        <v>330</v>
      </c>
      <c r="C238" s="15" t="s">
        <v>29</v>
      </c>
      <c r="D238" s="15" t="s">
        <v>34</v>
      </c>
      <c r="E238" s="15" t="s">
        <v>34</v>
      </c>
      <c r="F238" s="15" t="s">
        <v>34</v>
      </c>
      <c r="G238" s="15" t="s">
        <v>34</v>
      </c>
      <c r="H238" s="15" t="s">
        <v>34</v>
      </c>
      <c r="I238" s="15" t="s">
        <v>34</v>
      </c>
      <c r="J238" s="15" t="s">
        <v>90</v>
      </c>
      <c r="K238" s="15"/>
      <c r="L238" s="16"/>
      <c r="M238" s="15" t="s">
        <v>100</v>
      </c>
      <c r="N238" s="23"/>
    </row>
    <row r="239" ht="25.5" customHeight="1">
      <c r="A239" s="18" t="s">
        <v>331</v>
      </c>
      <c r="B239" s="19" t="s">
        <v>47</v>
      </c>
      <c r="C239" s="19" t="s">
        <v>29</v>
      </c>
      <c r="D239" s="19" t="s">
        <v>332</v>
      </c>
      <c r="E239" s="19" t="s">
        <v>32</v>
      </c>
      <c r="F239" s="19" t="s">
        <v>34</v>
      </c>
      <c r="G239" s="19" t="s">
        <v>216</v>
      </c>
      <c r="H239" s="19" t="s">
        <v>34</v>
      </c>
      <c r="I239" s="19" t="s">
        <v>219</v>
      </c>
      <c r="J239" s="19" t="s">
        <v>333</v>
      </c>
      <c r="K239" s="19"/>
      <c r="L239" s="20"/>
      <c r="M239" s="19" t="s">
        <v>36</v>
      </c>
      <c r="N239" s="22"/>
    </row>
    <row r="240" ht="25.5" customHeight="1">
      <c r="A240" s="14" t="s">
        <v>331</v>
      </c>
      <c r="B240" s="15" t="s">
        <v>334</v>
      </c>
      <c r="C240" s="15" t="s">
        <v>29</v>
      </c>
      <c r="D240" s="15" t="s">
        <v>335</v>
      </c>
      <c r="E240" s="15" t="s">
        <v>32</v>
      </c>
      <c r="F240" s="15" t="s">
        <v>34</v>
      </c>
      <c r="G240" s="15" t="s">
        <v>216</v>
      </c>
      <c r="H240" s="15" t="s">
        <v>34</v>
      </c>
      <c r="I240" s="15" t="s">
        <v>219</v>
      </c>
      <c r="J240" s="15" t="s">
        <v>336</v>
      </c>
      <c r="K240" s="15"/>
      <c r="L240" s="16"/>
      <c r="M240" s="15" t="s">
        <v>36</v>
      </c>
      <c r="N240" s="23"/>
    </row>
    <row r="241" ht="25.5" customHeight="1">
      <c r="A241" s="18" t="s">
        <v>337</v>
      </c>
      <c r="B241" s="19" t="s">
        <v>83</v>
      </c>
      <c r="C241" s="19" t="s">
        <v>29</v>
      </c>
      <c r="D241" s="19" t="s">
        <v>338</v>
      </c>
      <c r="E241" s="19" t="s">
        <v>34</v>
      </c>
      <c r="F241" s="19" t="s">
        <v>34</v>
      </c>
      <c r="G241" s="19" t="s">
        <v>34</v>
      </c>
      <c r="H241" s="19" t="s">
        <v>34</v>
      </c>
      <c r="I241" s="19" t="s">
        <v>34</v>
      </c>
      <c r="J241" s="19" t="s">
        <v>90</v>
      </c>
      <c r="K241" s="19"/>
      <c r="L241" s="20"/>
      <c r="M241" s="20"/>
      <c r="N241" s="22"/>
    </row>
    <row r="242" ht="25.5" customHeight="1">
      <c r="A242" s="14" t="s">
        <v>337</v>
      </c>
      <c r="B242" s="15" t="s">
        <v>146</v>
      </c>
      <c r="C242" s="15" t="s">
        <v>29</v>
      </c>
      <c r="D242" s="15" t="s">
        <v>339</v>
      </c>
      <c r="E242" s="15" t="s">
        <v>34</v>
      </c>
      <c r="F242" s="15" t="s">
        <v>34</v>
      </c>
      <c r="G242" s="15" t="s">
        <v>34</v>
      </c>
      <c r="H242" s="15" t="s">
        <v>34</v>
      </c>
      <c r="I242" s="15" t="s">
        <v>34</v>
      </c>
      <c r="J242" s="15" t="s">
        <v>90</v>
      </c>
      <c r="K242" s="15"/>
      <c r="L242" s="16"/>
      <c r="M242" s="15" t="s">
        <v>149</v>
      </c>
      <c r="N242" s="23"/>
    </row>
    <row r="243" ht="25.5" customHeight="1">
      <c r="A243" s="18" t="s">
        <v>337</v>
      </c>
      <c r="B243" s="19" t="s">
        <v>83</v>
      </c>
      <c r="C243" s="19" t="s">
        <v>29</v>
      </c>
      <c r="D243" s="19" t="s">
        <v>338</v>
      </c>
      <c r="E243" s="19" t="s">
        <v>34</v>
      </c>
      <c r="F243" s="19" t="s">
        <v>34</v>
      </c>
      <c r="G243" s="19" t="s">
        <v>34</v>
      </c>
      <c r="H243" s="19" t="s">
        <v>34</v>
      </c>
      <c r="I243" s="19" t="s">
        <v>34</v>
      </c>
      <c r="J243" s="19" t="s">
        <v>90</v>
      </c>
      <c r="K243" s="19"/>
      <c r="L243" s="20"/>
      <c r="M243" s="19" t="s">
        <v>340</v>
      </c>
      <c r="N243" s="22"/>
    </row>
    <row r="244" ht="25.5" customHeight="1">
      <c r="A244" s="14" t="s">
        <v>337</v>
      </c>
      <c r="B244" s="15" t="s">
        <v>341</v>
      </c>
      <c r="C244" s="15" t="s">
        <v>29</v>
      </c>
      <c r="D244" s="15" t="s">
        <v>342</v>
      </c>
      <c r="E244" s="15" t="s">
        <v>34</v>
      </c>
      <c r="F244" s="15" t="s">
        <v>34</v>
      </c>
      <c r="G244" s="15" t="s">
        <v>34</v>
      </c>
      <c r="H244" s="15" t="s">
        <v>34</v>
      </c>
      <c r="I244" s="15" t="s">
        <v>34</v>
      </c>
      <c r="J244" s="15" t="s">
        <v>90</v>
      </c>
      <c r="K244" s="15"/>
      <c r="L244" s="16"/>
      <c r="M244" s="15" t="s">
        <v>36</v>
      </c>
      <c r="N244" s="23"/>
    </row>
    <row r="245" ht="25.5" customHeight="1">
      <c r="A245" s="18" t="s">
        <v>337</v>
      </c>
      <c r="B245" s="19" t="s">
        <v>343</v>
      </c>
      <c r="C245" s="19" t="s">
        <v>29</v>
      </c>
      <c r="D245" s="19" t="s">
        <v>342</v>
      </c>
      <c r="E245" s="19" t="s">
        <v>34</v>
      </c>
      <c r="F245" s="19" t="s">
        <v>34</v>
      </c>
      <c r="G245" s="19" t="s">
        <v>34</v>
      </c>
      <c r="H245" s="19" t="s">
        <v>34</v>
      </c>
      <c r="I245" s="19" t="s">
        <v>34</v>
      </c>
      <c r="J245" s="19" t="s">
        <v>90</v>
      </c>
      <c r="K245" s="19"/>
      <c r="L245" s="20"/>
      <c r="M245" s="19" t="s">
        <v>36</v>
      </c>
      <c r="N245" s="22"/>
    </row>
    <row r="246" ht="25.5" customHeight="1">
      <c r="A246" s="14" t="s">
        <v>337</v>
      </c>
      <c r="B246" s="15" t="s">
        <v>344</v>
      </c>
      <c r="C246" s="15" t="s">
        <v>29</v>
      </c>
      <c r="D246" s="15" t="s">
        <v>345</v>
      </c>
      <c r="E246" s="15" t="s">
        <v>34</v>
      </c>
      <c r="F246" s="15" t="s">
        <v>34</v>
      </c>
      <c r="G246" s="15" t="s">
        <v>34</v>
      </c>
      <c r="H246" s="15" t="s">
        <v>34</v>
      </c>
      <c r="I246" s="15" t="s">
        <v>34</v>
      </c>
      <c r="J246" s="15" t="s">
        <v>90</v>
      </c>
      <c r="K246" s="15"/>
      <c r="L246" s="16"/>
      <c r="M246" s="15" t="s">
        <v>178</v>
      </c>
      <c r="N246" s="23"/>
    </row>
    <row r="247" ht="25.5" customHeight="1">
      <c r="A247" s="18" t="s">
        <v>337</v>
      </c>
      <c r="B247" s="19" t="s">
        <v>346</v>
      </c>
      <c r="C247" s="19" t="s">
        <v>29</v>
      </c>
      <c r="D247" s="19" t="s">
        <v>345</v>
      </c>
      <c r="E247" s="19" t="s">
        <v>34</v>
      </c>
      <c r="F247" s="19" t="s">
        <v>34</v>
      </c>
      <c r="G247" s="19" t="s">
        <v>34</v>
      </c>
      <c r="H247" s="19" t="s">
        <v>34</v>
      </c>
      <c r="I247" s="19" t="s">
        <v>34</v>
      </c>
      <c r="J247" s="19" t="s">
        <v>90</v>
      </c>
      <c r="K247" s="19"/>
      <c r="L247" s="20"/>
      <c r="M247" s="19" t="s">
        <v>100</v>
      </c>
      <c r="N247" s="22"/>
    </row>
    <row r="248" ht="25.5" customHeight="1">
      <c r="A248" s="14" t="s">
        <v>337</v>
      </c>
      <c r="B248" s="15" t="s">
        <v>347</v>
      </c>
      <c r="C248" s="15" t="s">
        <v>29</v>
      </c>
      <c r="D248" s="15" t="s">
        <v>348</v>
      </c>
      <c r="E248" s="15" t="s">
        <v>34</v>
      </c>
      <c r="F248" s="15" t="s">
        <v>34</v>
      </c>
      <c r="G248" s="15" t="s">
        <v>34</v>
      </c>
      <c r="H248" s="15" t="s">
        <v>34</v>
      </c>
      <c r="I248" s="15" t="s">
        <v>34</v>
      </c>
      <c r="J248" s="15" t="s">
        <v>34</v>
      </c>
      <c r="K248" s="15"/>
      <c r="L248" s="16"/>
      <c r="M248" s="15" t="s">
        <v>87</v>
      </c>
      <c r="N248" s="23"/>
    </row>
    <row r="249" ht="25.5" customHeight="1">
      <c r="A249" s="18" t="s">
        <v>337</v>
      </c>
      <c r="B249" s="19" t="s">
        <v>349</v>
      </c>
      <c r="C249" s="19" t="s">
        <v>29</v>
      </c>
      <c r="D249" s="19" t="s">
        <v>348</v>
      </c>
      <c r="E249" s="19" t="s">
        <v>34</v>
      </c>
      <c r="F249" s="19" t="s">
        <v>34</v>
      </c>
      <c r="G249" s="19" t="s">
        <v>34</v>
      </c>
      <c r="H249" s="19" t="s">
        <v>34</v>
      </c>
      <c r="I249" s="19" t="s">
        <v>34</v>
      </c>
      <c r="J249" s="19" t="s">
        <v>34</v>
      </c>
      <c r="K249" s="19"/>
      <c r="L249" s="20"/>
      <c r="M249" s="19" t="s">
        <v>87</v>
      </c>
      <c r="N249" s="22"/>
    </row>
    <row r="250" ht="25.5" customHeight="1">
      <c r="A250" s="14" t="s">
        <v>337</v>
      </c>
      <c r="B250" s="15" t="s">
        <v>350</v>
      </c>
      <c r="C250" s="15" t="s">
        <v>29</v>
      </c>
      <c r="D250" s="15" t="s">
        <v>348</v>
      </c>
      <c r="E250" s="15" t="s">
        <v>34</v>
      </c>
      <c r="F250" s="15" t="s">
        <v>34</v>
      </c>
      <c r="G250" s="15" t="s">
        <v>34</v>
      </c>
      <c r="H250" s="15" t="s">
        <v>34</v>
      </c>
      <c r="I250" s="15" t="s">
        <v>34</v>
      </c>
      <c r="J250" s="15" t="s">
        <v>34</v>
      </c>
      <c r="K250" s="15"/>
      <c r="L250" s="16"/>
      <c r="M250" s="15" t="s">
        <v>87</v>
      </c>
      <c r="N250" s="23"/>
    </row>
    <row r="251" ht="25.5" customHeight="1">
      <c r="A251" s="18" t="s">
        <v>337</v>
      </c>
      <c r="B251" s="19" t="s">
        <v>322</v>
      </c>
      <c r="C251" s="19" t="s">
        <v>29</v>
      </c>
      <c r="D251" s="19" t="s">
        <v>348</v>
      </c>
      <c r="E251" s="19" t="s">
        <v>34</v>
      </c>
      <c r="F251" s="19" t="s">
        <v>34</v>
      </c>
      <c r="G251" s="19" t="s">
        <v>34</v>
      </c>
      <c r="H251" s="19" t="s">
        <v>34</v>
      </c>
      <c r="I251" s="19" t="s">
        <v>34</v>
      </c>
      <c r="J251" s="19" t="s">
        <v>34</v>
      </c>
      <c r="K251" s="19"/>
      <c r="L251" s="20"/>
      <c r="M251" s="19" t="s">
        <v>87</v>
      </c>
      <c r="N251" s="22"/>
    </row>
    <row r="252" ht="25.5" customHeight="1">
      <c r="A252" s="14" t="s">
        <v>351</v>
      </c>
      <c r="B252" s="15" t="s">
        <v>146</v>
      </c>
      <c r="C252" s="15" t="s">
        <v>29</v>
      </c>
      <c r="D252" s="15" t="s">
        <v>352</v>
      </c>
      <c r="E252" s="15" t="s">
        <v>34</v>
      </c>
      <c r="F252" s="15" t="s">
        <v>34</v>
      </c>
      <c r="G252" s="15" t="s">
        <v>32</v>
      </c>
      <c r="H252" s="15" t="s">
        <v>33</v>
      </c>
      <c r="I252" s="15" t="s">
        <v>34</v>
      </c>
      <c r="J252" s="15" t="s">
        <v>353</v>
      </c>
      <c r="K252" s="15"/>
      <c r="L252" s="16"/>
      <c r="M252" s="15" t="s">
        <v>149</v>
      </c>
      <c r="N252" s="23"/>
    </row>
    <row r="253" ht="25.5" customHeight="1">
      <c r="A253" s="18" t="s">
        <v>351</v>
      </c>
      <c r="B253" s="19" t="s">
        <v>47</v>
      </c>
      <c r="C253" s="19" t="s">
        <v>84</v>
      </c>
      <c r="D253" s="19" t="s">
        <v>354</v>
      </c>
      <c r="E253" s="19" t="s">
        <v>34</v>
      </c>
      <c r="F253" s="19" t="s">
        <v>34</v>
      </c>
      <c r="G253" s="19" t="s">
        <v>32</v>
      </c>
      <c r="H253" s="19" t="s">
        <v>33</v>
      </c>
      <c r="I253" s="19" t="s">
        <v>34</v>
      </c>
      <c r="J253" s="19" t="s">
        <v>355</v>
      </c>
      <c r="K253" s="19"/>
      <c r="L253" s="20"/>
      <c r="M253" s="19" t="s">
        <v>36</v>
      </c>
      <c r="N253" s="22"/>
    </row>
    <row r="254" ht="25.5" customHeight="1">
      <c r="A254" s="14" t="s">
        <v>351</v>
      </c>
      <c r="B254" s="15" t="s">
        <v>283</v>
      </c>
      <c r="C254" s="15" t="s">
        <v>84</v>
      </c>
      <c r="D254" s="15" t="s">
        <v>354</v>
      </c>
      <c r="E254" s="15" t="s">
        <v>34</v>
      </c>
      <c r="F254" s="15" t="s">
        <v>34</v>
      </c>
      <c r="G254" s="15" t="s">
        <v>32</v>
      </c>
      <c r="H254" s="15" t="s">
        <v>33</v>
      </c>
      <c r="I254" s="15" t="s">
        <v>34</v>
      </c>
      <c r="J254" s="15" t="s">
        <v>355</v>
      </c>
      <c r="K254" s="15"/>
      <c r="L254" s="16"/>
      <c r="M254" s="15" t="s">
        <v>36</v>
      </c>
      <c r="N254" s="23"/>
    </row>
    <row r="255" ht="25.5" customHeight="1">
      <c r="A255" s="18" t="s">
        <v>351</v>
      </c>
      <c r="B255" s="19" t="s">
        <v>212</v>
      </c>
      <c r="C255" s="19" t="s">
        <v>84</v>
      </c>
      <c r="D255" s="19" t="s">
        <v>354</v>
      </c>
      <c r="E255" s="19" t="s">
        <v>34</v>
      </c>
      <c r="F255" s="19" t="s">
        <v>34</v>
      </c>
      <c r="G255" s="19" t="s">
        <v>32</v>
      </c>
      <c r="H255" s="19" t="s">
        <v>33</v>
      </c>
      <c r="I255" s="19" t="s">
        <v>34</v>
      </c>
      <c r="J255" s="19" t="s">
        <v>355</v>
      </c>
      <c r="K255" s="19"/>
      <c r="L255" s="20"/>
      <c r="M255" s="19" t="s">
        <v>36</v>
      </c>
      <c r="N255" s="22"/>
    </row>
    <row r="256" ht="25.5" customHeight="1">
      <c r="A256" s="14" t="s">
        <v>351</v>
      </c>
      <c r="B256" s="15" t="s">
        <v>356</v>
      </c>
      <c r="C256" s="15" t="s">
        <v>29</v>
      </c>
      <c r="D256" s="15" t="s">
        <v>354</v>
      </c>
      <c r="E256" s="15" t="s">
        <v>34</v>
      </c>
      <c r="F256" s="15" t="s">
        <v>34</v>
      </c>
      <c r="G256" s="15" t="s">
        <v>32</v>
      </c>
      <c r="H256" s="15" t="s">
        <v>34</v>
      </c>
      <c r="I256" s="15" t="s">
        <v>34</v>
      </c>
      <c r="J256" s="15" t="s">
        <v>357</v>
      </c>
      <c r="K256" s="15"/>
      <c r="L256" s="16"/>
      <c r="M256" s="15" t="s">
        <v>149</v>
      </c>
      <c r="N256" s="23"/>
    </row>
    <row r="257" ht="25.5" customHeight="1">
      <c r="A257" s="18" t="s">
        <v>351</v>
      </c>
      <c r="B257" s="19" t="s">
        <v>83</v>
      </c>
      <c r="C257" s="19" t="s">
        <v>29</v>
      </c>
      <c r="D257" s="19" t="s">
        <v>358</v>
      </c>
      <c r="E257" s="19" t="s">
        <v>34</v>
      </c>
      <c r="F257" s="19" t="s">
        <v>34</v>
      </c>
      <c r="G257" s="19" t="s">
        <v>32</v>
      </c>
      <c r="H257" s="19" t="s">
        <v>34</v>
      </c>
      <c r="I257" s="19" t="s">
        <v>34</v>
      </c>
      <c r="J257" s="19" t="s">
        <v>359</v>
      </c>
      <c r="K257" s="19"/>
      <c r="L257" s="20"/>
      <c r="M257" s="19" t="s">
        <v>340</v>
      </c>
      <c r="N257" s="22"/>
    </row>
    <row r="258" ht="25.5" customHeight="1">
      <c r="A258" s="14" t="s">
        <v>351</v>
      </c>
      <c r="B258" s="15" t="s">
        <v>277</v>
      </c>
      <c r="C258" s="15" t="s">
        <v>29</v>
      </c>
      <c r="D258" s="15" t="s">
        <v>111</v>
      </c>
      <c r="E258" s="15" t="s">
        <v>34</v>
      </c>
      <c r="F258" s="15" t="s">
        <v>34</v>
      </c>
      <c r="G258" s="15" t="s">
        <v>216</v>
      </c>
      <c r="H258" s="15" t="s">
        <v>360</v>
      </c>
      <c r="I258" s="15" t="s">
        <v>34</v>
      </c>
      <c r="J258" s="27" t="s">
        <v>361</v>
      </c>
      <c r="K258" s="27"/>
      <c r="L258" s="16"/>
      <c r="M258" s="15" t="s">
        <v>112</v>
      </c>
      <c r="N258" s="23"/>
    </row>
    <row r="259" ht="25.5" customHeight="1">
      <c r="A259" s="18" t="s">
        <v>351</v>
      </c>
      <c r="B259" s="19" t="s">
        <v>362</v>
      </c>
      <c r="C259" s="19" t="s">
        <v>92</v>
      </c>
      <c r="D259" s="19" t="s">
        <v>363</v>
      </c>
      <c r="E259" s="19" t="s">
        <v>32</v>
      </c>
      <c r="F259" s="19" t="s">
        <v>31</v>
      </c>
      <c r="G259" s="19" t="s">
        <v>216</v>
      </c>
      <c r="H259" s="19" t="s">
        <v>304</v>
      </c>
      <c r="I259" s="19" t="s">
        <v>34</v>
      </c>
      <c r="J259" s="19" t="s">
        <v>364</v>
      </c>
      <c r="K259" s="19"/>
      <c r="L259" s="20"/>
      <c r="M259" s="19" t="s">
        <v>100</v>
      </c>
      <c r="N259" s="22"/>
    </row>
    <row r="260" ht="25.5" customHeight="1">
      <c r="A260" s="14" t="s">
        <v>351</v>
      </c>
      <c r="B260" s="15" t="s">
        <v>365</v>
      </c>
      <c r="C260" s="15" t="s">
        <v>117</v>
      </c>
      <c r="D260" s="15" t="s">
        <v>366</v>
      </c>
      <c r="E260" s="15" t="s">
        <v>31</v>
      </c>
      <c r="F260" s="15" t="s">
        <v>31</v>
      </c>
      <c r="G260" s="15" t="s">
        <v>32</v>
      </c>
      <c r="H260" s="15" t="s">
        <v>33</v>
      </c>
      <c r="I260" s="15" t="s">
        <v>34</v>
      </c>
      <c r="J260" s="15" t="s">
        <v>367</v>
      </c>
      <c r="K260" s="15"/>
      <c r="L260" s="16"/>
      <c r="M260" s="15" t="s">
        <v>87</v>
      </c>
      <c r="N260" s="23"/>
    </row>
    <row r="261" ht="25.5" customHeight="1">
      <c r="A261" s="18" t="s">
        <v>351</v>
      </c>
      <c r="B261" s="19" t="s">
        <v>368</v>
      </c>
      <c r="C261" s="19" t="s">
        <v>117</v>
      </c>
      <c r="D261" s="19" t="s">
        <v>366</v>
      </c>
      <c r="E261" s="19" t="s">
        <v>31</v>
      </c>
      <c r="F261" s="19" t="s">
        <v>31</v>
      </c>
      <c r="G261" s="19" t="s">
        <v>32</v>
      </c>
      <c r="H261" s="19" t="s">
        <v>33</v>
      </c>
      <c r="I261" s="19" t="s">
        <v>34</v>
      </c>
      <c r="J261" s="19" t="s">
        <v>367</v>
      </c>
      <c r="K261" s="19"/>
      <c r="L261" s="20"/>
      <c r="M261" s="19" t="s">
        <v>87</v>
      </c>
      <c r="N261" s="22"/>
    </row>
    <row r="262" ht="25.5" customHeight="1">
      <c r="A262" s="14" t="s">
        <v>351</v>
      </c>
      <c r="B262" s="15" t="s">
        <v>53</v>
      </c>
      <c r="C262" s="15" t="s">
        <v>117</v>
      </c>
      <c r="D262" s="15" t="s">
        <v>366</v>
      </c>
      <c r="E262" s="15" t="s">
        <v>31</v>
      </c>
      <c r="F262" s="15" t="s">
        <v>31</v>
      </c>
      <c r="G262" s="15" t="s">
        <v>32</v>
      </c>
      <c r="H262" s="15" t="s">
        <v>33</v>
      </c>
      <c r="I262" s="15" t="s">
        <v>34</v>
      </c>
      <c r="J262" s="15" t="s">
        <v>367</v>
      </c>
      <c r="K262" s="15"/>
      <c r="L262" s="16"/>
      <c r="M262" s="15" t="s">
        <v>87</v>
      </c>
      <c r="N262" s="23"/>
    </row>
    <row r="263" ht="25.5" customHeight="1">
      <c r="A263" s="18" t="s">
        <v>351</v>
      </c>
      <c r="B263" s="19" t="s">
        <v>369</v>
      </c>
      <c r="C263" s="19" t="s">
        <v>117</v>
      </c>
      <c r="D263" s="19" t="s">
        <v>370</v>
      </c>
      <c r="E263" s="19" t="s">
        <v>31</v>
      </c>
      <c r="F263" s="19" t="s">
        <v>31</v>
      </c>
      <c r="G263" s="19" t="s">
        <v>32</v>
      </c>
      <c r="H263" s="19" t="s">
        <v>33</v>
      </c>
      <c r="I263" s="19" t="s">
        <v>34</v>
      </c>
      <c r="J263" s="19" t="s">
        <v>367</v>
      </c>
      <c r="K263" s="19"/>
      <c r="L263" s="20"/>
      <c r="M263" s="19" t="s">
        <v>87</v>
      </c>
      <c r="N263" s="22"/>
    </row>
    <row r="264" ht="25.5" customHeight="1">
      <c r="A264" s="14" t="s">
        <v>52</v>
      </c>
      <c r="B264" s="15" t="s">
        <v>146</v>
      </c>
      <c r="C264" s="15" t="s">
        <v>117</v>
      </c>
      <c r="D264" s="15" t="s">
        <v>153</v>
      </c>
      <c r="E264" s="15" t="s">
        <v>32</v>
      </c>
      <c r="F264" s="15" t="s">
        <v>34</v>
      </c>
      <c r="G264" s="15" t="s">
        <v>34</v>
      </c>
      <c r="H264" s="15" t="s">
        <v>34</v>
      </c>
      <c r="I264" s="15" t="s">
        <v>34</v>
      </c>
      <c r="J264" s="15" t="s">
        <v>90</v>
      </c>
      <c r="K264" s="15"/>
      <c r="L264" s="15" t="s">
        <v>371</v>
      </c>
      <c r="M264" s="15" t="s">
        <v>149</v>
      </c>
      <c r="N264" s="23"/>
    </row>
    <row r="265" ht="25.5" customHeight="1">
      <c r="A265" s="18" t="s">
        <v>52</v>
      </c>
      <c r="B265" s="19" t="s">
        <v>52</v>
      </c>
      <c r="C265" s="19" t="s">
        <v>117</v>
      </c>
      <c r="D265" s="19" t="s">
        <v>117</v>
      </c>
      <c r="E265" s="19" t="s">
        <v>117</v>
      </c>
      <c r="F265" s="19" t="s">
        <v>117</v>
      </c>
      <c r="G265" s="19" t="s">
        <v>117</v>
      </c>
      <c r="H265" s="19" t="s">
        <v>117</v>
      </c>
      <c r="I265" s="19" t="s">
        <v>117</v>
      </c>
      <c r="J265" s="19" t="s">
        <v>117</v>
      </c>
      <c r="K265" s="19" t="s">
        <v>117</v>
      </c>
      <c r="L265" s="19" t="s">
        <v>117</v>
      </c>
      <c r="M265" s="19" t="s">
        <v>170</v>
      </c>
      <c r="N265" s="22"/>
    </row>
    <row r="266" ht="25.5" customHeight="1">
      <c r="A266" s="14" t="s">
        <v>52</v>
      </c>
      <c r="B266" s="15" t="s">
        <v>52</v>
      </c>
      <c r="C266" s="15" t="s">
        <v>117</v>
      </c>
      <c r="D266" s="15" t="s">
        <v>117</v>
      </c>
      <c r="E266" s="15" t="s">
        <v>117</v>
      </c>
      <c r="F266" s="15" t="s">
        <v>117</v>
      </c>
      <c r="G266" s="15" t="s">
        <v>117</v>
      </c>
      <c r="H266" s="15" t="s">
        <v>117</v>
      </c>
      <c r="I266" s="15" t="s">
        <v>117</v>
      </c>
      <c r="J266" s="15" t="s">
        <v>117</v>
      </c>
      <c r="K266" s="15" t="s">
        <v>117</v>
      </c>
      <c r="L266" s="15" t="s">
        <v>117</v>
      </c>
      <c r="M266" s="15" t="s">
        <v>36</v>
      </c>
      <c r="N266" s="23"/>
    </row>
    <row r="267" ht="25.5" customHeight="1">
      <c r="A267" s="18" t="s">
        <v>52</v>
      </c>
      <c r="B267" s="19" t="s">
        <v>52</v>
      </c>
      <c r="C267" s="19" t="s">
        <v>117</v>
      </c>
      <c r="D267" s="19" t="s">
        <v>117</v>
      </c>
      <c r="E267" s="19" t="s">
        <v>117</v>
      </c>
      <c r="F267" s="19" t="s">
        <v>117</v>
      </c>
      <c r="G267" s="19" t="s">
        <v>117</v>
      </c>
      <c r="H267" s="19" t="s">
        <v>117</v>
      </c>
      <c r="I267" s="19" t="s">
        <v>117</v>
      </c>
      <c r="J267" s="19" t="s">
        <v>117</v>
      </c>
      <c r="K267" s="19" t="s">
        <v>117</v>
      </c>
      <c r="L267" s="19" t="s">
        <v>117</v>
      </c>
      <c r="M267" s="19" t="s">
        <v>372</v>
      </c>
      <c r="N267" s="22"/>
    </row>
    <row r="268" ht="25.5" customHeight="1">
      <c r="A268" s="14" t="s">
        <v>231</v>
      </c>
      <c r="B268" s="15" t="s">
        <v>146</v>
      </c>
      <c r="C268" s="15" t="s">
        <v>117</v>
      </c>
      <c r="D268" s="15" t="s">
        <v>153</v>
      </c>
      <c r="E268" s="15" t="s">
        <v>32</v>
      </c>
      <c r="F268" s="15" t="s">
        <v>34</v>
      </c>
      <c r="G268" s="15" t="s">
        <v>34</v>
      </c>
      <c r="H268" s="15" t="s">
        <v>34</v>
      </c>
      <c r="I268" s="15" t="s">
        <v>34</v>
      </c>
      <c r="J268" s="15" t="s">
        <v>90</v>
      </c>
      <c r="K268" s="15"/>
      <c r="L268" s="15" t="s">
        <v>373</v>
      </c>
      <c r="M268" s="15" t="s">
        <v>149</v>
      </c>
      <c r="N268" s="23"/>
    </row>
    <row r="269" ht="25.5" customHeight="1">
      <c r="A269" s="18" t="s">
        <v>231</v>
      </c>
      <c r="B269" s="19" t="s">
        <v>231</v>
      </c>
      <c r="C269" s="19" t="s">
        <v>117</v>
      </c>
      <c r="D269" s="19" t="s">
        <v>117</v>
      </c>
      <c r="E269" s="19" t="s">
        <v>117</v>
      </c>
      <c r="F269" s="19" t="s">
        <v>117</v>
      </c>
      <c r="G269" s="19" t="s">
        <v>117</v>
      </c>
      <c r="H269" s="19" t="s">
        <v>117</v>
      </c>
      <c r="I269" s="19" t="s">
        <v>117</v>
      </c>
      <c r="J269" s="19" t="s">
        <v>117</v>
      </c>
      <c r="K269" s="19" t="s">
        <v>117</v>
      </c>
      <c r="L269" s="19" t="s">
        <v>117</v>
      </c>
      <c r="M269" s="19" t="s">
        <v>170</v>
      </c>
      <c r="N269" s="22"/>
    </row>
    <row r="270" ht="25.5" customHeight="1">
      <c r="A270" s="14" t="s">
        <v>231</v>
      </c>
      <c r="B270" s="15" t="s">
        <v>231</v>
      </c>
      <c r="C270" s="15" t="s">
        <v>117</v>
      </c>
      <c r="D270" s="15" t="s">
        <v>117</v>
      </c>
      <c r="E270" s="15" t="s">
        <v>117</v>
      </c>
      <c r="F270" s="15" t="s">
        <v>117</v>
      </c>
      <c r="G270" s="15" t="s">
        <v>117</v>
      </c>
      <c r="H270" s="15" t="s">
        <v>117</v>
      </c>
      <c r="I270" s="15" t="s">
        <v>117</v>
      </c>
      <c r="J270" s="15" t="s">
        <v>117</v>
      </c>
      <c r="K270" s="15" t="s">
        <v>117</v>
      </c>
      <c r="L270" s="15" t="s">
        <v>117</v>
      </c>
      <c r="M270" s="15" t="s">
        <v>36</v>
      </c>
      <c r="N270" s="23"/>
    </row>
    <row r="271" ht="25.5" customHeight="1">
      <c r="A271" s="18" t="s">
        <v>231</v>
      </c>
      <c r="B271" s="19" t="s">
        <v>231</v>
      </c>
      <c r="C271" s="19" t="s">
        <v>117</v>
      </c>
      <c r="D271" s="19" t="s">
        <v>117</v>
      </c>
      <c r="E271" s="19" t="s">
        <v>117</v>
      </c>
      <c r="F271" s="19" t="s">
        <v>117</v>
      </c>
      <c r="G271" s="19" t="s">
        <v>117</v>
      </c>
      <c r="H271" s="19" t="s">
        <v>117</v>
      </c>
      <c r="I271" s="19" t="s">
        <v>117</v>
      </c>
      <c r="J271" s="19" t="s">
        <v>117</v>
      </c>
      <c r="K271" s="19" t="s">
        <v>117</v>
      </c>
      <c r="L271" s="19" t="s">
        <v>117</v>
      </c>
      <c r="M271" s="19" t="s">
        <v>372</v>
      </c>
      <c r="N271" s="22"/>
    </row>
    <row r="272" ht="25.5" customHeight="1">
      <c r="A272" s="14" t="s">
        <v>374</v>
      </c>
      <c r="B272" s="15" t="s">
        <v>375</v>
      </c>
      <c r="C272" s="15" t="s">
        <v>84</v>
      </c>
      <c r="D272" s="15" t="s">
        <v>376</v>
      </c>
      <c r="E272" s="15" t="s">
        <v>34</v>
      </c>
      <c r="F272" s="15" t="s">
        <v>34</v>
      </c>
      <c r="G272" s="15" t="s">
        <v>32</v>
      </c>
      <c r="H272" s="15" t="s">
        <v>34</v>
      </c>
      <c r="I272" s="15" t="s">
        <v>34</v>
      </c>
      <c r="J272" s="15" t="s">
        <v>90</v>
      </c>
      <c r="K272" s="15"/>
      <c r="L272" s="16"/>
      <c r="M272" s="15" t="s">
        <v>36</v>
      </c>
      <c r="N272" s="23"/>
    </row>
    <row r="273" ht="25.5" customHeight="1">
      <c r="A273" s="18" t="s">
        <v>374</v>
      </c>
      <c r="B273" s="19" t="s">
        <v>377</v>
      </c>
      <c r="C273" s="19" t="s">
        <v>84</v>
      </c>
      <c r="D273" s="19" t="s">
        <v>376</v>
      </c>
      <c r="E273" s="19" t="s">
        <v>34</v>
      </c>
      <c r="F273" s="19" t="s">
        <v>34</v>
      </c>
      <c r="G273" s="19" t="s">
        <v>32</v>
      </c>
      <c r="H273" s="19" t="s">
        <v>34</v>
      </c>
      <c r="I273" s="19" t="s">
        <v>34</v>
      </c>
      <c r="J273" s="19" t="s">
        <v>90</v>
      </c>
      <c r="K273" s="19"/>
      <c r="L273" s="20"/>
      <c r="M273" s="19" t="s">
        <v>36</v>
      </c>
      <c r="N273" s="22"/>
    </row>
    <row r="274" ht="25.5" customHeight="1">
      <c r="A274" s="14" t="s">
        <v>374</v>
      </c>
      <c r="B274" s="15" t="s">
        <v>378</v>
      </c>
      <c r="C274" s="15" t="s">
        <v>84</v>
      </c>
      <c r="D274" s="15" t="s">
        <v>376</v>
      </c>
      <c r="E274" s="15" t="s">
        <v>34</v>
      </c>
      <c r="F274" s="15" t="s">
        <v>34</v>
      </c>
      <c r="G274" s="15" t="s">
        <v>32</v>
      </c>
      <c r="H274" s="15" t="s">
        <v>34</v>
      </c>
      <c r="I274" s="15" t="s">
        <v>34</v>
      </c>
      <c r="J274" s="15" t="s">
        <v>90</v>
      </c>
      <c r="K274" s="15"/>
      <c r="L274" s="16"/>
      <c r="M274" s="15" t="s">
        <v>36</v>
      </c>
      <c r="N274" s="23"/>
    </row>
    <row r="275" ht="25.5" customHeight="1">
      <c r="A275" s="18" t="s">
        <v>374</v>
      </c>
      <c r="B275" s="19" t="s">
        <v>379</v>
      </c>
      <c r="C275" s="19" t="s">
        <v>84</v>
      </c>
      <c r="D275" s="19" t="s">
        <v>380</v>
      </c>
      <c r="E275" s="19" t="s">
        <v>34</v>
      </c>
      <c r="F275" s="19" t="s">
        <v>34</v>
      </c>
      <c r="G275" s="19" t="s">
        <v>32</v>
      </c>
      <c r="H275" s="19" t="s">
        <v>34</v>
      </c>
      <c r="I275" s="19" t="s">
        <v>34</v>
      </c>
      <c r="J275" s="19" t="s">
        <v>90</v>
      </c>
      <c r="K275" s="19"/>
      <c r="L275" s="20"/>
      <c r="M275" s="19" t="s">
        <v>178</v>
      </c>
      <c r="N275" s="22"/>
    </row>
    <row r="276" ht="25.5" customHeight="1">
      <c r="A276" s="14" t="s">
        <v>374</v>
      </c>
      <c r="B276" s="15" t="s">
        <v>381</v>
      </c>
      <c r="C276" s="15" t="s">
        <v>92</v>
      </c>
      <c r="D276" s="15" t="s">
        <v>382</v>
      </c>
      <c r="E276" s="15" t="s">
        <v>34</v>
      </c>
      <c r="F276" s="15" t="s">
        <v>34</v>
      </c>
      <c r="G276" s="15" t="s">
        <v>32</v>
      </c>
      <c r="H276" s="15" t="s">
        <v>34</v>
      </c>
      <c r="I276" s="15" t="s">
        <v>34</v>
      </c>
      <c r="J276" s="15" t="s">
        <v>90</v>
      </c>
      <c r="K276" s="15"/>
      <c r="L276" s="16"/>
      <c r="M276" s="15" t="s">
        <v>170</v>
      </c>
      <c r="N276" s="23"/>
    </row>
    <row r="277" ht="25.5" customHeight="1">
      <c r="A277" s="18" t="s">
        <v>374</v>
      </c>
      <c r="B277" s="19" t="s">
        <v>383</v>
      </c>
      <c r="C277" s="19" t="s">
        <v>84</v>
      </c>
      <c r="D277" s="19" t="s">
        <v>384</v>
      </c>
      <c r="E277" s="19" t="s">
        <v>34</v>
      </c>
      <c r="F277" s="19" t="s">
        <v>34</v>
      </c>
      <c r="G277" s="19" t="s">
        <v>32</v>
      </c>
      <c r="H277" s="19" t="s">
        <v>34</v>
      </c>
      <c r="I277" s="19" t="s">
        <v>34</v>
      </c>
      <c r="J277" s="19" t="s">
        <v>90</v>
      </c>
      <c r="K277" s="19"/>
      <c r="L277" s="20"/>
      <c r="M277" s="19" t="s">
        <v>170</v>
      </c>
      <c r="N277" s="22"/>
    </row>
    <row r="278" ht="25.5" customHeight="1">
      <c r="A278" s="14" t="s">
        <v>44</v>
      </c>
      <c r="B278" s="15" t="s">
        <v>385</v>
      </c>
      <c r="C278" s="15" t="s">
        <v>386</v>
      </c>
      <c r="D278" s="15" t="s">
        <v>387</v>
      </c>
      <c r="E278" s="15" t="s">
        <v>32</v>
      </c>
      <c r="F278" s="15" t="s">
        <v>34</v>
      </c>
      <c r="G278" s="15" t="s">
        <v>32</v>
      </c>
      <c r="H278" s="15" t="s">
        <v>304</v>
      </c>
      <c r="I278" s="15" t="s">
        <v>34</v>
      </c>
      <c r="J278" s="15" t="s">
        <v>388</v>
      </c>
      <c r="K278" s="15"/>
      <c r="L278" s="16"/>
      <c r="M278" s="15" t="s">
        <v>372</v>
      </c>
      <c r="N278" s="28" t="s">
        <v>389</v>
      </c>
    </row>
    <row r="279" ht="25.5" customHeight="1">
      <c r="A279" s="18" t="s">
        <v>44</v>
      </c>
      <c r="B279" s="19" t="s">
        <v>379</v>
      </c>
      <c r="C279" s="19" t="s">
        <v>390</v>
      </c>
      <c r="D279" s="19" t="s">
        <v>380</v>
      </c>
      <c r="E279" s="19" t="s">
        <v>32</v>
      </c>
      <c r="F279" s="19" t="s">
        <v>34</v>
      </c>
      <c r="G279" s="19" t="s">
        <v>32</v>
      </c>
      <c r="H279" s="19" t="s">
        <v>304</v>
      </c>
      <c r="I279" s="19" t="s">
        <v>34</v>
      </c>
      <c r="J279" s="19" t="s">
        <v>391</v>
      </c>
      <c r="K279" s="19"/>
      <c r="L279" s="20"/>
      <c r="M279" s="19" t="s">
        <v>372</v>
      </c>
      <c r="N279" s="29" t="s">
        <v>389</v>
      </c>
    </row>
    <row r="280" ht="25.5" customHeight="1">
      <c r="A280" s="14" t="s">
        <v>44</v>
      </c>
      <c r="B280" s="15" t="s">
        <v>392</v>
      </c>
      <c r="C280" s="15" t="s">
        <v>393</v>
      </c>
      <c r="D280" s="15" t="s">
        <v>394</v>
      </c>
      <c r="E280" s="15" t="s">
        <v>32</v>
      </c>
      <c r="F280" s="15" t="s">
        <v>34</v>
      </c>
      <c r="G280" s="15" t="s">
        <v>32</v>
      </c>
      <c r="H280" s="15" t="s">
        <v>304</v>
      </c>
      <c r="I280" s="15" t="s">
        <v>34</v>
      </c>
      <c r="J280" s="15" t="s">
        <v>388</v>
      </c>
      <c r="K280" s="15"/>
      <c r="L280" s="16"/>
      <c r="M280" s="15" t="s">
        <v>372</v>
      </c>
      <c r="N280" s="28" t="s">
        <v>389</v>
      </c>
    </row>
    <row r="281" ht="25.5" customHeight="1">
      <c r="A281" s="18" t="s">
        <v>44</v>
      </c>
      <c r="B281" s="19" t="s">
        <v>395</v>
      </c>
      <c r="C281" s="19" t="s">
        <v>396</v>
      </c>
      <c r="D281" s="19" t="s">
        <v>397</v>
      </c>
      <c r="E281" s="19" t="s">
        <v>32</v>
      </c>
      <c r="F281" s="19" t="s">
        <v>34</v>
      </c>
      <c r="G281" s="19" t="s">
        <v>32</v>
      </c>
      <c r="H281" s="19" t="s">
        <v>304</v>
      </c>
      <c r="I281" s="19" t="s">
        <v>34</v>
      </c>
      <c r="J281" s="19" t="s">
        <v>391</v>
      </c>
      <c r="K281" s="19"/>
      <c r="L281" s="20"/>
      <c r="M281" s="19" t="s">
        <v>178</v>
      </c>
      <c r="N281" s="22"/>
    </row>
    <row r="282" ht="25.5" customHeight="1">
      <c r="A282" s="14" t="s">
        <v>44</v>
      </c>
      <c r="B282" s="15" t="s">
        <v>331</v>
      </c>
      <c r="C282" s="15" t="s">
        <v>386</v>
      </c>
      <c r="D282" s="15" t="s">
        <v>398</v>
      </c>
      <c r="E282" s="15" t="s">
        <v>32</v>
      </c>
      <c r="F282" s="15" t="s">
        <v>34</v>
      </c>
      <c r="G282" s="15" t="s">
        <v>32</v>
      </c>
      <c r="H282" s="15" t="s">
        <v>304</v>
      </c>
      <c r="I282" s="15" t="s">
        <v>34</v>
      </c>
      <c r="J282" s="15" t="s">
        <v>388</v>
      </c>
      <c r="K282" s="15"/>
      <c r="L282" s="16"/>
      <c r="M282" s="15" t="s">
        <v>372</v>
      </c>
      <c r="N282" s="23"/>
    </row>
    <row r="283" ht="25.5" customHeight="1">
      <c r="A283" s="18" t="s">
        <v>44</v>
      </c>
      <c r="B283" s="19" t="s">
        <v>399</v>
      </c>
      <c r="C283" s="19" t="s">
        <v>386</v>
      </c>
      <c r="D283" s="19" t="s">
        <v>400</v>
      </c>
      <c r="E283" s="19" t="s">
        <v>32</v>
      </c>
      <c r="F283" s="19" t="s">
        <v>34</v>
      </c>
      <c r="G283" s="19" t="s">
        <v>32</v>
      </c>
      <c r="H283" s="19" t="s">
        <v>304</v>
      </c>
      <c r="I283" s="19" t="s">
        <v>34</v>
      </c>
      <c r="J283" s="19" t="s">
        <v>401</v>
      </c>
      <c r="K283" s="19"/>
      <c r="L283" s="20"/>
      <c r="M283" s="19" t="s">
        <v>178</v>
      </c>
      <c r="N283" s="22"/>
    </row>
    <row r="284" ht="25.5" customHeight="1">
      <c r="A284" s="14" t="s">
        <v>44</v>
      </c>
      <c r="B284" s="15" t="s">
        <v>402</v>
      </c>
      <c r="C284" s="15" t="s">
        <v>403</v>
      </c>
      <c r="D284" s="15" t="s">
        <v>404</v>
      </c>
      <c r="E284" s="15" t="s">
        <v>32</v>
      </c>
      <c r="F284" s="15" t="s">
        <v>34</v>
      </c>
      <c r="G284" s="15" t="s">
        <v>32</v>
      </c>
      <c r="H284" s="15" t="s">
        <v>304</v>
      </c>
      <c r="I284" s="15" t="s">
        <v>34</v>
      </c>
      <c r="J284" s="15" t="s">
        <v>405</v>
      </c>
      <c r="K284" s="15"/>
      <c r="L284" s="16"/>
      <c r="M284" s="15" t="s">
        <v>178</v>
      </c>
      <c r="N284" s="23"/>
    </row>
    <row r="285" ht="25.5" customHeight="1">
      <c r="A285" s="18" t="s">
        <v>44</v>
      </c>
      <c r="B285" s="19" t="s">
        <v>406</v>
      </c>
      <c r="C285" s="19" t="s">
        <v>403</v>
      </c>
      <c r="D285" s="19" t="s">
        <v>404</v>
      </c>
      <c r="E285" s="19" t="s">
        <v>32</v>
      </c>
      <c r="F285" s="19" t="s">
        <v>34</v>
      </c>
      <c r="G285" s="19" t="s">
        <v>32</v>
      </c>
      <c r="H285" s="19" t="s">
        <v>304</v>
      </c>
      <c r="I285" s="19" t="s">
        <v>34</v>
      </c>
      <c r="J285" s="19" t="s">
        <v>405</v>
      </c>
      <c r="K285" s="19"/>
      <c r="L285" s="20"/>
      <c r="M285" s="19" t="s">
        <v>178</v>
      </c>
      <c r="N285" s="22"/>
    </row>
  </sheetData>
  <autoFilter ref="$A$1:$N$2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2.25"/>
    <col customWidth="1" min="7" max="7" width="17.25"/>
    <col customWidth="1" min="9" max="9" width="19.63"/>
  </cols>
  <sheetData>
    <row r="1" ht="42.0" customHeight="1">
      <c r="A1" s="30" t="s">
        <v>13</v>
      </c>
      <c r="B1" s="30" t="s">
        <v>407</v>
      </c>
      <c r="C1" s="31" t="s">
        <v>408</v>
      </c>
      <c r="D1" s="31" t="s">
        <v>409</v>
      </c>
      <c r="E1" s="31" t="s">
        <v>410</v>
      </c>
      <c r="F1" s="31" t="s">
        <v>411</v>
      </c>
      <c r="G1" s="31" t="s">
        <v>412</v>
      </c>
      <c r="H1" s="32" t="s">
        <v>413</v>
      </c>
      <c r="I1" s="31" t="s">
        <v>414</v>
      </c>
      <c r="J1" s="31" t="s">
        <v>415</v>
      </c>
      <c r="K1" s="31" t="s">
        <v>416</v>
      </c>
      <c r="L1" s="31" t="s">
        <v>417</v>
      </c>
      <c r="M1" s="31" t="s">
        <v>418</v>
      </c>
      <c r="N1" s="33" t="s">
        <v>419</v>
      </c>
    </row>
    <row r="2" ht="27.0" customHeight="1">
      <c r="A2" s="34" t="s">
        <v>27</v>
      </c>
      <c r="B2" s="35" t="s">
        <v>37</v>
      </c>
      <c r="C2" s="36" t="s">
        <v>420</v>
      </c>
      <c r="D2" s="36" t="s">
        <v>421</v>
      </c>
      <c r="E2" s="36" t="s">
        <v>422</v>
      </c>
      <c r="F2" s="36" t="s">
        <v>31</v>
      </c>
      <c r="G2" s="36" t="s">
        <v>423</v>
      </c>
      <c r="H2" s="36"/>
      <c r="I2" s="36" t="s">
        <v>32</v>
      </c>
      <c r="J2" s="36" t="s">
        <v>424</v>
      </c>
      <c r="K2" s="37"/>
      <c r="L2" s="37"/>
      <c r="M2" s="38" t="s">
        <v>425</v>
      </c>
      <c r="N2" s="39"/>
    </row>
    <row r="3" ht="27.0" customHeight="1">
      <c r="A3" s="18" t="s">
        <v>27</v>
      </c>
      <c r="B3" s="40" t="s">
        <v>27</v>
      </c>
      <c r="C3" s="19" t="s">
        <v>420</v>
      </c>
      <c r="D3" s="19" t="s">
        <v>421</v>
      </c>
      <c r="E3" s="19" t="s">
        <v>422</v>
      </c>
      <c r="F3" s="19" t="s">
        <v>31</v>
      </c>
      <c r="G3" s="19" t="s">
        <v>423</v>
      </c>
      <c r="H3" s="19"/>
      <c r="I3" s="19" t="s">
        <v>32</v>
      </c>
      <c r="J3" s="19" t="s">
        <v>424</v>
      </c>
      <c r="K3" s="20"/>
      <c r="L3" s="20"/>
      <c r="M3" s="41" t="s">
        <v>425</v>
      </c>
      <c r="N3" s="42"/>
    </row>
    <row r="4" ht="27.0" customHeight="1">
      <c r="A4" s="34" t="s">
        <v>27</v>
      </c>
      <c r="B4" s="35" t="s">
        <v>426</v>
      </c>
      <c r="C4" s="36" t="s">
        <v>420</v>
      </c>
      <c r="D4" s="36" t="s">
        <v>421</v>
      </c>
      <c r="E4" s="36" t="s">
        <v>422</v>
      </c>
      <c r="F4" s="36" t="s">
        <v>31</v>
      </c>
      <c r="G4" s="36" t="s">
        <v>423</v>
      </c>
      <c r="H4" s="36"/>
      <c r="I4" s="36" t="s">
        <v>32</v>
      </c>
      <c r="J4" s="36" t="s">
        <v>424</v>
      </c>
      <c r="K4" s="43"/>
      <c r="L4" s="43"/>
      <c r="M4" s="38" t="s">
        <v>425</v>
      </c>
      <c r="N4" s="44"/>
    </row>
    <row r="5" ht="27.0" customHeight="1">
      <c r="A5" s="18" t="s">
        <v>27</v>
      </c>
      <c r="B5" s="40" t="s">
        <v>427</v>
      </c>
      <c r="C5" s="19" t="s">
        <v>420</v>
      </c>
      <c r="D5" s="19" t="s">
        <v>421</v>
      </c>
      <c r="E5" s="19" t="s">
        <v>422</v>
      </c>
      <c r="F5" s="19" t="s">
        <v>31</v>
      </c>
      <c r="G5" s="19" t="s">
        <v>423</v>
      </c>
      <c r="H5" s="19"/>
      <c r="I5" s="19" t="s">
        <v>32</v>
      </c>
      <c r="J5" s="19" t="s">
        <v>424</v>
      </c>
      <c r="K5" s="19" t="s">
        <v>33</v>
      </c>
      <c r="L5" s="20"/>
      <c r="M5" s="41" t="s">
        <v>425</v>
      </c>
      <c r="N5" s="42"/>
    </row>
    <row r="6" ht="27.0" customHeight="1">
      <c r="A6" s="34" t="s">
        <v>27</v>
      </c>
      <c r="B6" s="35" t="s">
        <v>428</v>
      </c>
      <c r="C6" s="36" t="s">
        <v>420</v>
      </c>
      <c r="D6" s="36" t="s">
        <v>429</v>
      </c>
      <c r="E6" s="36" t="s">
        <v>422</v>
      </c>
      <c r="F6" s="36" t="s">
        <v>31</v>
      </c>
      <c r="G6" s="36" t="s">
        <v>423</v>
      </c>
      <c r="H6" s="36"/>
      <c r="I6" s="36" t="s">
        <v>32</v>
      </c>
      <c r="J6" s="36" t="s">
        <v>424</v>
      </c>
      <c r="K6" s="36" t="s">
        <v>33</v>
      </c>
      <c r="L6" s="43"/>
      <c r="M6" s="36" t="s">
        <v>425</v>
      </c>
      <c r="N6" s="44"/>
    </row>
    <row r="7" ht="27.0" customHeight="1">
      <c r="A7" s="18" t="s">
        <v>27</v>
      </c>
      <c r="B7" s="40" t="s">
        <v>430</v>
      </c>
      <c r="C7" s="19" t="s">
        <v>420</v>
      </c>
      <c r="D7" s="19" t="s">
        <v>421</v>
      </c>
      <c r="E7" s="19" t="s">
        <v>422</v>
      </c>
      <c r="F7" s="19" t="s">
        <v>31</v>
      </c>
      <c r="G7" s="19" t="s">
        <v>423</v>
      </c>
      <c r="H7" s="19"/>
      <c r="I7" s="19" t="s">
        <v>32</v>
      </c>
      <c r="J7" s="19" t="s">
        <v>424</v>
      </c>
      <c r="K7" s="19" t="s">
        <v>33</v>
      </c>
      <c r="L7" s="19" t="s">
        <v>431</v>
      </c>
      <c r="M7" s="19" t="s">
        <v>425</v>
      </c>
      <c r="N7" s="42"/>
    </row>
    <row r="8" ht="27.0" customHeight="1">
      <c r="A8" s="34" t="s">
        <v>27</v>
      </c>
      <c r="B8" s="35" t="s">
        <v>432</v>
      </c>
      <c r="C8" s="36" t="s">
        <v>420</v>
      </c>
      <c r="D8" s="36" t="s">
        <v>421</v>
      </c>
      <c r="E8" s="36" t="s">
        <v>422</v>
      </c>
      <c r="F8" s="36" t="s">
        <v>31</v>
      </c>
      <c r="G8" s="36" t="s">
        <v>423</v>
      </c>
      <c r="H8" s="36"/>
      <c r="I8" s="36" t="s">
        <v>32</v>
      </c>
      <c r="J8" s="36" t="s">
        <v>424</v>
      </c>
      <c r="K8" s="36" t="s">
        <v>33</v>
      </c>
      <c r="L8" s="36" t="s">
        <v>433</v>
      </c>
      <c r="M8" s="36" t="s">
        <v>425</v>
      </c>
      <c r="N8" s="44"/>
    </row>
    <row r="9" ht="27.0" customHeight="1">
      <c r="A9" s="18" t="s">
        <v>27</v>
      </c>
      <c r="B9" s="40" t="s">
        <v>434</v>
      </c>
      <c r="C9" s="19" t="s">
        <v>420</v>
      </c>
      <c r="D9" s="19" t="s">
        <v>421</v>
      </c>
      <c r="E9" s="19" t="s">
        <v>422</v>
      </c>
      <c r="F9" s="19" t="s">
        <v>31</v>
      </c>
      <c r="G9" s="19" t="s">
        <v>423</v>
      </c>
      <c r="H9" s="19"/>
      <c r="I9" s="19" t="s">
        <v>32</v>
      </c>
      <c r="J9" s="19" t="s">
        <v>424</v>
      </c>
      <c r="K9" s="19" t="s">
        <v>33</v>
      </c>
      <c r="L9" s="20"/>
      <c r="M9" s="19" t="s">
        <v>425</v>
      </c>
      <c r="N9" s="42"/>
    </row>
    <row r="10" ht="27.0" customHeight="1">
      <c r="A10" s="34" t="s">
        <v>27</v>
      </c>
      <c r="B10" s="35" t="s">
        <v>435</v>
      </c>
      <c r="C10" s="36" t="s">
        <v>420</v>
      </c>
      <c r="D10" s="36" t="s">
        <v>421</v>
      </c>
      <c r="E10" s="36" t="s">
        <v>422</v>
      </c>
      <c r="F10" s="36" t="s">
        <v>31</v>
      </c>
      <c r="G10" s="36" t="s">
        <v>423</v>
      </c>
      <c r="H10" s="36"/>
      <c r="I10" s="36" t="s">
        <v>32</v>
      </c>
      <c r="J10" s="36" t="s">
        <v>424</v>
      </c>
      <c r="K10" s="36" t="s">
        <v>33</v>
      </c>
      <c r="L10" s="43"/>
      <c r="M10" s="36" t="s">
        <v>425</v>
      </c>
      <c r="N10" s="44"/>
    </row>
    <row r="11" ht="27.0" customHeight="1">
      <c r="A11" s="18" t="s">
        <v>27</v>
      </c>
      <c r="B11" s="40" t="s">
        <v>436</v>
      </c>
      <c r="C11" s="19" t="s">
        <v>420</v>
      </c>
      <c r="D11" s="19" t="s">
        <v>421</v>
      </c>
      <c r="E11" s="19" t="s">
        <v>422</v>
      </c>
      <c r="F11" s="19" t="s">
        <v>31</v>
      </c>
      <c r="G11" s="19" t="s">
        <v>423</v>
      </c>
      <c r="H11" s="19"/>
      <c r="I11" s="19" t="s">
        <v>32</v>
      </c>
      <c r="J11" s="19" t="s">
        <v>424</v>
      </c>
      <c r="K11" s="19" t="s">
        <v>33</v>
      </c>
      <c r="L11" s="20"/>
      <c r="M11" s="19" t="s">
        <v>425</v>
      </c>
      <c r="N11" s="42"/>
    </row>
    <row r="12" ht="27.0" customHeight="1">
      <c r="A12" s="34" t="s">
        <v>53</v>
      </c>
      <c r="B12" s="36" t="s">
        <v>437</v>
      </c>
      <c r="C12" s="36" t="s">
        <v>84</v>
      </c>
      <c r="D12" s="36" t="s">
        <v>438</v>
      </c>
      <c r="E12" s="36" t="s">
        <v>439</v>
      </c>
      <c r="F12" s="36" t="s">
        <v>31</v>
      </c>
      <c r="G12" s="36" t="s">
        <v>440</v>
      </c>
      <c r="H12" s="24" t="s">
        <v>441</v>
      </c>
      <c r="I12" s="36" t="s">
        <v>216</v>
      </c>
      <c r="J12" s="36" t="s">
        <v>442</v>
      </c>
      <c r="K12" s="36" t="s">
        <v>33</v>
      </c>
      <c r="L12" s="43"/>
      <c r="M12" s="36" t="s">
        <v>425</v>
      </c>
      <c r="N12" s="44"/>
    </row>
    <row r="13" ht="27.0" customHeight="1">
      <c r="A13" s="18" t="s">
        <v>53</v>
      </c>
      <c r="B13" s="19" t="s">
        <v>443</v>
      </c>
      <c r="C13" s="19" t="s">
        <v>84</v>
      </c>
      <c r="D13" s="19" t="s">
        <v>438</v>
      </c>
      <c r="E13" s="19" t="s">
        <v>439</v>
      </c>
      <c r="F13" s="19" t="s">
        <v>31</v>
      </c>
      <c r="G13" s="19" t="s">
        <v>440</v>
      </c>
      <c r="H13" s="24" t="s">
        <v>441</v>
      </c>
      <c r="I13" s="19" t="s">
        <v>216</v>
      </c>
      <c r="J13" s="19" t="s">
        <v>442</v>
      </c>
      <c r="K13" s="19" t="s">
        <v>33</v>
      </c>
      <c r="L13" s="20"/>
      <c r="M13" s="19" t="s">
        <v>425</v>
      </c>
      <c r="N13" s="42"/>
    </row>
    <row r="14" ht="27.0" customHeight="1">
      <c r="A14" s="34" t="s">
        <v>53</v>
      </c>
      <c r="B14" s="36" t="s">
        <v>444</v>
      </c>
      <c r="C14" s="36" t="s">
        <v>84</v>
      </c>
      <c r="D14" s="36" t="s">
        <v>438</v>
      </c>
      <c r="E14" s="36" t="s">
        <v>439</v>
      </c>
      <c r="F14" s="36" t="s">
        <v>31</v>
      </c>
      <c r="G14" s="36" t="s">
        <v>440</v>
      </c>
      <c r="H14" s="24" t="s">
        <v>441</v>
      </c>
      <c r="I14" s="36" t="s">
        <v>216</v>
      </c>
      <c r="J14" s="36" t="s">
        <v>442</v>
      </c>
      <c r="K14" s="36" t="s">
        <v>33</v>
      </c>
      <c r="L14" s="43"/>
      <c r="M14" s="36" t="s">
        <v>425</v>
      </c>
      <c r="N14" s="44"/>
    </row>
    <row r="15" ht="27.0" customHeight="1">
      <c r="A15" s="18" t="s">
        <v>53</v>
      </c>
      <c r="B15" s="19" t="s">
        <v>445</v>
      </c>
      <c r="C15" s="19" t="s">
        <v>84</v>
      </c>
      <c r="D15" s="19" t="s">
        <v>438</v>
      </c>
      <c r="E15" s="19" t="s">
        <v>439</v>
      </c>
      <c r="F15" s="19" t="s">
        <v>31</v>
      </c>
      <c r="G15" s="19" t="s">
        <v>440</v>
      </c>
      <c r="H15" s="24" t="s">
        <v>441</v>
      </c>
      <c r="I15" s="19" t="s">
        <v>216</v>
      </c>
      <c r="J15" s="19" t="s">
        <v>442</v>
      </c>
      <c r="K15" s="19" t="s">
        <v>33</v>
      </c>
      <c r="L15" s="20"/>
      <c r="M15" s="19" t="s">
        <v>425</v>
      </c>
      <c r="N15" s="42"/>
    </row>
    <row r="16" ht="27.0" customHeight="1">
      <c r="A16" s="34" t="s">
        <v>53</v>
      </c>
      <c r="B16" s="36" t="s">
        <v>446</v>
      </c>
      <c r="C16" s="36" t="s">
        <v>84</v>
      </c>
      <c r="D16" s="36" t="s">
        <v>438</v>
      </c>
      <c r="E16" s="36" t="s">
        <v>439</v>
      </c>
      <c r="F16" s="36" t="s">
        <v>31</v>
      </c>
      <c r="G16" s="36" t="s">
        <v>440</v>
      </c>
      <c r="H16" s="24" t="s">
        <v>441</v>
      </c>
      <c r="I16" s="36" t="s">
        <v>216</v>
      </c>
      <c r="J16" s="36" t="s">
        <v>442</v>
      </c>
      <c r="K16" s="36" t="s">
        <v>33</v>
      </c>
      <c r="L16" s="43"/>
      <c r="M16" s="36" t="s">
        <v>425</v>
      </c>
      <c r="N16" s="44"/>
    </row>
    <row r="17" ht="27.0" customHeight="1">
      <c r="A17" s="18" t="s">
        <v>53</v>
      </c>
      <c r="B17" s="19" t="s">
        <v>447</v>
      </c>
      <c r="C17" s="19" t="s">
        <v>84</v>
      </c>
      <c r="D17" s="19" t="s">
        <v>438</v>
      </c>
      <c r="E17" s="19" t="s">
        <v>439</v>
      </c>
      <c r="F17" s="19" t="s">
        <v>31</v>
      </c>
      <c r="G17" s="19" t="s">
        <v>440</v>
      </c>
      <c r="H17" s="24" t="s">
        <v>441</v>
      </c>
      <c r="I17" s="19" t="s">
        <v>216</v>
      </c>
      <c r="J17" s="19" t="s">
        <v>442</v>
      </c>
      <c r="K17" s="19" t="s">
        <v>33</v>
      </c>
      <c r="L17" s="20"/>
      <c r="M17" s="19" t="s">
        <v>425</v>
      </c>
      <c r="N17" s="42"/>
    </row>
    <row r="18" ht="27.0" customHeight="1">
      <c r="A18" s="34" t="s">
        <v>53</v>
      </c>
      <c r="B18" s="36" t="s">
        <v>448</v>
      </c>
      <c r="C18" s="36" t="s">
        <v>84</v>
      </c>
      <c r="D18" s="36" t="s">
        <v>438</v>
      </c>
      <c r="E18" s="36" t="s">
        <v>439</v>
      </c>
      <c r="F18" s="36" t="s">
        <v>31</v>
      </c>
      <c r="G18" s="36" t="s">
        <v>440</v>
      </c>
      <c r="H18" s="24" t="s">
        <v>441</v>
      </c>
      <c r="I18" s="36" t="s">
        <v>216</v>
      </c>
      <c r="J18" s="36" t="s">
        <v>442</v>
      </c>
      <c r="K18" s="36" t="s">
        <v>33</v>
      </c>
      <c r="L18" s="43"/>
      <c r="M18" s="36" t="s">
        <v>425</v>
      </c>
      <c r="N18" s="44"/>
    </row>
    <row r="19" ht="27.0" customHeight="1">
      <c r="A19" s="18" t="s">
        <v>53</v>
      </c>
      <c r="B19" s="19" t="s">
        <v>449</v>
      </c>
      <c r="C19" s="19" t="s">
        <v>84</v>
      </c>
      <c r="D19" s="19" t="s">
        <v>438</v>
      </c>
      <c r="E19" s="19" t="s">
        <v>439</v>
      </c>
      <c r="F19" s="19" t="s">
        <v>31</v>
      </c>
      <c r="G19" s="19" t="s">
        <v>440</v>
      </c>
      <c r="H19" s="24" t="s">
        <v>441</v>
      </c>
      <c r="I19" s="19" t="s">
        <v>216</v>
      </c>
      <c r="J19" s="19" t="s">
        <v>442</v>
      </c>
      <c r="K19" s="19" t="s">
        <v>33</v>
      </c>
      <c r="L19" s="20"/>
      <c r="M19" s="19" t="s">
        <v>425</v>
      </c>
      <c r="N19" s="42"/>
    </row>
    <row r="20" ht="27.0" customHeight="1">
      <c r="A20" s="34" t="s">
        <v>53</v>
      </c>
      <c r="B20" s="36" t="s">
        <v>450</v>
      </c>
      <c r="C20" s="36" t="s">
        <v>84</v>
      </c>
      <c r="D20" s="36" t="s">
        <v>438</v>
      </c>
      <c r="E20" s="36" t="s">
        <v>439</v>
      </c>
      <c r="F20" s="36" t="s">
        <v>31</v>
      </c>
      <c r="G20" s="36" t="s">
        <v>440</v>
      </c>
      <c r="H20" s="24" t="s">
        <v>441</v>
      </c>
      <c r="I20" s="36" t="s">
        <v>216</v>
      </c>
      <c r="J20" s="36" t="s">
        <v>442</v>
      </c>
      <c r="K20" s="36" t="s">
        <v>33</v>
      </c>
      <c r="L20" s="43"/>
      <c r="M20" s="36" t="s">
        <v>425</v>
      </c>
      <c r="N20" s="44"/>
    </row>
    <row r="21" ht="27.0" customHeight="1">
      <c r="A21" s="18" t="s">
        <v>53</v>
      </c>
      <c r="B21" s="19" t="s">
        <v>451</v>
      </c>
      <c r="C21" s="19" t="s">
        <v>84</v>
      </c>
      <c r="D21" s="19" t="s">
        <v>438</v>
      </c>
      <c r="E21" s="19" t="s">
        <v>439</v>
      </c>
      <c r="F21" s="19" t="s">
        <v>31</v>
      </c>
      <c r="G21" s="19" t="s">
        <v>440</v>
      </c>
      <c r="H21" s="24" t="s">
        <v>441</v>
      </c>
      <c r="I21" s="19" t="s">
        <v>216</v>
      </c>
      <c r="J21" s="19" t="s">
        <v>442</v>
      </c>
      <c r="K21" s="19" t="s">
        <v>33</v>
      </c>
      <c r="L21" s="20"/>
      <c r="M21" s="19" t="s">
        <v>425</v>
      </c>
      <c r="N21" s="42"/>
    </row>
    <row r="22" ht="27.0" customHeight="1">
      <c r="A22" s="34" t="s">
        <v>88</v>
      </c>
      <c r="B22" s="45" t="s">
        <v>89</v>
      </c>
      <c r="C22" s="36" t="s">
        <v>84</v>
      </c>
      <c r="D22" s="36" t="s">
        <v>452</v>
      </c>
      <c r="E22" s="36" t="s">
        <v>34</v>
      </c>
      <c r="F22" s="36" t="s">
        <v>34</v>
      </c>
      <c r="G22" s="36" t="s">
        <v>34</v>
      </c>
      <c r="H22" s="36"/>
      <c r="I22" s="36" t="s">
        <v>34</v>
      </c>
      <c r="J22" s="36" t="s">
        <v>34</v>
      </c>
      <c r="K22" s="36" t="s">
        <v>34</v>
      </c>
      <c r="L22" s="43"/>
      <c r="M22" s="36" t="s">
        <v>36</v>
      </c>
      <c r="N22" s="44"/>
    </row>
    <row r="23" ht="27.0" customHeight="1">
      <c r="A23" s="18" t="s">
        <v>88</v>
      </c>
      <c r="B23" s="36" t="s">
        <v>453</v>
      </c>
      <c r="C23" s="19" t="s">
        <v>84</v>
      </c>
      <c r="D23" s="19" t="s">
        <v>452</v>
      </c>
      <c r="E23" s="19" t="s">
        <v>34</v>
      </c>
      <c r="F23" s="19" t="s">
        <v>34</v>
      </c>
      <c r="G23" s="19" t="s">
        <v>34</v>
      </c>
      <c r="H23" s="19"/>
      <c r="I23" s="19" t="s">
        <v>34</v>
      </c>
      <c r="J23" s="19" t="s">
        <v>34</v>
      </c>
      <c r="K23" s="19" t="s">
        <v>34</v>
      </c>
      <c r="L23" s="20"/>
      <c r="M23" s="19" t="s">
        <v>36</v>
      </c>
      <c r="N23" s="42"/>
    </row>
    <row r="24" ht="27.0" customHeight="1">
      <c r="A24" s="34" t="s">
        <v>88</v>
      </c>
      <c r="B24" s="45" t="s">
        <v>454</v>
      </c>
      <c r="C24" s="36" t="s">
        <v>84</v>
      </c>
      <c r="D24" s="36" t="s">
        <v>452</v>
      </c>
      <c r="E24" s="36" t="s">
        <v>34</v>
      </c>
      <c r="F24" s="36" t="s">
        <v>34</v>
      </c>
      <c r="G24" s="36" t="s">
        <v>34</v>
      </c>
      <c r="H24" s="36"/>
      <c r="I24" s="36" t="s">
        <v>34</v>
      </c>
      <c r="J24" s="36" t="s">
        <v>34</v>
      </c>
      <c r="K24" s="36" t="s">
        <v>34</v>
      </c>
      <c r="L24" s="43"/>
      <c r="M24" s="36" t="s">
        <v>36</v>
      </c>
      <c r="N24" s="44"/>
    </row>
    <row r="25" ht="27.0" customHeight="1">
      <c r="A25" s="18" t="s">
        <v>88</v>
      </c>
      <c r="B25" s="36" t="s">
        <v>455</v>
      </c>
      <c r="C25" s="19" t="s">
        <v>84</v>
      </c>
      <c r="D25" s="19" t="s">
        <v>452</v>
      </c>
      <c r="E25" s="19" t="s">
        <v>34</v>
      </c>
      <c r="F25" s="19" t="s">
        <v>34</v>
      </c>
      <c r="G25" s="19" t="s">
        <v>34</v>
      </c>
      <c r="H25" s="19"/>
      <c r="I25" s="19" t="s">
        <v>34</v>
      </c>
      <c r="J25" s="19" t="s">
        <v>34</v>
      </c>
      <c r="K25" s="19" t="s">
        <v>34</v>
      </c>
      <c r="L25" s="20"/>
      <c r="M25" s="19" t="s">
        <v>36</v>
      </c>
      <c r="N25" s="42"/>
    </row>
    <row r="26" ht="27.0" customHeight="1">
      <c r="A26" s="34" t="s">
        <v>88</v>
      </c>
      <c r="B26" s="45" t="s">
        <v>456</v>
      </c>
      <c r="C26" s="36" t="s">
        <v>84</v>
      </c>
      <c r="D26" s="36" t="s">
        <v>452</v>
      </c>
      <c r="E26" s="36" t="s">
        <v>34</v>
      </c>
      <c r="F26" s="36" t="s">
        <v>34</v>
      </c>
      <c r="G26" s="36" t="s">
        <v>34</v>
      </c>
      <c r="H26" s="36"/>
      <c r="I26" s="36" t="s">
        <v>34</v>
      </c>
      <c r="J26" s="36" t="s">
        <v>34</v>
      </c>
      <c r="K26" s="36" t="s">
        <v>34</v>
      </c>
      <c r="L26" s="43"/>
      <c r="M26" s="36" t="s">
        <v>36</v>
      </c>
      <c r="N26" s="44"/>
    </row>
    <row r="27" ht="27.0" customHeight="1">
      <c r="A27" s="46" t="s">
        <v>88</v>
      </c>
      <c r="B27" s="45" t="s">
        <v>201</v>
      </c>
      <c r="C27" s="45" t="s">
        <v>184</v>
      </c>
      <c r="D27" s="45" t="s">
        <v>457</v>
      </c>
      <c r="E27" s="45" t="s">
        <v>34</v>
      </c>
      <c r="F27" s="45" t="s">
        <v>34</v>
      </c>
      <c r="G27" s="45" t="s">
        <v>34</v>
      </c>
      <c r="H27" s="45"/>
      <c r="I27" s="45" t="s">
        <v>34</v>
      </c>
      <c r="J27" s="45" t="s">
        <v>34</v>
      </c>
      <c r="K27" s="45" t="s">
        <v>34</v>
      </c>
      <c r="L27" s="47"/>
      <c r="M27" s="19" t="s">
        <v>36</v>
      </c>
      <c r="N27" s="48"/>
    </row>
    <row r="28" ht="27.0" customHeight="1">
      <c r="A28" s="34" t="s">
        <v>88</v>
      </c>
      <c r="B28" s="36" t="s">
        <v>40</v>
      </c>
      <c r="C28" s="36" t="s">
        <v>184</v>
      </c>
      <c r="D28" s="36" t="s">
        <v>457</v>
      </c>
      <c r="E28" s="36" t="s">
        <v>34</v>
      </c>
      <c r="F28" s="36" t="s">
        <v>34</v>
      </c>
      <c r="G28" s="36" t="s">
        <v>34</v>
      </c>
      <c r="H28" s="36"/>
      <c r="I28" s="36" t="s">
        <v>34</v>
      </c>
      <c r="J28" s="36" t="s">
        <v>34</v>
      </c>
      <c r="K28" s="36" t="s">
        <v>34</v>
      </c>
      <c r="L28" s="43"/>
      <c r="M28" s="36" t="s">
        <v>36</v>
      </c>
      <c r="N28" s="44"/>
    </row>
    <row r="29" ht="27.0" customHeight="1">
      <c r="A29" s="18" t="s">
        <v>47</v>
      </c>
      <c r="B29" s="19" t="s">
        <v>458</v>
      </c>
      <c r="C29" s="19" t="s">
        <v>34</v>
      </c>
      <c r="D29" s="19" t="s">
        <v>34</v>
      </c>
      <c r="E29" s="19" t="s">
        <v>34</v>
      </c>
      <c r="F29" s="19" t="s">
        <v>34</v>
      </c>
      <c r="G29" s="19" t="s">
        <v>34</v>
      </c>
      <c r="H29" s="19"/>
      <c r="I29" s="19" t="s">
        <v>34</v>
      </c>
      <c r="J29" s="19" t="s">
        <v>34</v>
      </c>
      <c r="K29" s="19" t="s">
        <v>34</v>
      </c>
      <c r="L29" s="20"/>
      <c r="M29" s="20"/>
      <c r="N29" s="42"/>
    </row>
    <row r="30" ht="27.0" customHeight="1">
      <c r="A30" s="34" t="s">
        <v>118</v>
      </c>
      <c r="B30" s="36" t="s">
        <v>212</v>
      </c>
      <c r="C30" s="36" t="s">
        <v>29</v>
      </c>
      <c r="D30" s="36" t="s">
        <v>459</v>
      </c>
      <c r="E30" s="36" t="s">
        <v>422</v>
      </c>
      <c r="F30" s="36" t="s">
        <v>31</v>
      </c>
      <c r="G30" s="36" t="s">
        <v>460</v>
      </c>
      <c r="H30" s="36"/>
      <c r="I30" s="36" t="s">
        <v>32</v>
      </c>
      <c r="J30" s="36" t="s">
        <v>34</v>
      </c>
      <c r="K30" s="36" t="s">
        <v>34</v>
      </c>
      <c r="L30" s="43"/>
      <c r="M30" s="36" t="s">
        <v>461</v>
      </c>
      <c r="N30" s="44"/>
    </row>
    <row r="31" ht="27.0" customHeight="1">
      <c r="A31" s="46" t="s">
        <v>118</v>
      </c>
      <c r="B31" s="45" t="s">
        <v>462</v>
      </c>
      <c r="C31" s="19" t="s">
        <v>29</v>
      </c>
      <c r="D31" s="19" t="s">
        <v>321</v>
      </c>
      <c r="E31" s="19" t="s">
        <v>422</v>
      </c>
      <c r="F31" s="19" t="s">
        <v>31</v>
      </c>
      <c r="G31" s="19" t="s">
        <v>460</v>
      </c>
      <c r="H31" s="19"/>
      <c r="I31" s="19" t="s">
        <v>32</v>
      </c>
      <c r="J31" s="19" t="s">
        <v>34</v>
      </c>
      <c r="K31" s="19" t="s">
        <v>34</v>
      </c>
      <c r="L31" s="20"/>
      <c r="M31" s="19" t="s">
        <v>185</v>
      </c>
      <c r="N31" s="42"/>
    </row>
    <row r="32" ht="27.0" customHeight="1">
      <c r="A32" s="34" t="s">
        <v>155</v>
      </c>
      <c r="B32" s="36" t="s">
        <v>463</v>
      </c>
      <c r="C32" s="36" t="s">
        <v>34</v>
      </c>
      <c r="D32" s="36" t="s">
        <v>34</v>
      </c>
      <c r="E32" s="36" t="s">
        <v>34</v>
      </c>
      <c r="F32" s="36" t="s">
        <v>34</v>
      </c>
      <c r="G32" s="36" t="s">
        <v>34</v>
      </c>
      <c r="H32" s="36"/>
      <c r="I32" s="36" t="s">
        <v>34</v>
      </c>
      <c r="J32" s="36" t="s">
        <v>34</v>
      </c>
      <c r="K32" s="36" t="s">
        <v>34</v>
      </c>
      <c r="L32" s="36" t="s">
        <v>34</v>
      </c>
      <c r="M32" s="36" t="s">
        <v>34</v>
      </c>
      <c r="N32" s="44"/>
    </row>
    <row r="33" ht="27.0" customHeight="1">
      <c r="A33" s="18" t="s">
        <v>129</v>
      </c>
      <c r="B33" s="19" t="s">
        <v>464</v>
      </c>
      <c r="C33" s="19" t="s">
        <v>34</v>
      </c>
      <c r="D33" s="19" t="s">
        <v>34</v>
      </c>
      <c r="E33" s="19" t="s">
        <v>34</v>
      </c>
      <c r="F33" s="19" t="s">
        <v>34</v>
      </c>
      <c r="G33" s="19" t="s">
        <v>34</v>
      </c>
      <c r="H33" s="19"/>
      <c r="I33" s="19" t="s">
        <v>34</v>
      </c>
      <c r="J33" s="19" t="s">
        <v>34</v>
      </c>
      <c r="K33" s="19" t="s">
        <v>34</v>
      </c>
      <c r="L33" s="19" t="s">
        <v>34</v>
      </c>
      <c r="M33" s="19" t="s">
        <v>34</v>
      </c>
      <c r="N33" s="42"/>
    </row>
    <row r="34" ht="27.0" customHeight="1">
      <c r="A34" s="34" t="s">
        <v>200</v>
      </c>
      <c r="B34" s="36" t="s">
        <v>200</v>
      </c>
      <c r="C34" s="36" t="s">
        <v>29</v>
      </c>
      <c r="D34" s="36" t="s">
        <v>465</v>
      </c>
      <c r="E34" s="36" t="s">
        <v>422</v>
      </c>
      <c r="F34" s="36" t="s">
        <v>31</v>
      </c>
      <c r="G34" s="36" t="s">
        <v>34</v>
      </c>
      <c r="H34" s="36"/>
      <c r="I34" s="36" t="s">
        <v>32</v>
      </c>
      <c r="J34" s="36" t="s">
        <v>466</v>
      </c>
      <c r="K34" s="36" t="s">
        <v>34</v>
      </c>
      <c r="L34" s="43"/>
      <c r="M34" s="36" t="s">
        <v>185</v>
      </c>
      <c r="N34" s="44"/>
    </row>
    <row r="35" ht="27.0" customHeight="1">
      <c r="A35" s="46" t="s">
        <v>212</v>
      </c>
      <c r="B35" s="45" t="s">
        <v>467</v>
      </c>
      <c r="C35" s="45" t="s">
        <v>29</v>
      </c>
      <c r="D35" s="45" t="s">
        <v>468</v>
      </c>
      <c r="E35" s="45" t="s">
        <v>469</v>
      </c>
      <c r="F35" s="45" t="s">
        <v>31</v>
      </c>
      <c r="G35" s="45" t="s">
        <v>470</v>
      </c>
      <c r="H35" s="45"/>
      <c r="I35" s="45" t="s">
        <v>32</v>
      </c>
      <c r="J35" s="45" t="s">
        <v>471</v>
      </c>
      <c r="K35" s="45" t="s">
        <v>34</v>
      </c>
      <c r="L35" s="47"/>
      <c r="M35" s="45" t="s">
        <v>188</v>
      </c>
      <c r="N35" s="48"/>
    </row>
    <row r="36" ht="27.0" customHeight="1">
      <c r="A36" s="34" t="s">
        <v>232</v>
      </c>
      <c r="B36" s="36" t="s">
        <v>278</v>
      </c>
      <c r="C36" s="36" t="s">
        <v>29</v>
      </c>
      <c r="D36" s="36" t="s">
        <v>472</v>
      </c>
      <c r="E36" s="36" t="s">
        <v>34</v>
      </c>
      <c r="F36" s="36" t="s">
        <v>31</v>
      </c>
      <c r="G36" s="36" t="s">
        <v>34</v>
      </c>
      <c r="H36" s="36"/>
      <c r="I36" s="36" t="s">
        <v>34</v>
      </c>
      <c r="J36" s="36" t="s">
        <v>473</v>
      </c>
      <c r="K36" s="36" t="s">
        <v>34</v>
      </c>
      <c r="L36" s="36" t="s">
        <v>34</v>
      </c>
      <c r="M36" s="36" t="s">
        <v>112</v>
      </c>
      <c r="N36" s="44"/>
    </row>
    <row r="37" ht="27.0" customHeight="1">
      <c r="A37" s="18" t="s">
        <v>232</v>
      </c>
      <c r="B37" s="19" t="s">
        <v>474</v>
      </c>
      <c r="C37" s="19" t="s">
        <v>29</v>
      </c>
      <c r="D37" s="19" t="s">
        <v>475</v>
      </c>
      <c r="E37" s="19" t="s">
        <v>34</v>
      </c>
      <c r="F37" s="19" t="s">
        <v>31</v>
      </c>
      <c r="G37" s="19" t="s">
        <v>34</v>
      </c>
      <c r="H37" s="19"/>
      <c r="I37" s="19" t="s">
        <v>34</v>
      </c>
      <c r="J37" s="19" t="s">
        <v>473</v>
      </c>
      <c r="K37" s="19" t="s">
        <v>34</v>
      </c>
      <c r="L37" s="19" t="s">
        <v>34</v>
      </c>
      <c r="M37" s="19" t="s">
        <v>476</v>
      </c>
      <c r="N37" s="42"/>
    </row>
    <row r="38" ht="27.0" customHeight="1">
      <c r="A38" s="34" t="s">
        <v>232</v>
      </c>
      <c r="B38" s="36" t="s">
        <v>477</v>
      </c>
      <c r="C38" s="36" t="s">
        <v>29</v>
      </c>
      <c r="D38" s="36" t="s">
        <v>475</v>
      </c>
      <c r="E38" s="36" t="s">
        <v>34</v>
      </c>
      <c r="F38" s="36" t="s">
        <v>31</v>
      </c>
      <c r="G38" s="36" t="s">
        <v>34</v>
      </c>
      <c r="H38" s="36"/>
      <c r="I38" s="36" t="s">
        <v>34</v>
      </c>
      <c r="J38" s="36" t="s">
        <v>473</v>
      </c>
      <c r="K38" s="36" t="s">
        <v>34</v>
      </c>
      <c r="L38" s="36" t="s">
        <v>34</v>
      </c>
      <c r="M38" s="36" t="s">
        <v>170</v>
      </c>
      <c r="N38" s="44"/>
    </row>
    <row r="39" ht="27.0" customHeight="1">
      <c r="A39" s="18" t="s">
        <v>232</v>
      </c>
      <c r="B39" s="19" t="s">
        <v>478</v>
      </c>
      <c r="C39" s="19" t="s">
        <v>29</v>
      </c>
      <c r="D39" s="19" t="s">
        <v>472</v>
      </c>
      <c r="E39" s="19" t="s">
        <v>34</v>
      </c>
      <c r="F39" s="19" t="s">
        <v>31</v>
      </c>
      <c r="G39" s="19" t="s">
        <v>34</v>
      </c>
      <c r="H39" s="19"/>
      <c r="I39" s="19" t="s">
        <v>34</v>
      </c>
      <c r="J39" s="19" t="s">
        <v>473</v>
      </c>
      <c r="K39" s="19" t="s">
        <v>34</v>
      </c>
      <c r="L39" s="19" t="s">
        <v>34</v>
      </c>
      <c r="M39" s="19" t="s">
        <v>112</v>
      </c>
      <c r="N39" s="42"/>
    </row>
    <row r="40" ht="27.0" customHeight="1">
      <c r="A40" s="34" t="s">
        <v>232</v>
      </c>
      <c r="B40" s="36" t="s">
        <v>277</v>
      </c>
      <c r="C40" s="36" t="s">
        <v>29</v>
      </c>
      <c r="D40" s="36" t="s">
        <v>472</v>
      </c>
      <c r="E40" s="36" t="s">
        <v>34</v>
      </c>
      <c r="F40" s="36" t="s">
        <v>31</v>
      </c>
      <c r="G40" s="36" t="s">
        <v>34</v>
      </c>
      <c r="H40" s="36"/>
      <c r="I40" s="36" t="s">
        <v>34</v>
      </c>
      <c r="J40" s="36" t="s">
        <v>473</v>
      </c>
      <c r="K40" s="36" t="s">
        <v>34</v>
      </c>
      <c r="L40" s="36" t="s">
        <v>34</v>
      </c>
      <c r="M40" s="36" t="s">
        <v>112</v>
      </c>
      <c r="N40" s="44"/>
    </row>
    <row r="41" ht="27.0" customHeight="1">
      <c r="A41" s="18" t="s">
        <v>232</v>
      </c>
      <c r="B41" s="19" t="s">
        <v>479</v>
      </c>
      <c r="C41" s="19" t="s">
        <v>29</v>
      </c>
      <c r="D41" s="19" t="s">
        <v>475</v>
      </c>
      <c r="E41" s="19" t="s">
        <v>34</v>
      </c>
      <c r="F41" s="19" t="s">
        <v>31</v>
      </c>
      <c r="G41" s="19" t="s">
        <v>34</v>
      </c>
      <c r="H41" s="19"/>
      <c r="I41" s="19" t="s">
        <v>34</v>
      </c>
      <c r="J41" s="19" t="s">
        <v>473</v>
      </c>
      <c r="K41" s="19" t="s">
        <v>34</v>
      </c>
      <c r="L41" s="19" t="s">
        <v>34</v>
      </c>
      <c r="M41" s="19" t="s">
        <v>235</v>
      </c>
      <c r="N41" s="42"/>
    </row>
    <row r="42" ht="27.0" customHeight="1">
      <c r="A42" s="34" t="s">
        <v>245</v>
      </c>
      <c r="B42" s="36" t="s">
        <v>480</v>
      </c>
      <c r="C42" s="36" t="s">
        <v>29</v>
      </c>
      <c r="D42" s="36" t="s">
        <v>481</v>
      </c>
      <c r="E42" s="36" t="s">
        <v>422</v>
      </c>
      <c r="F42" s="36" t="s">
        <v>31</v>
      </c>
      <c r="G42" s="36" t="s">
        <v>34</v>
      </c>
      <c r="H42" s="36"/>
      <c r="I42" s="36" t="s">
        <v>32</v>
      </c>
      <c r="J42" s="49" t="s">
        <v>482</v>
      </c>
      <c r="K42" s="43"/>
      <c r="L42" s="43"/>
      <c r="M42" s="36" t="s">
        <v>483</v>
      </c>
      <c r="N42" s="44"/>
    </row>
    <row r="43" ht="27.0" customHeight="1">
      <c r="A43" s="18" t="s">
        <v>211</v>
      </c>
      <c r="B43" s="19" t="s">
        <v>201</v>
      </c>
      <c r="C43" s="19" t="s">
        <v>69</v>
      </c>
      <c r="D43" s="19" t="s">
        <v>484</v>
      </c>
      <c r="E43" s="19" t="s">
        <v>34</v>
      </c>
      <c r="F43" s="19" t="s">
        <v>34</v>
      </c>
      <c r="G43" s="19" t="s">
        <v>34</v>
      </c>
      <c r="H43" s="19"/>
      <c r="I43" s="19" t="s">
        <v>34</v>
      </c>
      <c r="J43" s="19" t="s">
        <v>34</v>
      </c>
      <c r="K43" s="20"/>
      <c r="L43" s="20"/>
      <c r="M43" s="19" t="s">
        <v>36</v>
      </c>
      <c r="N43" s="42"/>
    </row>
    <row r="44" ht="27.0" customHeight="1">
      <c r="A44" s="34" t="s">
        <v>211</v>
      </c>
      <c r="B44" s="36" t="s">
        <v>200</v>
      </c>
      <c r="C44" s="36" t="s">
        <v>69</v>
      </c>
      <c r="D44" s="36" t="s">
        <v>34</v>
      </c>
      <c r="E44" s="36" t="s">
        <v>34</v>
      </c>
      <c r="F44" s="36" t="s">
        <v>34</v>
      </c>
      <c r="G44" s="36" t="s">
        <v>34</v>
      </c>
      <c r="H44" s="36"/>
      <c r="I44" s="36" t="s">
        <v>34</v>
      </c>
      <c r="J44" s="36" t="s">
        <v>34</v>
      </c>
      <c r="K44" s="43"/>
      <c r="L44" s="43"/>
      <c r="M44" s="36" t="s">
        <v>185</v>
      </c>
      <c r="N44" s="44"/>
    </row>
    <row r="45" ht="27.0" customHeight="1">
      <c r="A45" s="18" t="s">
        <v>211</v>
      </c>
      <c r="B45" s="19" t="s">
        <v>245</v>
      </c>
      <c r="C45" s="19" t="s">
        <v>69</v>
      </c>
      <c r="D45" s="19" t="s">
        <v>485</v>
      </c>
      <c r="E45" s="19" t="s">
        <v>34</v>
      </c>
      <c r="F45" s="19" t="s">
        <v>34</v>
      </c>
      <c r="G45" s="19" t="s">
        <v>34</v>
      </c>
      <c r="H45" s="19"/>
      <c r="I45" s="19" t="s">
        <v>34</v>
      </c>
      <c r="J45" s="19" t="s">
        <v>486</v>
      </c>
      <c r="K45" s="20"/>
      <c r="L45" s="20"/>
      <c r="M45" s="19" t="s">
        <v>461</v>
      </c>
      <c r="N45" s="42"/>
    </row>
    <row r="46" ht="27.0" customHeight="1">
      <c r="A46" s="34" t="s">
        <v>211</v>
      </c>
      <c r="B46" s="36" t="s">
        <v>47</v>
      </c>
      <c r="C46" s="36" t="s">
        <v>69</v>
      </c>
      <c r="D46" s="36" t="s">
        <v>485</v>
      </c>
      <c r="E46" s="36" t="s">
        <v>34</v>
      </c>
      <c r="F46" s="36" t="s">
        <v>34</v>
      </c>
      <c r="G46" s="36" t="s">
        <v>34</v>
      </c>
      <c r="H46" s="36"/>
      <c r="I46" s="36" t="s">
        <v>34</v>
      </c>
      <c r="J46" s="36" t="s">
        <v>487</v>
      </c>
      <c r="K46" s="43"/>
      <c r="L46" s="43"/>
      <c r="M46" s="36" t="s">
        <v>461</v>
      </c>
      <c r="N46" s="44"/>
    </row>
    <row r="47" ht="27.0" customHeight="1">
      <c r="A47" s="18" t="s">
        <v>281</v>
      </c>
      <c r="B47" s="50" t="s">
        <v>488</v>
      </c>
      <c r="C47" s="20"/>
      <c r="D47" s="19" t="s">
        <v>489</v>
      </c>
      <c r="E47" s="19" t="s">
        <v>422</v>
      </c>
      <c r="F47" s="19" t="s">
        <v>31</v>
      </c>
      <c r="G47" s="19" t="s">
        <v>490</v>
      </c>
      <c r="H47" s="19"/>
      <c r="I47" s="19" t="s">
        <v>32</v>
      </c>
      <c r="J47" s="19" t="s">
        <v>491</v>
      </c>
      <c r="K47" s="20"/>
      <c r="L47" s="20"/>
      <c r="M47" s="20"/>
      <c r="N47" s="42"/>
    </row>
    <row r="48" ht="27.0" customHeight="1">
      <c r="A48" s="34" t="s">
        <v>230</v>
      </c>
      <c r="B48" s="36" t="s">
        <v>492</v>
      </c>
      <c r="C48" s="36" t="s">
        <v>69</v>
      </c>
      <c r="D48" s="36" t="s">
        <v>34</v>
      </c>
      <c r="E48" s="36" t="s">
        <v>34</v>
      </c>
      <c r="F48" s="36" t="s">
        <v>34</v>
      </c>
      <c r="G48" s="36" t="s">
        <v>34</v>
      </c>
      <c r="H48" s="36"/>
      <c r="I48" s="36" t="s">
        <v>34</v>
      </c>
      <c r="J48" s="36" t="s">
        <v>90</v>
      </c>
      <c r="K48" s="43"/>
      <c r="L48" s="43"/>
      <c r="M48" s="36" t="s">
        <v>188</v>
      </c>
      <c r="N48" s="44"/>
    </row>
    <row r="49" ht="27.0" customHeight="1">
      <c r="A49" s="18" t="s">
        <v>230</v>
      </c>
      <c r="B49" s="19" t="s">
        <v>493</v>
      </c>
      <c r="C49" s="19" t="s">
        <v>69</v>
      </c>
      <c r="D49" s="19" t="s">
        <v>34</v>
      </c>
      <c r="E49" s="19" t="s">
        <v>34</v>
      </c>
      <c r="F49" s="19" t="s">
        <v>34</v>
      </c>
      <c r="G49" s="19" t="s">
        <v>34</v>
      </c>
      <c r="H49" s="19"/>
      <c r="I49" s="19" t="s">
        <v>34</v>
      </c>
      <c r="J49" s="19" t="s">
        <v>90</v>
      </c>
      <c r="K49" s="20"/>
      <c r="L49" s="20"/>
      <c r="M49" s="19" t="s">
        <v>188</v>
      </c>
      <c r="N49" s="42"/>
    </row>
    <row r="50" ht="27.0" customHeight="1">
      <c r="A50" s="34" t="s">
        <v>230</v>
      </c>
      <c r="B50" s="36" t="s">
        <v>494</v>
      </c>
      <c r="C50" s="36" t="s">
        <v>69</v>
      </c>
      <c r="D50" s="36" t="s">
        <v>34</v>
      </c>
      <c r="E50" s="36" t="s">
        <v>34</v>
      </c>
      <c r="F50" s="36" t="s">
        <v>34</v>
      </c>
      <c r="G50" s="36" t="s">
        <v>34</v>
      </c>
      <c r="H50" s="36"/>
      <c r="I50" s="36" t="s">
        <v>34</v>
      </c>
      <c r="J50" s="36" t="s">
        <v>90</v>
      </c>
      <c r="K50" s="43"/>
      <c r="L50" s="43"/>
      <c r="M50" s="36" t="s">
        <v>188</v>
      </c>
      <c r="N50" s="44"/>
    </row>
    <row r="51" ht="27.0" customHeight="1">
      <c r="A51" s="18" t="s">
        <v>230</v>
      </c>
      <c r="B51" s="19" t="s">
        <v>495</v>
      </c>
      <c r="C51" s="19" t="s">
        <v>69</v>
      </c>
      <c r="D51" s="19" t="s">
        <v>34</v>
      </c>
      <c r="E51" s="19" t="s">
        <v>34</v>
      </c>
      <c r="F51" s="19" t="s">
        <v>34</v>
      </c>
      <c r="G51" s="19" t="s">
        <v>34</v>
      </c>
      <c r="H51" s="19"/>
      <c r="I51" s="19" t="s">
        <v>34</v>
      </c>
      <c r="J51" s="19" t="s">
        <v>90</v>
      </c>
      <c r="K51" s="20"/>
      <c r="L51" s="20"/>
      <c r="M51" s="19" t="s">
        <v>188</v>
      </c>
      <c r="N51" s="42"/>
    </row>
    <row r="52" ht="27.0" customHeight="1">
      <c r="A52" s="34" t="s">
        <v>230</v>
      </c>
      <c r="B52" s="36" t="s">
        <v>496</v>
      </c>
      <c r="C52" s="36" t="s">
        <v>69</v>
      </c>
      <c r="D52" s="36" t="s">
        <v>34</v>
      </c>
      <c r="E52" s="36" t="s">
        <v>34</v>
      </c>
      <c r="F52" s="36" t="s">
        <v>34</v>
      </c>
      <c r="G52" s="36" t="s">
        <v>34</v>
      </c>
      <c r="H52" s="36"/>
      <c r="I52" s="36" t="s">
        <v>34</v>
      </c>
      <c r="J52" s="36" t="s">
        <v>90</v>
      </c>
      <c r="K52" s="43"/>
      <c r="L52" s="43"/>
      <c r="M52" s="36" t="s">
        <v>188</v>
      </c>
      <c r="N52" s="44"/>
    </row>
    <row r="53" ht="27.0" customHeight="1">
      <c r="A53" s="18" t="s">
        <v>230</v>
      </c>
      <c r="B53" s="19" t="s">
        <v>497</v>
      </c>
      <c r="C53" s="19" t="s">
        <v>69</v>
      </c>
      <c r="D53" s="19" t="s">
        <v>34</v>
      </c>
      <c r="E53" s="19" t="s">
        <v>34</v>
      </c>
      <c r="F53" s="19" t="s">
        <v>34</v>
      </c>
      <c r="G53" s="19" t="s">
        <v>34</v>
      </c>
      <c r="H53" s="19"/>
      <c r="I53" s="19" t="s">
        <v>34</v>
      </c>
      <c r="J53" s="19" t="s">
        <v>90</v>
      </c>
      <c r="K53" s="20"/>
      <c r="L53" s="20"/>
      <c r="M53" s="19" t="s">
        <v>188</v>
      </c>
      <c r="N53" s="42"/>
    </row>
    <row r="54" ht="27.0" customHeight="1">
      <c r="A54" s="34" t="s">
        <v>208</v>
      </c>
      <c r="B54" s="36" t="s">
        <v>200</v>
      </c>
      <c r="C54" s="36" t="s">
        <v>69</v>
      </c>
      <c r="D54" s="36" t="s">
        <v>498</v>
      </c>
      <c r="E54" s="36" t="s">
        <v>422</v>
      </c>
      <c r="F54" s="36" t="s">
        <v>31</v>
      </c>
      <c r="G54" s="36" t="s">
        <v>499</v>
      </c>
      <c r="H54" s="24" t="s">
        <v>500</v>
      </c>
      <c r="I54" s="36" t="s">
        <v>32</v>
      </c>
      <c r="J54" s="43"/>
      <c r="K54" s="43"/>
      <c r="L54" s="43"/>
      <c r="M54" s="36" t="s">
        <v>185</v>
      </c>
      <c r="N54" s="44"/>
    </row>
    <row r="55" ht="27.0" customHeight="1">
      <c r="A55" s="18" t="s">
        <v>312</v>
      </c>
      <c r="B55" s="19" t="s">
        <v>211</v>
      </c>
      <c r="C55" s="19" t="s">
        <v>29</v>
      </c>
      <c r="D55" s="19" t="s">
        <v>372</v>
      </c>
      <c r="E55" s="20"/>
      <c r="F55" s="20"/>
      <c r="G55" s="19" t="s">
        <v>501</v>
      </c>
      <c r="H55" s="20"/>
      <c r="I55" s="20"/>
      <c r="J55" s="20"/>
      <c r="K55" s="20"/>
      <c r="L55" s="20"/>
      <c r="M55" s="19" t="s">
        <v>502</v>
      </c>
      <c r="N55" s="42"/>
    </row>
    <row r="56" ht="27.0" customHeight="1">
      <c r="A56" s="34" t="s">
        <v>283</v>
      </c>
      <c r="B56" s="36" t="s">
        <v>231</v>
      </c>
      <c r="C56" s="36" t="s">
        <v>29</v>
      </c>
      <c r="D56" s="36" t="s">
        <v>34</v>
      </c>
      <c r="E56" s="36" t="s">
        <v>34</v>
      </c>
      <c r="F56" s="36" t="s">
        <v>34</v>
      </c>
      <c r="G56" s="36" t="s">
        <v>34</v>
      </c>
      <c r="H56" s="36"/>
      <c r="I56" s="36" t="s">
        <v>34</v>
      </c>
      <c r="J56" s="36" t="s">
        <v>90</v>
      </c>
      <c r="K56" s="43"/>
      <c r="L56" s="36" t="s">
        <v>503</v>
      </c>
      <c r="M56" s="36" t="s">
        <v>36</v>
      </c>
      <c r="N56" s="44"/>
    </row>
    <row r="57" ht="27.0" customHeight="1">
      <c r="A57" s="18" t="s">
        <v>283</v>
      </c>
      <c r="B57" s="19" t="s">
        <v>47</v>
      </c>
      <c r="C57" s="19" t="s">
        <v>29</v>
      </c>
      <c r="D57" s="19" t="s">
        <v>34</v>
      </c>
      <c r="E57" s="19" t="s">
        <v>34</v>
      </c>
      <c r="F57" s="19" t="s">
        <v>34</v>
      </c>
      <c r="G57" s="19" t="s">
        <v>34</v>
      </c>
      <c r="H57" s="19"/>
      <c r="I57" s="19" t="s">
        <v>34</v>
      </c>
      <c r="J57" s="19" t="s">
        <v>90</v>
      </c>
      <c r="K57" s="20"/>
      <c r="L57" s="19" t="s">
        <v>47</v>
      </c>
      <c r="M57" s="19" t="s">
        <v>36</v>
      </c>
      <c r="N57" s="42"/>
    </row>
    <row r="58" ht="27.0" customHeight="1">
      <c r="A58" s="34" t="s">
        <v>283</v>
      </c>
      <c r="B58" s="36" t="s">
        <v>504</v>
      </c>
      <c r="C58" s="36" t="s">
        <v>29</v>
      </c>
      <c r="D58" s="36" t="s">
        <v>34</v>
      </c>
      <c r="E58" s="36" t="s">
        <v>34</v>
      </c>
      <c r="F58" s="36" t="s">
        <v>34</v>
      </c>
      <c r="G58" s="36" t="s">
        <v>34</v>
      </c>
      <c r="H58" s="36"/>
      <c r="I58" s="36" t="s">
        <v>34</v>
      </c>
      <c r="J58" s="36" t="s">
        <v>90</v>
      </c>
      <c r="K58" s="43"/>
      <c r="L58" s="43"/>
      <c r="M58" s="36" t="s">
        <v>36</v>
      </c>
      <c r="N58" s="44"/>
    </row>
    <row r="59" ht="27.0" customHeight="1">
      <c r="A59" s="18" t="s">
        <v>283</v>
      </c>
      <c r="B59" s="19" t="s">
        <v>47</v>
      </c>
      <c r="C59" s="19" t="s">
        <v>29</v>
      </c>
      <c r="D59" s="19" t="s">
        <v>34</v>
      </c>
      <c r="E59" s="19" t="s">
        <v>34</v>
      </c>
      <c r="F59" s="19" t="s">
        <v>34</v>
      </c>
      <c r="G59" s="19" t="s">
        <v>34</v>
      </c>
      <c r="H59" s="19"/>
      <c r="I59" s="19" t="s">
        <v>34</v>
      </c>
      <c r="J59" s="19" t="s">
        <v>90</v>
      </c>
      <c r="K59" s="20"/>
      <c r="L59" s="19" t="s">
        <v>505</v>
      </c>
      <c r="M59" s="19" t="s">
        <v>36</v>
      </c>
      <c r="N59" s="42"/>
    </row>
    <row r="60" ht="27.0" customHeight="1">
      <c r="A60" s="34" t="s">
        <v>283</v>
      </c>
      <c r="B60" s="36" t="s">
        <v>351</v>
      </c>
      <c r="C60" s="36" t="s">
        <v>29</v>
      </c>
      <c r="D60" s="36" t="s">
        <v>34</v>
      </c>
      <c r="E60" s="36" t="s">
        <v>34</v>
      </c>
      <c r="F60" s="36" t="s">
        <v>34</v>
      </c>
      <c r="G60" s="36" t="s">
        <v>34</v>
      </c>
      <c r="H60" s="36"/>
      <c r="I60" s="36" t="s">
        <v>34</v>
      </c>
      <c r="J60" s="36" t="s">
        <v>90</v>
      </c>
      <c r="K60" s="43"/>
      <c r="L60" s="43"/>
      <c r="M60" s="36" t="s">
        <v>36</v>
      </c>
      <c r="N60" s="44"/>
    </row>
    <row r="61" ht="27.0" customHeight="1">
      <c r="A61" s="18" t="s">
        <v>283</v>
      </c>
      <c r="B61" s="19" t="s">
        <v>53</v>
      </c>
      <c r="C61" s="19" t="s">
        <v>29</v>
      </c>
      <c r="D61" s="19" t="s">
        <v>34</v>
      </c>
      <c r="E61" s="19" t="s">
        <v>34</v>
      </c>
      <c r="F61" s="19" t="s">
        <v>34</v>
      </c>
      <c r="G61" s="19" t="s">
        <v>34</v>
      </c>
      <c r="H61" s="19"/>
      <c r="I61" s="19" t="s">
        <v>34</v>
      </c>
      <c r="J61" s="19" t="s">
        <v>90</v>
      </c>
      <c r="K61" s="20"/>
      <c r="L61" s="19" t="s">
        <v>53</v>
      </c>
      <c r="M61" s="19" t="s">
        <v>36</v>
      </c>
      <c r="N61" s="42"/>
    </row>
    <row r="62" ht="27.0" customHeight="1">
      <c r="A62" s="34" t="s">
        <v>283</v>
      </c>
      <c r="B62" s="36" t="s">
        <v>44</v>
      </c>
      <c r="C62" s="36" t="s">
        <v>29</v>
      </c>
      <c r="D62" s="36" t="s">
        <v>34</v>
      </c>
      <c r="E62" s="36" t="s">
        <v>34</v>
      </c>
      <c r="F62" s="36" t="s">
        <v>34</v>
      </c>
      <c r="G62" s="36" t="s">
        <v>34</v>
      </c>
      <c r="H62" s="36"/>
      <c r="I62" s="36" t="s">
        <v>34</v>
      </c>
      <c r="J62" s="36" t="s">
        <v>90</v>
      </c>
      <c r="K62" s="43"/>
      <c r="L62" s="36" t="s">
        <v>44</v>
      </c>
      <c r="M62" s="36" t="s">
        <v>36</v>
      </c>
      <c r="N62" s="44"/>
    </row>
    <row r="63" ht="27.0" customHeight="1">
      <c r="A63" s="18" t="s">
        <v>283</v>
      </c>
      <c r="B63" s="19" t="s">
        <v>506</v>
      </c>
      <c r="C63" s="19" t="s">
        <v>29</v>
      </c>
      <c r="D63" s="19" t="s">
        <v>34</v>
      </c>
      <c r="E63" s="19" t="s">
        <v>34</v>
      </c>
      <c r="F63" s="19" t="s">
        <v>34</v>
      </c>
      <c r="G63" s="19" t="s">
        <v>34</v>
      </c>
      <c r="H63" s="19"/>
      <c r="I63" s="19" t="s">
        <v>34</v>
      </c>
      <c r="J63" s="19" t="s">
        <v>90</v>
      </c>
      <c r="K63" s="20"/>
      <c r="L63" s="20"/>
      <c r="M63" s="19" t="s">
        <v>36</v>
      </c>
      <c r="N63" s="42"/>
    </row>
    <row r="64" ht="27.0" customHeight="1">
      <c r="A64" s="34" t="s">
        <v>283</v>
      </c>
      <c r="B64" s="51" t="s">
        <v>507</v>
      </c>
      <c r="C64" s="36" t="s">
        <v>29</v>
      </c>
      <c r="D64" s="36" t="s">
        <v>34</v>
      </c>
      <c r="E64" s="36" t="s">
        <v>34</v>
      </c>
      <c r="F64" s="36" t="s">
        <v>34</v>
      </c>
      <c r="G64" s="36" t="s">
        <v>34</v>
      </c>
      <c r="H64" s="36"/>
      <c r="I64" s="36" t="s">
        <v>34</v>
      </c>
      <c r="J64" s="36" t="s">
        <v>90</v>
      </c>
      <c r="K64" s="52"/>
      <c r="L64" s="52"/>
      <c r="M64" s="36" t="s">
        <v>36</v>
      </c>
      <c r="N64" s="53"/>
    </row>
    <row r="65" ht="27.0" customHeight="1">
      <c r="A65" s="18" t="s">
        <v>283</v>
      </c>
      <c r="B65" s="19" t="s">
        <v>508</v>
      </c>
      <c r="C65" s="19" t="s">
        <v>29</v>
      </c>
      <c r="D65" s="19" t="s">
        <v>34</v>
      </c>
      <c r="E65" s="19" t="s">
        <v>34</v>
      </c>
      <c r="F65" s="19" t="s">
        <v>34</v>
      </c>
      <c r="G65" s="19" t="s">
        <v>34</v>
      </c>
      <c r="H65" s="19"/>
      <c r="I65" s="19" t="s">
        <v>34</v>
      </c>
      <c r="J65" s="19" t="s">
        <v>90</v>
      </c>
      <c r="K65" s="20"/>
      <c r="L65" s="20"/>
      <c r="M65" s="19" t="s">
        <v>36</v>
      </c>
      <c r="N65" s="42"/>
    </row>
    <row r="66" ht="27.0" customHeight="1">
      <c r="A66" s="34" t="s">
        <v>331</v>
      </c>
      <c r="B66" s="36" t="s">
        <v>509</v>
      </c>
      <c r="C66" s="36" t="s">
        <v>34</v>
      </c>
      <c r="D66" s="36" t="s">
        <v>34</v>
      </c>
      <c r="E66" s="36" t="s">
        <v>34</v>
      </c>
      <c r="F66" s="36" t="s">
        <v>34</v>
      </c>
      <c r="G66" s="36" t="s">
        <v>34</v>
      </c>
      <c r="H66" s="36"/>
      <c r="I66" s="36" t="s">
        <v>34</v>
      </c>
      <c r="J66" s="36" t="s">
        <v>34</v>
      </c>
      <c r="K66" s="36" t="s">
        <v>34</v>
      </c>
      <c r="L66" s="36" t="s">
        <v>34</v>
      </c>
      <c r="M66" s="36" t="s">
        <v>34</v>
      </c>
      <c r="N66" s="44"/>
    </row>
    <row r="67" ht="27.0" customHeight="1">
      <c r="A67" s="18" t="s">
        <v>337</v>
      </c>
      <c r="B67" s="19" t="s">
        <v>510</v>
      </c>
      <c r="C67" s="19" t="s">
        <v>29</v>
      </c>
      <c r="D67" s="19" t="s">
        <v>348</v>
      </c>
      <c r="E67" s="19" t="s">
        <v>469</v>
      </c>
      <c r="F67" s="19" t="s">
        <v>34</v>
      </c>
      <c r="G67" s="19" t="s">
        <v>34</v>
      </c>
      <c r="H67" s="19"/>
      <c r="I67" s="19" t="s">
        <v>34</v>
      </c>
      <c r="J67" s="19" t="s">
        <v>90</v>
      </c>
      <c r="K67" s="20"/>
      <c r="L67" s="20"/>
      <c r="M67" s="20"/>
      <c r="N67" s="42"/>
    </row>
    <row r="68" ht="27.0" customHeight="1">
      <c r="A68" s="34" t="s">
        <v>351</v>
      </c>
      <c r="B68" s="36" t="s">
        <v>511</v>
      </c>
      <c r="C68" s="36" t="s">
        <v>84</v>
      </c>
      <c r="D68" s="51" t="s">
        <v>512</v>
      </c>
      <c r="E68" s="36" t="s">
        <v>469</v>
      </c>
      <c r="F68" s="51" t="s">
        <v>31</v>
      </c>
      <c r="G68" s="36" t="s">
        <v>513</v>
      </c>
      <c r="H68" s="36"/>
      <c r="I68" s="36" t="s">
        <v>32</v>
      </c>
      <c r="J68" s="49" t="s">
        <v>514</v>
      </c>
      <c r="K68" s="52"/>
      <c r="L68" s="43"/>
      <c r="M68" s="51" t="s">
        <v>425</v>
      </c>
      <c r="N68" s="53"/>
    </row>
    <row r="69" ht="27.0" customHeight="1">
      <c r="A69" s="18" t="s">
        <v>52</v>
      </c>
      <c r="B69" s="19" t="s">
        <v>515</v>
      </c>
      <c r="C69" s="19" t="s">
        <v>29</v>
      </c>
      <c r="D69" s="19" t="s">
        <v>516</v>
      </c>
      <c r="E69" s="19" t="s">
        <v>34</v>
      </c>
      <c r="F69" s="19" t="s">
        <v>34</v>
      </c>
      <c r="G69" s="19" t="s">
        <v>34</v>
      </c>
      <c r="H69" s="19"/>
      <c r="I69" s="19" t="s">
        <v>34</v>
      </c>
      <c r="J69" s="19" t="s">
        <v>90</v>
      </c>
      <c r="K69" s="20"/>
      <c r="L69" s="20"/>
      <c r="M69" s="20"/>
      <c r="N69" s="42"/>
    </row>
    <row r="70" ht="27.0" customHeight="1">
      <c r="A70" s="34" t="s">
        <v>231</v>
      </c>
      <c r="B70" s="36" t="s">
        <v>517</v>
      </c>
      <c r="C70" s="36" t="s">
        <v>29</v>
      </c>
      <c r="D70" s="36" t="s">
        <v>516</v>
      </c>
      <c r="E70" s="36" t="s">
        <v>34</v>
      </c>
      <c r="F70" s="36" t="s">
        <v>34</v>
      </c>
      <c r="G70" s="36" t="s">
        <v>34</v>
      </c>
      <c r="H70" s="36"/>
      <c r="I70" s="36" t="s">
        <v>34</v>
      </c>
      <c r="J70" s="36" t="s">
        <v>90</v>
      </c>
      <c r="K70" s="43"/>
      <c r="L70" s="43"/>
      <c r="M70" s="43"/>
      <c r="N70" s="44"/>
    </row>
    <row r="71" ht="27.0" customHeight="1">
      <c r="A71" s="18" t="s">
        <v>374</v>
      </c>
      <c r="B71" s="19" t="s">
        <v>518</v>
      </c>
      <c r="C71" s="19" t="s">
        <v>34</v>
      </c>
      <c r="D71" s="54" t="s">
        <v>519</v>
      </c>
      <c r="E71" s="19" t="s">
        <v>34</v>
      </c>
      <c r="F71" s="19" t="s">
        <v>34</v>
      </c>
      <c r="G71" s="19" t="s">
        <v>34</v>
      </c>
      <c r="H71" s="19"/>
      <c r="I71" s="19" t="s">
        <v>34</v>
      </c>
      <c r="J71" s="19" t="s">
        <v>520</v>
      </c>
      <c r="K71" s="20"/>
      <c r="L71" s="20"/>
      <c r="M71" s="19" t="s">
        <v>185</v>
      </c>
      <c r="N71" s="42"/>
    </row>
    <row r="72" ht="27.0" customHeight="1">
      <c r="A72" s="34" t="s">
        <v>44</v>
      </c>
      <c r="B72" s="36" t="s">
        <v>201</v>
      </c>
      <c r="C72" s="36" t="s">
        <v>29</v>
      </c>
      <c r="D72" s="36" t="s">
        <v>521</v>
      </c>
      <c r="E72" s="36" t="s">
        <v>422</v>
      </c>
      <c r="F72" s="36" t="s">
        <v>31</v>
      </c>
      <c r="G72" s="36" t="s">
        <v>522</v>
      </c>
      <c r="H72" s="36"/>
      <c r="I72" s="36" t="s">
        <v>32</v>
      </c>
      <c r="J72" s="43"/>
      <c r="K72" s="43"/>
      <c r="L72" s="43"/>
      <c r="M72" s="36" t="s">
        <v>36</v>
      </c>
      <c r="N72" s="44"/>
    </row>
    <row r="73" ht="27.0" customHeight="1">
      <c r="A73" s="18" t="s">
        <v>44</v>
      </c>
      <c r="B73" s="19" t="s">
        <v>27</v>
      </c>
      <c r="C73" s="19" t="s">
        <v>29</v>
      </c>
      <c r="D73" s="19" t="s">
        <v>523</v>
      </c>
      <c r="E73" s="19" t="s">
        <v>422</v>
      </c>
      <c r="F73" s="19" t="s">
        <v>31</v>
      </c>
      <c r="G73" s="19" t="s">
        <v>522</v>
      </c>
      <c r="H73" s="19"/>
      <c r="I73" s="19" t="s">
        <v>32</v>
      </c>
      <c r="J73" s="20"/>
      <c r="K73" s="20"/>
      <c r="L73" s="20"/>
      <c r="M73" s="19" t="s">
        <v>36</v>
      </c>
      <c r="N73" s="42"/>
    </row>
    <row r="74" ht="27.0" customHeight="1">
      <c r="A74" s="34" t="s">
        <v>44</v>
      </c>
      <c r="B74" s="36" t="s">
        <v>462</v>
      </c>
      <c r="C74" s="36" t="s">
        <v>29</v>
      </c>
      <c r="D74" s="36" t="s">
        <v>524</v>
      </c>
      <c r="E74" s="36" t="s">
        <v>422</v>
      </c>
      <c r="F74" s="36" t="s">
        <v>31</v>
      </c>
      <c r="G74" s="36" t="s">
        <v>522</v>
      </c>
      <c r="H74" s="36"/>
      <c r="I74" s="36" t="s">
        <v>32</v>
      </c>
      <c r="J74" s="43"/>
      <c r="K74" s="43"/>
      <c r="L74" s="43"/>
      <c r="M74" s="36" t="s">
        <v>185</v>
      </c>
      <c r="N74" s="44"/>
    </row>
    <row r="75" ht="27.0" customHeight="1">
      <c r="A75" s="18" t="s">
        <v>44</v>
      </c>
      <c r="B75" s="19" t="s">
        <v>44</v>
      </c>
      <c r="C75" s="19" t="s">
        <v>29</v>
      </c>
      <c r="D75" s="19" t="s">
        <v>525</v>
      </c>
      <c r="E75" s="19" t="s">
        <v>469</v>
      </c>
      <c r="F75" s="19" t="s">
        <v>31</v>
      </c>
      <c r="G75" s="19" t="s">
        <v>526</v>
      </c>
      <c r="H75" s="19"/>
      <c r="I75" s="19" t="s">
        <v>32</v>
      </c>
      <c r="J75" s="20"/>
      <c r="K75" s="20"/>
      <c r="L75" s="20"/>
      <c r="M75" s="19" t="s">
        <v>185</v>
      </c>
      <c r="N75" s="42"/>
    </row>
    <row r="76" ht="27.0" customHeight="1">
      <c r="A76" s="34" t="s">
        <v>44</v>
      </c>
      <c r="B76" s="36" t="s">
        <v>44</v>
      </c>
      <c r="C76" s="36" t="s">
        <v>29</v>
      </c>
      <c r="D76" s="36" t="s">
        <v>527</v>
      </c>
      <c r="E76" s="36" t="s">
        <v>422</v>
      </c>
      <c r="F76" s="36" t="s">
        <v>31</v>
      </c>
      <c r="G76" s="36" t="s">
        <v>528</v>
      </c>
      <c r="H76" s="36"/>
      <c r="I76" s="36" t="s">
        <v>32</v>
      </c>
      <c r="J76" s="43"/>
      <c r="K76" s="43"/>
      <c r="L76" s="43"/>
      <c r="M76" s="36" t="s">
        <v>36</v>
      </c>
      <c r="N76" s="44"/>
    </row>
    <row r="77" ht="27.0" customHeight="1">
      <c r="A77" s="18" t="s">
        <v>44</v>
      </c>
      <c r="B77" s="19" t="s">
        <v>44</v>
      </c>
      <c r="C77" s="19" t="s">
        <v>29</v>
      </c>
      <c r="D77" s="19" t="s">
        <v>36</v>
      </c>
      <c r="E77" s="19" t="s">
        <v>439</v>
      </c>
      <c r="F77" s="19" t="s">
        <v>31</v>
      </c>
      <c r="G77" s="19" t="s">
        <v>522</v>
      </c>
      <c r="H77" s="19"/>
      <c r="I77" s="19" t="s">
        <v>32</v>
      </c>
      <c r="J77" s="20"/>
      <c r="K77" s="20"/>
      <c r="L77" s="20"/>
      <c r="M77" s="19" t="s">
        <v>36</v>
      </c>
      <c r="N77" s="42"/>
    </row>
    <row r="78" ht="27.0" customHeight="1">
      <c r="A78" s="34" t="s">
        <v>44</v>
      </c>
      <c r="B78" s="36" t="s">
        <v>529</v>
      </c>
      <c r="C78" s="36" t="s">
        <v>29</v>
      </c>
      <c r="D78" s="36" t="s">
        <v>524</v>
      </c>
      <c r="E78" s="36" t="s">
        <v>422</v>
      </c>
      <c r="F78" s="36" t="s">
        <v>31</v>
      </c>
      <c r="G78" s="36" t="s">
        <v>522</v>
      </c>
      <c r="H78" s="36"/>
      <c r="I78" s="36" t="s">
        <v>32</v>
      </c>
      <c r="J78" s="43"/>
      <c r="K78" s="43"/>
      <c r="L78" s="43"/>
      <c r="M78" s="36" t="s">
        <v>185</v>
      </c>
      <c r="N78" s="44"/>
    </row>
    <row r="79" ht="27.0" customHeight="1">
      <c r="A79" s="18" t="s">
        <v>44</v>
      </c>
      <c r="B79" s="19" t="s">
        <v>44</v>
      </c>
      <c r="C79" s="19" t="s">
        <v>29</v>
      </c>
      <c r="D79" s="19" t="s">
        <v>530</v>
      </c>
      <c r="E79" s="19" t="s">
        <v>422</v>
      </c>
      <c r="F79" s="19" t="s">
        <v>31</v>
      </c>
      <c r="G79" s="19" t="s">
        <v>522</v>
      </c>
      <c r="H79" s="19"/>
      <c r="I79" s="19" t="s">
        <v>32</v>
      </c>
      <c r="J79" s="20"/>
      <c r="K79" s="20"/>
      <c r="L79" s="20"/>
      <c r="M79" s="19" t="s">
        <v>185</v>
      </c>
      <c r="N79" s="42"/>
    </row>
    <row r="80" ht="27.0" customHeight="1">
      <c r="A80" s="34" t="s">
        <v>44</v>
      </c>
      <c r="B80" s="36" t="s">
        <v>531</v>
      </c>
      <c r="C80" s="36" t="s">
        <v>29</v>
      </c>
      <c r="D80" s="36" t="s">
        <v>530</v>
      </c>
      <c r="E80" s="36" t="s">
        <v>422</v>
      </c>
      <c r="F80" s="36" t="s">
        <v>31</v>
      </c>
      <c r="G80" s="36" t="s">
        <v>522</v>
      </c>
      <c r="H80" s="36"/>
      <c r="I80" s="36" t="s">
        <v>32</v>
      </c>
      <c r="J80" s="43"/>
      <c r="K80" s="43"/>
      <c r="L80" s="43"/>
      <c r="M80" s="36" t="s">
        <v>185</v>
      </c>
      <c r="N80" s="44"/>
    </row>
    <row r="81" ht="27.0" customHeight="1">
      <c r="A81" s="18" t="s">
        <v>44</v>
      </c>
      <c r="B81" s="19" t="s">
        <v>44</v>
      </c>
      <c r="C81" s="19" t="s">
        <v>29</v>
      </c>
      <c r="D81" s="19" t="s">
        <v>532</v>
      </c>
      <c r="E81" s="19" t="s">
        <v>422</v>
      </c>
      <c r="F81" s="19" t="s">
        <v>31</v>
      </c>
      <c r="G81" s="19" t="s">
        <v>522</v>
      </c>
      <c r="H81" s="19"/>
      <c r="I81" s="19" t="s">
        <v>32</v>
      </c>
      <c r="J81" s="20"/>
      <c r="K81" s="20"/>
      <c r="L81" s="20"/>
      <c r="M81" s="19" t="s">
        <v>185</v>
      </c>
      <c r="N81" s="42"/>
    </row>
    <row r="82" ht="27.0" customHeight="1">
      <c r="A82" s="34" t="s">
        <v>44</v>
      </c>
      <c r="B82" s="36" t="s">
        <v>118</v>
      </c>
      <c r="C82" s="36" t="s">
        <v>29</v>
      </c>
      <c r="D82" s="36" t="s">
        <v>533</v>
      </c>
      <c r="E82" s="36" t="s">
        <v>422</v>
      </c>
      <c r="F82" s="36" t="s">
        <v>31</v>
      </c>
      <c r="G82" s="36" t="s">
        <v>522</v>
      </c>
      <c r="H82" s="36"/>
      <c r="I82" s="36" t="s">
        <v>32</v>
      </c>
      <c r="J82" s="43"/>
      <c r="K82" s="43"/>
      <c r="L82" s="43"/>
      <c r="M82" s="36" t="s">
        <v>185</v>
      </c>
      <c r="N82" s="44"/>
    </row>
    <row r="83" ht="27.0" customHeight="1">
      <c r="A83" s="18" t="s">
        <v>44</v>
      </c>
      <c r="B83" s="19" t="s">
        <v>44</v>
      </c>
      <c r="C83" s="19" t="s">
        <v>29</v>
      </c>
      <c r="D83" s="19" t="s">
        <v>534</v>
      </c>
      <c r="E83" s="19" t="s">
        <v>469</v>
      </c>
      <c r="F83" s="19" t="s">
        <v>31</v>
      </c>
      <c r="G83" s="19" t="s">
        <v>522</v>
      </c>
      <c r="H83" s="19"/>
      <c r="I83" s="19" t="s">
        <v>32</v>
      </c>
      <c r="J83" s="20"/>
      <c r="K83" s="20"/>
      <c r="L83" s="20"/>
      <c r="M83" s="19" t="s">
        <v>185</v>
      </c>
      <c r="N83" s="42"/>
    </row>
  </sheetData>
  <autoFilter ref="$A$1:$N$8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21.75"/>
    <col customWidth="1" min="3" max="3" width="46.13"/>
    <col customWidth="1" min="5" max="5" width="15.5"/>
    <col customWidth="1" min="6" max="6" width="34.5"/>
  </cols>
  <sheetData>
    <row r="1">
      <c r="A1" s="8"/>
      <c r="B1" s="8"/>
      <c r="C1" s="8"/>
      <c r="D1" s="8"/>
      <c r="E1" s="8"/>
      <c r="F1" s="8"/>
      <c r="G1" s="8"/>
      <c r="H1" s="8"/>
      <c r="I1" s="8"/>
      <c r="J1" s="8"/>
      <c r="K1" s="8"/>
      <c r="L1" s="8"/>
      <c r="M1" s="8"/>
      <c r="N1" s="8"/>
      <c r="O1" s="8"/>
      <c r="P1" s="8"/>
      <c r="Q1" s="8"/>
      <c r="R1" s="8"/>
      <c r="S1" s="8"/>
      <c r="T1" s="8"/>
      <c r="U1" s="8"/>
      <c r="V1" s="8"/>
      <c r="W1" s="8"/>
      <c r="X1" s="8"/>
      <c r="Y1" s="8"/>
      <c r="Z1" s="8"/>
      <c r="AA1" s="8"/>
    </row>
    <row r="2">
      <c r="A2" s="8"/>
      <c r="B2" s="9" t="s">
        <v>535</v>
      </c>
      <c r="C2" s="8"/>
      <c r="D2" s="8"/>
      <c r="E2" s="8"/>
      <c r="F2" s="8"/>
      <c r="G2" s="8"/>
      <c r="H2" s="8"/>
      <c r="I2" s="8"/>
      <c r="J2" s="8"/>
      <c r="K2" s="8"/>
      <c r="L2" s="8"/>
      <c r="M2" s="8"/>
      <c r="N2" s="8"/>
      <c r="O2" s="8"/>
      <c r="P2" s="8"/>
      <c r="Q2" s="8"/>
      <c r="R2" s="8"/>
      <c r="S2" s="8"/>
      <c r="T2" s="8"/>
      <c r="U2" s="8"/>
      <c r="V2" s="8"/>
      <c r="W2" s="8"/>
      <c r="X2" s="8"/>
      <c r="Y2" s="8"/>
      <c r="Z2" s="8"/>
      <c r="AA2" s="8"/>
    </row>
    <row r="3">
      <c r="A3" s="8"/>
      <c r="B3" s="8"/>
      <c r="C3" s="8"/>
      <c r="D3" s="8"/>
      <c r="E3" s="8"/>
      <c r="F3" s="8"/>
      <c r="G3" s="8"/>
      <c r="H3" s="8"/>
      <c r="I3" s="8"/>
      <c r="J3" s="8"/>
      <c r="K3" s="8"/>
      <c r="L3" s="8"/>
      <c r="M3" s="8"/>
      <c r="N3" s="8"/>
      <c r="O3" s="8"/>
      <c r="P3" s="8"/>
      <c r="Q3" s="8"/>
      <c r="R3" s="8"/>
      <c r="S3" s="8"/>
      <c r="T3" s="8"/>
      <c r="U3" s="8"/>
      <c r="V3" s="8"/>
      <c r="W3" s="8"/>
      <c r="X3" s="8"/>
      <c r="Y3" s="8"/>
      <c r="Z3" s="8"/>
      <c r="AA3" s="8"/>
    </row>
    <row r="4" ht="45.75" customHeight="1">
      <c r="A4" s="8"/>
      <c r="B4" s="55" t="s">
        <v>536</v>
      </c>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ht="24.0" customHeight="1">
      <c r="A6" s="56"/>
      <c r="B6" s="57" t="s">
        <v>537</v>
      </c>
      <c r="C6" s="57" t="s">
        <v>538</v>
      </c>
      <c r="D6" s="57" t="s">
        <v>539</v>
      </c>
      <c r="E6" s="57" t="s">
        <v>540</v>
      </c>
      <c r="F6" s="57" t="s">
        <v>541</v>
      </c>
      <c r="G6" s="56"/>
      <c r="H6" s="56"/>
      <c r="I6" s="56"/>
      <c r="J6" s="56"/>
      <c r="K6" s="56"/>
      <c r="L6" s="56"/>
      <c r="M6" s="56"/>
      <c r="N6" s="56"/>
      <c r="O6" s="56"/>
      <c r="P6" s="56"/>
      <c r="Q6" s="56"/>
      <c r="R6" s="56"/>
      <c r="S6" s="56"/>
      <c r="T6" s="56"/>
      <c r="U6" s="56"/>
      <c r="V6" s="56"/>
      <c r="W6" s="56"/>
      <c r="X6" s="56"/>
      <c r="Y6" s="56"/>
      <c r="Z6" s="56"/>
      <c r="AA6" s="56"/>
    </row>
    <row r="7" ht="64.5" customHeight="1">
      <c r="A7" s="8"/>
      <c r="B7" s="58" t="s">
        <v>542</v>
      </c>
      <c r="C7" s="58" t="s">
        <v>543</v>
      </c>
      <c r="D7" s="58" t="s">
        <v>544</v>
      </c>
      <c r="E7" s="58" t="s">
        <v>545</v>
      </c>
      <c r="F7" s="58" t="s">
        <v>546</v>
      </c>
      <c r="G7" s="8"/>
      <c r="H7" s="8"/>
      <c r="I7" s="8"/>
      <c r="J7" s="8"/>
      <c r="K7" s="8"/>
      <c r="L7" s="8"/>
      <c r="M7" s="8"/>
      <c r="N7" s="8"/>
      <c r="O7" s="8"/>
      <c r="P7" s="8"/>
      <c r="Q7" s="8"/>
      <c r="R7" s="8"/>
      <c r="S7" s="8"/>
      <c r="T7" s="8"/>
      <c r="U7" s="8"/>
      <c r="V7" s="8"/>
      <c r="W7" s="8"/>
      <c r="X7" s="8"/>
      <c r="Y7" s="8"/>
      <c r="Z7" s="8"/>
      <c r="AA7" s="8"/>
    </row>
    <row r="8" ht="61.5" customHeight="1">
      <c r="A8" s="8"/>
      <c r="B8" s="59" t="s">
        <v>547</v>
      </c>
      <c r="C8" s="59" t="s">
        <v>548</v>
      </c>
      <c r="D8" s="59" t="s">
        <v>549</v>
      </c>
      <c r="E8" s="59" t="s">
        <v>143</v>
      </c>
      <c r="F8" s="59" t="s">
        <v>550</v>
      </c>
      <c r="G8" s="8"/>
      <c r="H8" s="8"/>
      <c r="I8" s="8"/>
      <c r="J8" s="8"/>
      <c r="K8" s="8"/>
      <c r="L8" s="8"/>
      <c r="M8" s="8"/>
      <c r="N8" s="8"/>
      <c r="O8" s="8"/>
      <c r="P8" s="8"/>
      <c r="Q8" s="8"/>
      <c r="R8" s="8"/>
      <c r="S8" s="8"/>
      <c r="T8" s="8"/>
      <c r="U8" s="8"/>
      <c r="V8" s="8"/>
      <c r="W8" s="8"/>
      <c r="X8" s="8"/>
      <c r="Y8" s="8"/>
      <c r="Z8" s="8"/>
      <c r="AA8" s="8"/>
    </row>
    <row r="9" ht="61.5" customHeight="1">
      <c r="A9" s="8"/>
      <c r="B9" s="59" t="s">
        <v>551</v>
      </c>
      <c r="C9" s="59" t="s">
        <v>552</v>
      </c>
      <c r="D9" s="59" t="s">
        <v>549</v>
      </c>
      <c r="E9" s="59" t="s">
        <v>143</v>
      </c>
      <c r="F9" s="59" t="s">
        <v>550</v>
      </c>
      <c r="G9" s="8"/>
      <c r="H9" s="8"/>
      <c r="I9" s="8"/>
      <c r="J9" s="8"/>
      <c r="K9" s="8"/>
      <c r="L9" s="8"/>
      <c r="M9" s="8"/>
      <c r="N9" s="8"/>
      <c r="O9" s="8"/>
      <c r="P9" s="8"/>
      <c r="Q9" s="8"/>
      <c r="R9" s="8"/>
      <c r="S9" s="8"/>
      <c r="T9" s="8"/>
      <c r="U9" s="8"/>
      <c r="V9" s="8"/>
      <c r="W9" s="8"/>
      <c r="X9" s="8"/>
      <c r="Y9" s="8"/>
      <c r="Z9" s="8"/>
      <c r="AA9" s="8"/>
    </row>
    <row r="10" ht="76.5" customHeight="1">
      <c r="A10" s="8"/>
      <c r="B10" s="59" t="s">
        <v>553</v>
      </c>
      <c r="C10" s="59" t="s">
        <v>554</v>
      </c>
      <c r="D10" s="59" t="s">
        <v>544</v>
      </c>
      <c r="E10" s="59" t="s">
        <v>92</v>
      </c>
      <c r="F10" s="59" t="s">
        <v>555</v>
      </c>
      <c r="G10" s="8"/>
      <c r="H10" s="8"/>
      <c r="I10" s="8"/>
      <c r="J10" s="8"/>
      <c r="K10" s="8"/>
      <c r="L10" s="8"/>
      <c r="M10" s="8"/>
      <c r="N10" s="8"/>
      <c r="O10" s="8"/>
      <c r="P10" s="8"/>
      <c r="Q10" s="8"/>
      <c r="R10" s="8"/>
      <c r="S10" s="8"/>
      <c r="T10" s="8"/>
      <c r="U10" s="8"/>
      <c r="V10" s="8"/>
      <c r="W10" s="8"/>
      <c r="X10" s="8"/>
      <c r="Y10" s="8"/>
      <c r="Z10" s="8"/>
      <c r="AA10" s="8"/>
    </row>
    <row r="11" ht="41.25" customHeight="1">
      <c r="A11" s="8"/>
      <c r="B11" s="59" t="s">
        <v>556</v>
      </c>
      <c r="C11" s="59" t="s">
        <v>557</v>
      </c>
      <c r="D11" s="59" t="s">
        <v>544</v>
      </c>
      <c r="E11" s="59" t="s">
        <v>92</v>
      </c>
      <c r="F11" s="59" t="s">
        <v>558</v>
      </c>
      <c r="G11" s="8"/>
      <c r="H11" s="8"/>
      <c r="I11" s="8"/>
      <c r="J11" s="8"/>
      <c r="K11" s="8"/>
      <c r="L11" s="8"/>
      <c r="M11" s="8"/>
      <c r="N11" s="8"/>
      <c r="O11" s="8"/>
      <c r="P11" s="8"/>
      <c r="Q11" s="8"/>
      <c r="R11" s="8"/>
      <c r="S11" s="8"/>
      <c r="T11" s="8"/>
      <c r="U11" s="8"/>
      <c r="V11" s="8"/>
      <c r="W11" s="8"/>
      <c r="X11" s="8"/>
      <c r="Y11" s="8"/>
      <c r="Z11" s="8"/>
      <c r="AA11" s="8"/>
    </row>
    <row r="12" ht="42.75" customHeight="1">
      <c r="A12" s="8"/>
      <c r="B12" s="59" t="s">
        <v>559</v>
      </c>
      <c r="C12" s="59" t="s">
        <v>557</v>
      </c>
      <c r="D12" s="59" t="s">
        <v>544</v>
      </c>
      <c r="E12" s="59" t="s">
        <v>92</v>
      </c>
      <c r="F12" s="59"/>
      <c r="G12" s="8"/>
      <c r="H12" s="8"/>
      <c r="I12" s="8"/>
      <c r="J12" s="8"/>
      <c r="K12" s="8"/>
      <c r="L12" s="8"/>
      <c r="M12" s="8"/>
      <c r="N12" s="8"/>
      <c r="O12" s="8"/>
      <c r="P12" s="8"/>
      <c r="Q12" s="8"/>
      <c r="R12" s="8"/>
      <c r="S12" s="8"/>
      <c r="T12" s="8"/>
      <c r="U12" s="8"/>
      <c r="V12" s="8"/>
      <c r="W12" s="8"/>
      <c r="X12" s="8"/>
      <c r="Y12" s="8"/>
      <c r="Z12" s="8"/>
      <c r="AA12" s="8"/>
    </row>
    <row r="13" ht="39.75" customHeight="1">
      <c r="A13" s="8"/>
      <c r="B13" s="59" t="s">
        <v>560</v>
      </c>
      <c r="C13" s="59" t="s">
        <v>561</v>
      </c>
      <c r="D13" s="59" t="s">
        <v>544</v>
      </c>
      <c r="E13" s="59" t="s">
        <v>92</v>
      </c>
      <c r="F13" s="59"/>
      <c r="G13" s="8"/>
      <c r="H13" s="8"/>
      <c r="I13" s="8"/>
      <c r="J13" s="8"/>
      <c r="K13" s="8"/>
      <c r="L13" s="8"/>
      <c r="M13" s="8"/>
      <c r="N13" s="8"/>
      <c r="O13" s="8"/>
      <c r="P13" s="8"/>
      <c r="Q13" s="8"/>
      <c r="R13" s="8"/>
      <c r="S13" s="8"/>
      <c r="T13" s="8"/>
      <c r="U13" s="8"/>
      <c r="V13" s="8"/>
      <c r="W13" s="8"/>
      <c r="X13" s="8"/>
      <c r="Y13" s="8"/>
      <c r="Z13" s="8"/>
      <c r="AA13" s="8"/>
    </row>
    <row r="14" ht="44.25" customHeight="1">
      <c r="A14" s="8"/>
      <c r="B14" s="59" t="s">
        <v>562</v>
      </c>
      <c r="C14" s="59" t="s">
        <v>563</v>
      </c>
      <c r="D14" s="59" t="s">
        <v>544</v>
      </c>
      <c r="E14" s="59" t="s">
        <v>92</v>
      </c>
      <c r="F14" s="59"/>
      <c r="G14" s="8"/>
      <c r="H14" s="8"/>
      <c r="I14" s="8"/>
      <c r="J14" s="8"/>
      <c r="K14" s="8"/>
      <c r="L14" s="8"/>
      <c r="M14" s="8"/>
      <c r="N14" s="8"/>
      <c r="O14" s="8"/>
      <c r="P14" s="8"/>
      <c r="Q14" s="8"/>
      <c r="R14" s="8"/>
      <c r="S14" s="8"/>
      <c r="T14" s="8"/>
      <c r="U14" s="8"/>
      <c r="V14" s="8"/>
      <c r="W14" s="8"/>
      <c r="X14" s="8"/>
      <c r="Y14" s="8"/>
      <c r="Z14" s="8"/>
      <c r="AA14" s="8"/>
    </row>
    <row r="15" ht="44.25" customHeight="1">
      <c r="A15" s="8"/>
      <c r="B15" s="59" t="s">
        <v>564</v>
      </c>
      <c r="C15" s="59" t="s">
        <v>565</v>
      </c>
      <c r="D15" s="59" t="s">
        <v>544</v>
      </c>
      <c r="E15" s="59" t="s">
        <v>92</v>
      </c>
      <c r="F15" s="59"/>
      <c r="G15" s="8"/>
      <c r="H15" s="8"/>
      <c r="I15" s="8"/>
      <c r="J15" s="8"/>
      <c r="K15" s="8"/>
      <c r="L15" s="8"/>
      <c r="M15" s="8"/>
      <c r="N15" s="8"/>
      <c r="O15" s="8"/>
      <c r="P15" s="8"/>
      <c r="Q15" s="8"/>
      <c r="R15" s="8"/>
      <c r="S15" s="8"/>
      <c r="T15" s="8"/>
      <c r="U15" s="8"/>
      <c r="V15" s="8"/>
      <c r="W15" s="8"/>
      <c r="X15" s="8"/>
      <c r="Y15" s="8"/>
      <c r="Z15" s="8"/>
      <c r="AA15" s="8"/>
    </row>
    <row r="16" ht="44.25" customHeight="1">
      <c r="A16" s="8"/>
      <c r="B16" s="59" t="s">
        <v>566</v>
      </c>
      <c r="C16" s="59" t="s">
        <v>567</v>
      </c>
      <c r="D16" s="59" t="s">
        <v>544</v>
      </c>
      <c r="E16" s="59" t="s">
        <v>92</v>
      </c>
      <c r="F16" s="59"/>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mergeCells count="1">
    <mergeCell ref="B4:C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22.0"/>
    <col customWidth="1" min="3" max="3" width="17.13"/>
    <col customWidth="1" min="4" max="4" width="4.63"/>
    <col customWidth="1" min="5" max="5" width="18.63"/>
    <col customWidth="1" min="6" max="6" width="27.75"/>
    <col customWidth="1" min="7" max="7" width="4.13"/>
  </cols>
  <sheetData>
    <row r="1" ht="30.0" customHeight="1">
      <c r="A1" s="60" t="s">
        <v>568</v>
      </c>
      <c r="B1" s="60" t="s">
        <v>569</v>
      </c>
      <c r="C1" s="60" t="s">
        <v>570</v>
      </c>
      <c r="D1" s="61" t="s">
        <v>571</v>
      </c>
      <c r="E1" s="60" t="s">
        <v>572</v>
      </c>
      <c r="F1" s="60" t="s">
        <v>573</v>
      </c>
      <c r="G1" s="61" t="s">
        <v>574</v>
      </c>
    </row>
    <row r="2">
      <c r="A2" s="62" t="str">
        <f t="shared" ref="A2:A243" si="1">Substitute(SUBSTITUTE(substitute(substitute(substitute(substitute(substitute(substitute(substitute(lower(B2)," ","-"),"(",""),")",""),"&gt;",""),"&lt;",""),"---","-"),".","-"),"--","-"),"&amp;","-and-")</f>
        <v>blue-lyrebird</v>
      </c>
      <c r="B2" s="63" t="s">
        <v>27</v>
      </c>
      <c r="C2" s="64" t="str">
        <f t="shared" ref="C2:C25" si="2">B2</f>
        <v>Blue Lyrebird</v>
      </c>
      <c r="D2" s="64" t="str">
        <f>IFERROR(__xludf.DUMMYFUNCTION("TEXTJOIN("""", TRUE, ARRAYFORMULA(LEFT(SPLIT(C2, "" ""),1)))"),"BL")</f>
        <v>BL</v>
      </c>
      <c r="E2" s="65"/>
      <c r="F2" s="66" t="s">
        <v>575</v>
      </c>
      <c r="G2" s="66" t="s">
        <v>576</v>
      </c>
    </row>
    <row r="3">
      <c r="A3" s="67" t="str">
        <f t="shared" si="1"/>
        <v>clever-frilled-neck-lizard</v>
      </c>
      <c r="B3" s="68" t="s">
        <v>53</v>
      </c>
      <c r="C3" s="69" t="str">
        <f t="shared" si="2"/>
        <v>Clever Frilled Neck Lizard</v>
      </c>
      <c r="D3" s="69" t="str">
        <f>IFERROR(__xludf.DUMMYFUNCTION("TEXTJOIN("""", TRUE, ARRAYFORMULA(LEFT(SPLIT(C3, "" ""),1)))"),"CFNL")</f>
        <v>CFNL</v>
      </c>
      <c r="E3" s="70"/>
      <c r="F3" s="71" t="s">
        <v>577</v>
      </c>
      <c r="G3" s="66" t="s">
        <v>576</v>
      </c>
    </row>
    <row r="4">
      <c r="A4" s="67" t="str">
        <f t="shared" si="1"/>
        <v>fuzzy-perentie</v>
      </c>
      <c r="B4" s="68" t="s">
        <v>88</v>
      </c>
      <c r="C4" s="69" t="str">
        <f t="shared" si="2"/>
        <v>Fuzzy Perentie</v>
      </c>
      <c r="D4" s="69" t="str">
        <f>IFERROR(__xludf.DUMMYFUNCTION("TEXTJOIN("""", TRUE, ARRAYFORMULA(LEFT(SPLIT(C4, "" ""),1)))"),"FP")</f>
        <v>FP</v>
      </c>
      <c r="E4" s="70"/>
      <c r="F4" s="71" t="s">
        <v>578</v>
      </c>
      <c r="G4" s="66" t="s">
        <v>576</v>
      </c>
    </row>
    <row r="5">
      <c r="A5" s="67" t="str">
        <f t="shared" si="1"/>
        <v>fuzzy-sugar-glider</v>
      </c>
      <c r="B5" s="68" t="s">
        <v>47</v>
      </c>
      <c r="C5" s="69" t="str">
        <f t="shared" si="2"/>
        <v>Fuzzy Sugar Glider</v>
      </c>
      <c r="D5" s="69" t="str">
        <f>IFERROR(__xludf.DUMMYFUNCTION("TEXTJOIN("""", TRUE, ARRAYFORMULA(LEFT(SPLIT(C5, "" ""),1)))"),"FSG")</f>
        <v>FSG</v>
      </c>
      <c r="E5" s="70"/>
      <c r="F5" s="66" t="s">
        <v>579</v>
      </c>
      <c r="G5" s="66" t="s">
        <v>576</v>
      </c>
    </row>
    <row r="6">
      <c r="A6" s="67" t="str">
        <f t="shared" si="1"/>
        <v>golden-possum</v>
      </c>
      <c r="B6" s="68" t="s">
        <v>118</v>
      </c>
      <c r="C6" s="69" t="str">
        <f t="shared" si="2"/>
        <v>Golden Possum</v>
      </c>
      <c r="D6" s="69" t="str">
        <f>IFERROR(__xludf.DUMMYFUNCTION("TEXTJOIN("""", TRUE, ARRAYFORMULA(LEFT(SPLIT(C6, "" ""),1)))"),"GP")</f>
        <v>GP</v>
      </c>
      <c r="E6" s="70"/>
      <c r="F6" s="71" t="s">
        <v>580</v>
      </c>
      <c r="G6" s="66" t="s">
        <v>576</v>
      </c>
    </row>
    <row r="7">
      <c r="A7" s="67" t="str">
        <f t="shared" si="1"/>
        <v>lazy-lyrebird</v>
      </c>
      <c r="B7" s="68" t="s">
        <v>129</v>
      </c>
      <c r="C7" s="69" t="str">
        <f t="shared" si="2"/>
        <v>Lazy Lyrebird</v>
      </c>
      <c r="D7" s="69" t="str">
        <f>IFERROR(__xludf.DUMMYFUNCTION("TEXTJOIN("""", TRUE, ARRAYFORMULA(LEFT(SPLIT(C7, "" ""),1)))"),"LL")</f>
        <v>LL</v>
      </c>
      <c r="E7" s="70"/>
      <c r="F7" s="71" t="s">
        <v>581</v>
      </c>
      <c r="G7" s="66" t="s">
        <v>576</v>
      </c>
    </row>
    <row r="8">
      <c r="A8" s="67" t="str">
        <f t="shared" si="1"/>
        <v>lazy-sugar-glider</v>
      </c>
      <c r="B8" s="68" t="s">
        <v>155</v>
      </c>
      <c r="C8" s="69" t="str">
        <f t="shared" si="2"/>
        <v>Lazy Sugar Glider</v>
      </c>
      <c r="D8" s="69" t="str">
        <f>IFERROR(__xludf.DUMMYFUNCTION("TEXTJOIN("""", TRUE, ARRAYFORMULA(LEFT(SPLIT(C8, "" ""),1)))"),"LSG")</f>
        <v>LSG</v>
      </c>
      <c r="E8" s="70"/>
      <c r="F8" s="71" t="s">
        <v>582</v>
      </c>
      <c r="G8" s="66" t="s">
        <v>576</v>
      </c>
    </row>
    <row r="9">
      <c r="A9" s="67" t="str">
        <f t="shared" si="1"/>
        <v>noisy-dingo</v>
      </c>
      <c r="B9" s="68" t="s">
        <v>200</v>
      </c>
      <c r="C9" s="69" t="str">
        <f t="shared" si="2"/>
        <v>Noisy Dingo</v>
      </c>
      <c r="D9" s="69" t="str">
        <f>IFERROR(__xludf.DUMMYFUNCTION("TEXTJOIN("""", TRUE, ARRAYFORMULA(LEFT(SPLIT(C9, "" ""),1)))"),"ND")</f>
        <v>ND</v>
      </c>
      <c r="E9" s="70"/>
      <c r="F9" s="71" t="s">
        <v>583</v>
      </c>
      <c r="G9" s="66" t="s">
        <v>576</v>
      </c>
    </row>
    <row r="10">
      <c r="A10" s="67" t="str">
        <f t="shared" si="1"/>
        <v>noisy-quokka</v>
      </c>
      <c r="B10" s="68" t="s">
        <v>212</v>
      </c>
      <c r="C10" s="69" t="str">
        <f t="shared" si="2"/>
        <v>Noisy Quokka</v>
      </c>
      <c r="D10" s="69" t="str">
        <f>IFERROR(__xludf.DUMMYFUNCTION("TEXTJOIN("""", TRUE, ARRAYFORMULA(LEFT(SPLIT(C10, "" ""),1)))"),"NQ")</f>
        <v>NQ</v>
      </c>
      <c r="E10" s="70"/>
      <c r="F10" s="71" t="s">
        <v>584</v>
      </c>
      <c r="G10" s="66" t="s">
        <v>576</v>
      </c>
    </row>
    <row r="11">
      <c r="A11" s="67" t="str">
        <f t="shared" si="1"/>
        <v>red-lyrebird</v>
      </c>
      <c r="B11" s="68" t="s">
        <v>232</v>
      </c>
      <c r="C11" s="69" t="str">
        <f t="shared" si="2"/>
        <v>Red Lyrebird</v>
      </c>
      <c r="D11" s="69" t="str">
        <f>IFERROR(__xludf.DUMMYFUNCTION("TEXTJOIN("""", TRUE, ARRAYFORMULA(LEFT(SPLIT(C11, "" ""),1)))"),"RL")</f>
        <v>RL</v>
      </c>
      <c r="E11" s="70"/>
      <c r="F11" s="71" t="s">
        <v>581</v>
      </c>
      <c r="G11" s="66" t="s">
        <v>576</v>
      </c>
    </row>
    <row r="12">
      <c r="A12" s="67" t="str">
        <f t="shared" si="1"/>
        <v>red-possum</v>
      </c>
      <c r="B12" s="68" t="s">
        <v>245</v>
      </c>
      <c r="C12" s="69" t="str">
        <f t="shared" si="2"/>
        <v>Red Possum</v>
      </c>
      <c r="D12" s="69" t="str">
        <f>IFERROR(__xludf.DUMMYFUNCTION("TEXTJOIN("""", TRUE, ARRAYFORMULA(LEFT(SPLIT(C12, "" ""),1)))"),"RP")</f>
        <v>RP</v>
      </c>
      <c r="E12" s="70"/>
      <c r="F12" s="71" t="s">
        <v>585</v>
      </c>
      <c r="G12" s="66" t="s">
        <v>576</v>
      </c>
    </row>
    <row r="13">
      <c r="A13" s="67" t="str">
        <f t="shared" si="1"/>
        <v>silent-rosella</v>
      </c>
      <c r="B13" s="68" t="s">
        <v>211</v>
      </c>
      <c r="C13" s="69" t="str">
        <f t="shared" si="2"/>
        <v>Silent Rosella</v>
      </c>
      <c r="D13" s="69" t="str">
        <f>IFERROR(__xludf.DUMMYFUNCTION("TEXTJOIN("""", TRUE, ARRAYFORMULA(LEFT(SPLIT(C13, "" ""),1)))"),"SR")</f>
        <v>SR</v>
      </c>
      <c r="E13" s="70"/>
      <c r="F13" s="71" t="s">
        <v>583</v>
      </c>
      <c r="G13" s="66" t="s">
        <v>576</v>
      </c>
    </row>
    <row r="14">
      <c r="A14" s="67" t="str">
        <f t="shared" si="1"/>
        <v>spotted-cockatoo</v>
      </c>
      <c r="B14" s="68" t="s">
        <v>281</v>
      </c>
      <c r="C14" s="69" t="str">
        <f t="shared" si="2"/>
        <v>Spotted Cockatoo</v>
      </c>
      <c r="D14" s="69" t="str">
        <f>IFERROR(__xludf.DUMMYFUNCTION("TEXTJOIN("""", TRUE, ARRAYFORMULA(LEFT(SPLIT(C14, "" ""),1)))"),"SC")</f>
        <v>SC</v>
      </c>
      <c r="E14" s="70"/>
      <c r="F14" s="71" t="s">
        <v>586</v>
      </c>
      <c r="G14" s="66" t="s">
        <v>576</v>
      </c>
    </row>
    <row r="15">
      <c r="A15" s="67" t="str">
        <f t="shared" si="1"/>
        <v>spotted-koala</v>
      </c>
      <c r="B15" s="68" t="s">
        <v>230</v>
      </c>
      <c r="C15" s="69" t="str">
        <f t="shared" si="2"/>
        <v>Spotted Koala</v>
      </c>
      <c r="D15" s="69" t="str">
        <f>IFERROR(__xludf.DUMMYFUNCTION("TEXTJOIN("""", TRUE, ARRAYFORMULA(LEFT(SPLIT(C15, "" ""),1)))"),"SK")</f>
        <v>SK</v>
      </c>
      <c r="E15" s="70"/>
      <c r="F15" s="71" t="s">
        <v>587</v>
      </c>
      <c r="G15" s="66" t="s">
        <v>576</v>
      </c>
    </row>
    <row r="16">
      <c r="A16" s="67" t="str">
        <f t="shared" si="1"/>
        <v>striped-frilled-neck-lizard</v>
      </c>
      <c r="B16" s="68" t="s">
        <v>208</v>
      </c>
      <c r="C16" s="69" t="str">
        <f t="shared" si="2"/>
        <v>Striped Frilled Neck Lizard</v>
      </c>
      <c r="D16" s="69" t="str">
        <f>IFERROR(__xludf.DUMMYFUNCTION("TEXTJOIN("""", TRUE, ARRAYFORMULA(LEFT(SPLIT(C16, "" ""),1)))"),"SFNL")</f>
        <v>SFNL</v>
      </c>
      <c r="E16" s="70"/>
      <c r="F16" s="71" t="s">
        <v>583</v>
      </c>
      <c r="G16" s="66" t="s">
        <v>576</v>
      </c>
    </row>
    <row r="17">
      <c r="A17" s="67" t="str">
        <f t="shared" si="1"/>
        <v>striped-koala</v>
      </c>
      <c r="B17" s="68" t="s">
        <v>312</v>
      </c>
      <c r="C17" s="69" t="str">
        <f t="shared" si="2"/>
        <v>Striped Koala</v>
      </c>
      <c r="D17" s="69" t="str">
        <f>IFERROR(__xludf.DUMMYFUNCTION("TEXTJOIN("""", TRUE, ARRAYFORMULA(LEFT(SPLIT(C17, "" ""),1)))"),"SK")</f>
        <v>SK</v>
      </c>
      <c r="E17" s="70"/>
      <c r="F17" s="71" t="s">
        <v>588</v>
      </c>
      <c r="G17" s="66" t="s">
        <v>576</v>
      </c>
    </row>
    <row r="18">
      <c r="A18" s="67" t="str">
        <f t="shared" si="1"/>
        <v>swift-blue-tongue-skink</v>
      </c>
      <c r="B18" s="68" t="s">
        <v>283</v>
      </c>
      <c r="C18" s="69" t="str">
        <f t="shared" si="2"/>
        <v>Swift Blue-tongue Skink</v>
      </c>
      <c r="D18" s="69" t="str">
        <f>IFERROR(__xludf.DUMMYFUNCTION("TEXTJOIN("""", TRUE, ARRAYFORMULA(LEFT(SPLIT(C18, "" ""),1)))"),"SBS")</f>
        <v>SBS</v>
      </c>
      <c r="E18" s="70"/>
      <c r="F18" s="71" t="s">
        <v>589</v>
      </c>
      <c r="G18" s="66" t="s">
        <v>576</v>
      </c>
    </row>
    <row r="19">
      <c r="A19" s="67" t="str">
        <f t="shared" si="1"/>
        <v>tiny-platypus</v>
      </c>
      <c r="B19" s="68" t="s">
        <v>331</v>
      </c>
      <c r="C19" s="69" t="str">
        <f t="shared" si="2"/>
        <v>Tiny Platypus</v>
      </c>
      <c r="D19" s="69" t="str">
        <f>IFERROR(__xludf.DUMMYFUNCTION("TEXTJOIN("""", TRUE, ARRAYFORMULA(LEFT(SPLIT(C19, "" ""),1)))"),"TP")</f>
        <v>TP</v>
      </c>
      <c r="E19" s="70"/>
      <c r="F19" s="71" t="s">
        <v>586</v>
      </c>
      <c r="G19" s="66" t="s">
        <v>576</v>
      </c>
    </row>
    <row r="20">
      <c r="A20" s="67" t="str">
        <f t="shared" si="1"/>
        <v>wild-cassowary</v>
      </c>
      <c r="B20" s="68" t="s">
        <v>337</v>
      </c>
      <c r="C20" s="69" t="str">
        <f t="shared" si="2"/>
        <v>Wild Cassowary</v>
      </c>
      <c r="D20" s="69" t="str">
        <f>IFERROR(__xludf.DUMMYFUNCTION("TEXTJOIN("""", TRUE, ARRAYFORMULA(LEFT(SPLIT(C20, "" ""),1)))"),"WC")</f>
        <v>WC</v>
      </c>
      <c r="E20" s="70"/>
      <c r="F20" s="71" t="s">
        <v>590</v>
      </c>
      <c r="G20" s="66" t="s">
        <v>576</v>
      </c>
    </row>
    <row r="21">
      <c r="A21" s="67" t="str">
        <f t="shared" si="1"/>
        <v>wild-kangaroo</v>
      </c>
      <c r="B21" s="68" t="s">
        <v>351</v>
      </c>
      <c r="C21" s="69" t="str">
        <f t="shared" si="2"/>
        <v>Wild Kangaroo</v>
      </c>
      <c r="D21" s="69" t="str">
        <f>IFERROR(__xludf.DUMMYFUNCTION("TEXTJOIN("""", TRUE, ARRAYFORMULA(LEFT(SPLIT(C21, "" ""),1)))"),"WK")</f>
        <v>WK</v>
      </c>
      <c r="E21" s="70"/>
      <c r="F21" s="71" t="s">
        <v>577</v>
      </c>
      <c r="G21" s="66" t="s">
        <v>576</v>
      </c>
    </row>
    <row r="22">
      <c r="A22" s="67" t="str">
        <f t="shared" si="1"/>
        <v>wild-numbat</v>
      </c>
      <c r="B22" s="68" t="s">
        <v>52</v>
      </c>
      <c r="C22" s="69" t="str">
        <f t="shared" si="2"/>
        <v>Wild Numbat</v>
      </c>
      <c r="D22" s="69" t="str">
        <f>IFERROR(__xludf.DUMMYFUNCTION("TEXTJOIN("""", TRUE, ARRAYFORMULA(LEFT(SPLIT(C22, "" ""),1)))"),"WN")</f>
        <v>WN</v>
      </c>
      <c r="E22" s="70"/>
      <c r="F22" s="71" t="s">
        <v>577</v>
      </c>
      <c r="G22" s="66" t="s">
        <v>576</v>
      </c>
    </row>
    <row r="23">
      <c r="A23" s="67" t="str">
        <f t="shared" si="1"/>
        <v>wild-possum</v>
      </c>
      <c r="B23" s="68" t="s">
        <v>231</v>
      </c>
      <c r="C23" s="69" t="str">
        <f t="shared" si="2"/>
        <v>Wild Possum</v>
      </c>
      <c r="D23" s="69" t="str">
        <f>IFERROR(__xludf.DUMMYFUNCTION("TEXTJOIN("""", TRUE, ARRAYFORMULA(LEFT(SPLIT(C23, "" ""),1)))"),"WP")</f>
        <v>WP</v>
      </c>
      <c r="E23" s="70"/>
      <c r="F23" s="71" t="s">
        <v>591</v>
      </c>
      <c r="G23" s="66" t="s">
        <v>576</v>
      </c>
    </row>
    <row r="24">
      <c r="A24" s="67" t="str">
        <f t="shared" si="1"/>
        <v>wild-tasmanian-devil</v>
      </c>
      <c r="B24" s="68" t="s">
        <v>374</v>
      </c>
      <c r="C24" s="69" t="str">
        <f t="shared" si="2"/>
        <v>Wild Tasmanian Devil</v>
      </c>
      <c r="D24" s="69" t="str">
        <f>IFERROR(__xludf.DUMMYFUNCTION("TEXTJOIN("""", TRUE, ARRAYFORMULA(LEFT(SPLIT(C24, "" ""),1)))"),"WTD")</f>
        <v>WTD</v>
      </c>
      <c r="E24" s="70"/>
      <c r="F24" s="71" t="s">
        <v>586</v>
      </c>
      <c r="G24" s="66" t="s">
        <v>576</v>
      </c>
    </row>
    <row r="25">
      <c r="A25" s="72" t="str">
        <f t="shared" si="1"/>
        <v>yellow-australian-magpie</v>
      </c>
      <c r="B25" s="73" t="s">
        <v>44</v>
      </c>
      <c r="C25" s="74" t="str">
        <f t="shared" si="2"/>
        <v>Yellow Australian Magpie</v>
      </c>
      <c r="D25" s="74" t="str">
        <f>IFERROR(__xludf.DUMMYFUNCTION("TEXTJOIN("""", TRUE, ARRAYFORMULA(LEFT(SPLIT(C25, "" ""),1)))"),"YAM")</f>
        <v>YAM</v>
      </c>
      <c r="E25" s="75"/>
      <c r="F25" s="66" t="s">
        <v>592</v>
      </c>
      <c r="G25" s="76" t="s">
        <v>576</v>
      </c>
    </row>
    <row r="26">
      <c r="A26" s="77" t="str">
        <f t="shared" si="1"/>
        <v>blue-bandicoot</v>
      </c>
      <c r="B26" s="63" t="str">
        <f>'analysis _non-RE-nodes'!A4</f>
        <v>Blue Bandicoot</v>
      </c>
      <c r="C26" s="64" t="str">
        <f>'analysis _non-RE-nodes'!A28</f>
        <v>Clever Blue-tongue Skink</v>
      </c>
      <c r="D26" s="64" t="str">
        <f>IFERROR(__xludf.DUMMYFUNCTION("TEXTJOIN("""", TRUE, ARRAYFORMULA(LEFT(SPLIT(C26, "" ""),1)))"),"CBS")</f>
        <v>CBS</v>
      </c>
      <c r="E26" s="66"/>
      <c r="F26" s="78"/>
      <c r="G26" s="66" t="s">
        <v>593</v>
      </c>
    </row>
    <row r="27">
      <c r="A27" s="79" t="str">
        <f t="shared" si="1"/>
        <v>blue-bush-stone-curlew</v>
      </c>
      <c r="B27" s="63" t="str">
        <f>'analysis _non-RE-nodes'!A5</f>
        <v>Blue Bush Stone-curlew</v>
      </c>
      <c r="C27" s="69" t="str">
        <f t="shared" ref="C27:C243" si="3">B27</f>
        <v>Blue Bush Stone-curlew</v>
      </c>
      <c r="D27" s="69" t="str">
        <f>IFERROR(__xludf.DUMMYFUNCTION("TEXTJOIN("""", TRUE, ARRAYFORMULA(LEFT(SPLIT(C27, "" ""),1)))"),"BBS")</f>
        <v>BBS</v>
      </c>
      <c r="E27" s="66"/>
      <c r="F27" s="66"/>
      <c r="G27" s="66" t="s">
        <v>593</v>
      </c>
    </row>
    <row r="28">
      <c r="A28" s="79" t="str">
        <f t="shared" si="1"/>
        <v>blue-dingo</v>
      </c>
      <c r="B28" s="63" t="str">
        <f>'analysis _non-RE-nodes'!A6</f>
        <v>Blue Dingo</v>
      </c>
      <c r="C28" s="69" t="str">
        <f t="shared" si="3"/>
        <v>Blue Dingo</v>
      </c>
      <c r="D28" s="69" t="str">
        <f>IFERROR(__xludf.DUMMYFUNCTION("TEXTJOIN("""", TRUE, ARRAYFORMULA(LEFT(SPLIT(C28, "" ""),1)))"),"BD")</f>
        <v>BD</v>
      </c>
      <c r="E28" s="66"/>
      <c r="F28" s="66"/>
      <c r="G28" s="66" t="s">
        <v>593</v>
      </c>
    </row>
    <row r="29">
      <c r="A29" s="79" t="str">
        <f t="shared" si="1"/>
        <v>blue-echidna</v>
      </c>
      <c r="B29" s="63" t="str">
        <f>'analysis _non-RE-nodes'!A7</f>
        <v>Blue Echidna</v>
      </c>
      <c r="C29" s="69" t="str">
        <f t="shared" si="3"/>
        <v>Blue Echidna</v>
      </c>
      <c r="D29" s="69" t="str">
        <f>IFERROR(__xludf.DUMMYFUNCTION("TEXTJOIN("""", TRUE, ARRAYFORMULA(LEFT(SPLIT(C29, "" ""),1)))"),"BE")</f>
        <v>BE</v>
      </c>
      <c r="E29" s="66"/>
      <c r="F29" s="66"/>
      <c r="G29" s="66" t="s">
        <v>593</v>
      </c>
    </row>
    <row r="30">
      <c r="A30" s="79" t="str">
        <f t="shared" si="1"/>
        <v>blue-fairy-penguin</v>
      </c>
      <c r="B30" s="63" t="str">
        <f>'analysis _non-RE-nodes'!A8</f>
        <v>Blue Fairy Penguin</v>
      </c>
      <c r="C30" s="69" t="str">
        <f t="shared" si="3"/>
        <v>Blue Fairy Penguin</v>
      </c>
      <c r="D30" s="69" t="str">
        <f>IFERROR(__xludf.DUMMYFUNCTION("TEXTJOIN("""", TRUE, ARRAYFORMULA(LEFT(SPLIT(C30, "" ""),1)))"),"BFP")</f>
        <v>BFP</v>
      </c>
      <c r="E30" s="66"/>
      <c r="F30" s="66"/>
      <c r="G30" s="66" t="s">
        <v>593</v>
      </c>
    </row>
    <row r="31">
      <c r="A31" s="79" t="str">
        <f t="shared" si="1"/>
        <v>blue-frilled-neck-lizard</v>
      </c>
      <c r="B31" s="63" t="str">
        <f>'analysis _non-RE-nodes'!A9</f>
        <v>Blue Frilled Neck Lizard</v>
      </c>
      <c r="C31" s="69" t="str">
        <f t="shared" si="3"/>
        <v>Blue Frilled Neck Lizard</v>
      </c>
      <c r="D31" s="69" t="str">
        <f>IFERROR(__xludf.DUMMYFUNCTION("TEXTJOIN("""", TRUE, ARRAYFORMULA(LEFT(SPLIT(C31, "" ""),1)))"),"BFNL")</f>
        <v>BFNL</v>
      </c>
      <c r="E31" s="66"/>
      <c r="F31" s="66"/>
      <c r="G31" s="66" t="s">
        <v>593</v>
      </c>
    </row>
    <row r="32">
      <c r="A32" s="79" t="str">
        <f t="shared" si="1"/>
        <v>blue-goanna</v>
      </c>
      <c r="B32" s="63" t="str">
        <f>'analysis _non-RE-nodes'!A10</f>
        <v>Blue Goanna</v>
      </c>
      <c r="C32" s="69" t="str">
        <f t="shared" si="3"/>
        <v>Blue Goanna</v>
      </c>
      <c r="D32" s="69" t="str">
        <f>IFERROR(__xludf.DUMMYFUNCTION("TEXTJOIN("""", TRUE, ARRAYFORMULA(LEFT(SPLIT(C32, "" ""),1)))"),"BG")</f>
        <v>BG</v>
      </c>
      <c r="E32" s="66"/>
      <c r="F32" s="66"/>
      <c r="G32" s="66" t="s">
        <v>593</v>
      </c>
    </row>
    <row r="33">
      <c r="A33" s="79" t="str">
        <f t="shared" si="1"/>
        <v>blue-koala</v>
      </c>
      <c r="B33" s="63" t="str">
        <f>'analysis _non-RE-nodes'!A11</f>
        <v>Blue Koala</v>
      </c>
      <c r="C33" s="69" t="str">
        <f t="shared" si="3"/>
        <v>Blue Koala</v>
      </c>
      <c r="D33" s="69" t="str">
        <f>IFERROR(__xludf.DUMMYFUNCTION("TEXTJOIN("""", TRUE, ARRAYFORMULA(LEFT(SPLIT(C33, "" ""),1)))"),"BK")</f>
        <v>BK</v>
      </c>
      <c r="E33" s="66"/>
      <c r="F33" s="66"/>
      <c r="G33" s="66" t="s">
        <v>593</v>
      </c>
    </row>
    <row r="34">
      <c r="A34" s="79" t="str">
        <f t="shared" si="1"/>
        <v>blue-numbat</v>
      </c>
      <c r="B34" s="63" t="str">
        <f>'analysis _non-RE-nodes'!A12</f>
        <v>Blue Numbat</v>
      </c>
      <c r="C34" s="69" t="str">
        <f t="shared" si="3"/>
        <v>Blue Numbat</v>
      </c>
      <c r="D34" s="69" t="str">
        <f>IFERROR(__xludf.DUMMYFUNCTION("TEXTJOIN("""", TRUE, ARRAYFORMULA(LEFT(SPLIT(C34, "" ""),1)))"),"BN")</f>
        <v>BN</v>
      </c>
      <c r="E34" s="66"/>
      <c r="F34" s="66"/>
      <c r="G34" s="66" t="s">
        <v>593</v>
      </c>
    </row>
    <row r="35">
      <c r="A35" s="79" t="str">
        <f t="shared" si="1"/>
        <v>blue-perentie</v>
      </c>
      <c r="B35" s="63" t="str">
        <f>'analysis _non-RE-nodes'!A13</f>
        <v>Blue Perentie</v>
      </c>
      <c r="C35" s="69" t="str">
        <f t="shared" si="3"/>
        <v>Blue Perentie</v>
      </c>
      <c r="D35" s="69" t="str">
        <f>IFERROR(__xludf.DUMMYFUNCTION("TEXTJOIN("""", TRUE, ARRAYFORMULA(LEFT(SPLIT(C35, "" ""),1)))"),"BP")</f>
        <v>BP</v>
      </c>
      <c r="E35" s="66"/>
      <c r="F35" s="66"/>
      <c r="G35" s="66" t="s">
        <v>593</v>
      </c>
    </row>
    <row r="36">
      <c r="A36" s="79" t="str">
        <f t="shared" si="1"/>
        <v>blue-sugar-glider</v>
      </c>
      <c r="B36" s="63" t="str">
        <f>'analysis _non-RE-nodes'!A14</f>
        <v>Blue Sugar Glider</v>
      </c>
      <c r="C36" s="69" t="str">
        <f t="shared" si="3"/>
        <v>Blue Sugar Glider</v>
      </c>
      <c r="D36" s="69" t="str">
        <f>IFERROR(__xludf.DUMMYFUNCTION("TEXTJOIN("""", TRUE, ARRAYFORMULA(LEFT(SPLIT(C36, "" ""),1)))"),"BSG")</f>
        <v>BSG</v>
      </c>
      <c r="E36" s="66"/>
      <c r="F36" s="66"/>
      <c r="G36" s="66" t="s">
        <v>593</v>
      </c>
    </row>
    <row r="37">
      <c r="A37" s="79" t="str">
        <f t="shared" si="1"/>
        <v>blue-tasmanian-devil</v>
      </c>
      <c r="B37" s="63" t="str">
        <f>'analysis _non-RE-nodes'!A15</f>
        <v>Blue Tasmanian Devil</v>
      </c>
      <c r="C37" s="69" t="str">
        <f t="shared" si="3"/>
        <v>Blue Tasmanian Devil</v>
      </c>
      <c r="D37" s="69" t="str">
        <f>IFERROR(__xludf.DUMMYFUNCTION("TEXTJOIN("""", TRUE, ARRAYFORMULA(LEFT(SPLIT(C37, "" ""),1)))"),"BTD")</f>
        <v>BTD</v>
      </c>
      <c r="E37" s="66"/>
      <c r="F37" s="66"/>
      <c r="G37" s="66" t="s">
        <v>593</v>
      </c>
    </row>
    <row r="38">
      <c r="A38" s="79" t="str">
        <f t="shared" si="1"/>
        <v>blue-thorny-devil</v>
      </c>
      <c r="B38" s="63" t="str">
        <f>'analysis _non-RE-nodes'!A16</f>
        <v>Blue Thorny Devil</v>
      </c>
      <c r="C38" s="69" t="str">
        <f t="shared" si="3"/>
        <v>Blue Thorny Devil</v>
      </c>
      <c r="D38" s="69" t="str">
        <f>IFERROR(__xludf.DUMMYFUNCTION("TEXTJOIN("""", TRUE, ARRAYFORMULA(LEFT(SPLIT(C38, "" ""),1)))"),"BTD")</f>
        <v>BTD</v>
      </c>
      <c r="E38" s="66"/>
      <c r="F38" s="66"/>
      <c r="G38" s="66" t="s">
        <v>593</v>
      </c>
    </row>
    <row r="39">
      <c r="A39" s="79" t="str">
        <f t="shared" si="1"/>
        <v>blue-wallaby</v>
      </c>
      <c r="B39" s="63" t="str">
        <f>'analysis _non-RE-nodes'!A17</f>
        <v>Blue Wallaby</v>
      </c>
      <c r="C39" s="69" t="str">
        <f t="shared" si="3"/>
        <v>Blue Wallaby</v>
      </c>
      <c r="D39" s="69" t="str">
        <f>IFERROR(__xludf.DUMMYFUNCTION("TEXTJOIN("""", TRUE, ARRAYFORMULA(LEFT(SPLIT(C39, "" ""),1)))"),"BW")</f>
        <v>BW</v>
      </c>
      <c r="E39" s="66"/>
      <c r="F39" s="66"/>
      <c r="G39" s="66" t="s">
        <v>593</v>
      </c>
    </row>
    <row r="40">
      <c r="A40" s="79" t="str">
        <f t="shared" si="1"/>
        <v>brave-bandicoot</v>
      </c>
      <c r="B40" s="63" t="str">
        <f>'analysis _non-RE-nodes'!A18</f>
        <v>Brave Bandicoot</v>
      </c>
      <c r="C40" s="69" t="str">
        <f t="shared" si="3"/>
        <v>Brave Bandicoot</v>
      </c>
      <c r="D40" s="69" t="str">
        <f>IFERROR(__xludf.DUMMYFUNCTION("TEXTJOIN("""", TRUE, ARRAYFORMULA(LEFT(SPLIT(C40, "" ""),1)))"),"BB")</f>
        <v>BB</v>
      </c>
      <c r="E40" s="66"/>
      <c r="F40" s="66"/>
      <c r="G40" s="66" t="s">
        <v>593</v>
      </c>
    </row>
    <row r="41">
      <c r="A41" s="79" t="str">
        <f t="shared" si="1"/>
        <v>brave-bilby</v>
      </c>
      <c r="B41" s="63" t="str">
        <f>'analysis _non-RE-nodes'!A19</f>
        <v>Brave Bilby</v>
      </c>
      <c r="C41" s="69" t="str">
        <f t="shared" si="3"/>
        <v>Brave Bilby</v>
      </c>
      <c r="D41" s="69" t="str">
        <f>IFERROR(__xludf.DUMMYFUNCTION("TEXTJOIN("""", TRUE, ARRAYFORMULA(LEFT(SPLIT(C41, "" ""),1)))"),"BB")</f>
        <v>BB</v>
      </c>
      <c r="E41" s="66"/>
      <c r="F41" s="66"/>
      <c r="G41" s="66" t="s">
        <v>593</v>
      </c>
    </row>
    <row r="42">
      <c r="A42" s="79" t="str">
        <f t="shared" si="1"/>
        <v>brave-bush-stone-curlew</v>
      </c>
      <c r="B42" s="63" t="str">
        <f>'analysis _non-RE-nodes'!A20</f>
        <v>Brave Bush Stone-curlew</v>
      </c>
      <c r="C42" s="69" t="str">
        <f t="shared" si="3"/>
        <v>Brave Bush Stone-curlew</v>
      </c>
      <c r="D42" s="69" t="str">
        <f>IFERROR(__xludf.DUMMYFUNCTION("TEXTJOIN("""", TRUE, ARRAYFORMULA(LEFT(SPLIT(C42, "" ""),1)))"),"BBS")</f>
        <v>BBS</v>
      </c>
      <c r="E42" s="66"/>
      <c r="F42" s="66"/>
      <c r="G42" s="66" t="s">
        <v>593</v>
      </c>
    </row>
    <row r="43">
      <c r="A43" s="79" t="str">
        <f t="shared" si="1"/>
        <v>brave-cockatoo</v>
      </c>
      <c r="B43" s="63" t="str">
        <f>'analysis _non-RE-nodes'!A21</f>
        <v>Brave Cockatoo</v>
      </c>
      <c r="C43" s="69" t="str">
        <f t="shared" si="3"/>
        <v>Brave Cockatoo</v>
      </c>
      <c r="D43" s="69" t="str">
        <f>IFERROR(__xludf.DUMMYFUNCTION("TEXTJOIN("""", TRUE, ARRAYFORMULA(LEFT(SPLIT(C43, "" ""),1)))"),"BC")</f>
        <v>BC</v>
      </c>
      <c r="E43" s="66"/>
      <c r="F43" s="66"/>
      <c r="G43" s="66" t="s">
        <v>593</v>
      </c>
    </row>
    <row r="44">
      <c r="A44" s="79" t="str">
        <f t="shared" si="1"/>
        <v>brave-kookaburra</v>
      </c>
      <c r="B44" s="63" t="str">
        <f>'analysis _non-RE-nodes'!A22</f>
        <v>Brave Kookaburra</v>
      </c>
      <c r="C44" s="69" t="str">
        <f t="shared" si="3"/>
        <v>Brave Kookaburra</v>
      </c>
      <c r="D44" s="69" t="str">
        <f>IFERROR(__xludf.DUMMYFUNCTION("TEXTJOIN("""", TRUE, ARRAYFORMULA(LEFT(SPLIT(C44, "" ""),1)))"),"BK")</f>
        <v>BK</v>
      </c>
      <c r="E44" s="66"/>
      <c r="F44" s="66"/>
      <c r="G44" s="66" t="s">
        <v>593</v>
      </c>
    </row>
    <row r="45">
      <c r="A45" s="79" t="str">
        <f t="shared" si="1"/>
        <v>brave-perentie</v>
      </c>
      <c r="B45" s="63" t="str">
        <f>'analysis _non-RE-nodes'!A23</f>
        <v>Brave Perentie</v>
      </c>
      <c r="C45" s="69" t="str">
        <f t="shared" si="3"/>
        <v>Brave Perentie</v>
      </c>
      <c r="D45" s="69" t="str">
        <f>IFERROR(__xludf.DUMMYFUNCTION("TEXTJOIN("""", TRUE, ARRAYFORMULA(LEFT(SPLIT(C45, "" ""),1)))"),"BP")</f>
        <v>BP</v>
      </c>
      <c r="E45" s="66"/>
      <c r="F45" s="66"/>
      <c r="G45" s="66" t="s">
        <v>593</v>
      </c>
    </row>
    <row r="46">
      <c r="A46" s="79" t="str">
        <f t="shared" si="1"/>
        <v>brave-platypus</v>
      </c>
      <c r="B46" s="63" t="str">
        <f>'analysis _non-RE-nodes'!A24</f>
        <v>Brave Platypus</v>
      </c>
      <c r="C46" s="69" t="str">
        <f t="shared" si="3"/>
        <v>Brave Platypus</v>
      </c>
      <c r="D46" s="69" t="str">
        <f>IFERROR(__xludf.DUMMYFUNCTION("TEXTJOIN("""", TRUE, ARRAYFORMULA(LEFT(SPLIT(C46, "" ""),1)))"),"BP")</f>
        <v>BP</v>
      </c>
      <c r="E46" s="66"/>
      <c r="F46" s="66"/>
      <c r="G46" s="66" t="s">
        <v>593</v>
      </c>
    </row>
    <row r="47">
      <c r="A47" s="79" t="str">
        <f t="shared" si="1"/>
        <v>brave-quokka</v>
      </c>
      <c r="B47" s="63" t="str">
        <f>'analysis _non-RE-nodes'!A25</f>
        <v>Brave Quokka</v>
      </c>
      <c r="C47" s="69" t="str">
        <f t="shared" si="3"/>
        <v>Brave Quokka</v>
      </c>
      <c r="D47" s="69" t="str">
        <f>IFERROR(__xludf.DUMMYFUNCTION("TEXTJOIN("""", TRUE, ARRAYFORMULA(LEFT(SPLIT(C47, "" ""),1)))"),"BQ")</f>
        <v>BQ</v>
      </c>
      <c r="E47" s="66"/>
      <c r="F47" s="66"/>
      <c r="G47" s="66" t="s">
        <v>593</v>
      </c>
    </row>
    <row r="48">
      <c r="A48" s="79" t="str">
        <f t="shared" si="1"/>
        <v>brave-sugar-glider</v>
      </c>
      <c r="B48" s="63" t="str">
        <f>'analysis _non-RE-nodes'!A26</f>
        <v>Brave Sugar Glider</v>
      </c>
      <c r="C48" s="69" t="str">
        <f t="shared" si="3"/>
        <v>Brave Sugar Glider</v>
      </c>
      <c r="D48" s="69" t="str">
        <f>IFERROR(__xludf.DUMMYFUNCTION("TEXTJOIN("""", TRUE, ARRAYFORMULA(LEFT(SPLIT(C48, "" ""),1)))"),"BSG")</f>
        <v>BSG</v>
      </c>
      <c r="E48" s="66"/>
      <c r="F48" s="66"/>
      <c r="G48" s="66" t="s">
        <v>593</v>
      </c>
    </row>
    <row r="49">
      <c r="A49" s="79" t="str">
        <f t="shared" si="1"/>
        <v>brave-tasmanian-devil</v>
      </c>
      <c r="B49" s="63" t="str">
        <f>'analysis _non-RE-nodes'!A27</f>
        <v>Brave Tasmanian Devil</v>
      </c>
      <c r="C49" s="69" t="str">
        <f t="shared" si="3"/>
        <v>Brave Tasmanian Devil</v>
      </c>
      <c r="D49" s="69" t="str">
        <f>IFERROR(__xludf.DUMMYFUNCTION("TEXTJOIN("""", TRUE, ARRAYFORMULA(LEFT(SPLIT(C49, "" ""),1)))"),"BTD")</f>
        <v>BTD</v>
      </c>
      <c r="E49" s="66"/>
      <c r="F49" s="66"/>
      <c r="G49" s="66" t="s">
        <v>593</v>
      </c>
    </row>
    <row r="50">
      <c r="A50" s="79" t="str">
        <f t="shared" si="1"/>
        <v>clever-blue-tongue-skink</v>
      </c>
      <c r="B50" s="63" t="str">
        <f>'analysis _non-RE-nodes'!A28</f>
        <v>Clever Blue-tongue Skink</v>
      </c>
      <c r="C50" s="69" t="str">
        <f t="shared" si="3"/>
        <v>Clever Blue-tongue Skink</v>
      </c>
      <c r="D50" s="69" t="str">
        <f>IFERROR(__xludf.DUMMYFUNCTION("TEXTJOIN("""", TRUE, ARRAYFORMULA(LEFT(SPLIT(C50, "" ""),1)))"),"CBS")</f>
        <v>CBS</v>
      </c>
      <c r="E50" s="66"/>
      <c r="F50" s="66"/>
      <c r="G50" s="66" t="s">
        <v>593</v>
      </c>
    </row>
    <row r="51">
      <c r="A51" s="79" t="str">
        <f t="shared" si="1"/>
        <v>clever-bush-stone-curlew</v>
      </c>
      <c r="B51" s="63" t="str">
        <f>'analysis _non-RE-nodes'!A29</f>
        <v>Clever Bush Stone-curlew</v>
      </c>
      <c r="C51" s="69" t="str">
        <f t="shared" si="3"/>
        <v>Clever Bush Stone-curlew</v>
      </c>
      <c r="D51" s="69" t="str">
        <f>IFERROR(__xludf.DUMMYFUNCTION("TEXTJOIN("""", TRUE, ARRAYFORMULA(LEFT(SPLIT(C51, "" ""),1)))"),"CBS")</f>
        <v>CBS</v>
      </c>
      <c r="E51" s="66"/>
      <c r="F51" s="66"/>
      <c r="G51" s="66" t="s">
        <v>593</v>
      </c>
    </row>
    <row r="52">
      <c r="A52" s="79" t="str">
        <f t="shared" si="1"/>
        <v>clever-emu</v>
      </c>
      <c r="B52" s="63" t="str">
        <f>'analysis _non-RE-nodes'!A30</f>
        <v>Clever Emu</v>
      </c>
      <c r="C52" s="69" t="str">
        <f t="shared" si="3"/>
        <v>Clever Emu</v>
      </c>
      <c r="D52" s="69" t="str">
        <f>IFERROR(__xludf.DUMMYFUNCTION("TEXTJOIN("""", TRUE, ARRAYFORMULA(LEFT(SPLIT(C52, "" ""),1)))"),"CE")</f>
        <v>CE</v>
      </c>
      <c r="E52" s="66"/>
      <c r="F52" s="66"/>
      <c r="G52" s="66" t="s">
        <v>593</v>
      </c>
    </row>
    <row r="53">
      <c r="A53" s="79" t="str">
        <f t="shared" si="1"/>
        <v>clever-goanna</v>
      </c>
      <c r="B53" s="63" t="str">
        <f>'analysis _non-RE-nodes'!A31</f>
        <v>Clever Goanna</v>
      </c>
      <c r="C53" s="69" t="str">
        <f t="shared" si="3"/>
        <v>Clever Goanna</v>
      </c>
      <c r="D53" s="69" t="str">
        <f>IFERROR(__xludf.DUMMYFUNCTION("TEXTJOIN("""", TRUE, ARRAYFORMULA(LEFT(SPLIT(C53, "" ""),1)))"),"CG")</f>
        <v>CG</v>
      </c>
      <c r="E53" s="66"/>
      <c r="F53" s="66"/>
      <c r="G53" s="66" t="s">
        <v>593</v>
      </c>
    </row>
    <row r="54">
      <c r="A54" s="79" t="str">
        <f t="shared" si="1"/>
        <v>clever-kangaroo</v>
      </c>
      <c r="B54" s="63" t="str">
        <f>'analysis _non-RE-nodes'!A32</f>
        <v>Clever Kangaroo</v>
      </c>
      <c r="C54" s="69" t="str">
        <f t="shared" si="3"/>
        <v>Clever Kangaroo</v>
      </c>
      <c r="D54" s="69" t="str">
        <f>IFERROR(__xludf.DUMMYFUNCTION("TEXTJOIN("""", TRUE, ARRAYFORMULA(LEFT(SPLIT(C54, "" ""),1)))"),"CK")</f>
        <v>CK</v>
      </c>
      <c r="E54" s="66"/>
      <c r="F54" s="66"/>
      <c r="G54" s="66" t="s">
        <v>593</v>
      </c>
    </row>
    <row r="55">
      <c r="A55" s="79" t="str">
        <f t="shared" si="1"/>
        <v>clever-koala</v>
      </c>
      <c r="B55" s="63" t="str">
        <f>'analysis _non-RE-nodes'!A33</f>
        <v>Clever Koala</v>
      </c>
      <c r="C55" s="69" t="str">
        <f t="shared" si="3"/>
        <v>Clever Koala</v>
      </c>
      <c r="D55" s="69" t="str">
        <f>IFERROR(__xludf.DUMMYFUNCTION("TEXTJOIN("""", TRUE, ARRAYFORMULA(LEFT(SPLIT(C55, "" ""),1)))"),"CK")</f>
        <v>CK</v>
      </c>
      <c r="E55" s="66"/>
      <c r="F55" s="66"/>
      <c r="G55" s="66" t="s">
        <v>593</v>
      </c>
    </row>
    <row r="56">
      <c r="A56" s="79" t="str">
        <f t="shared" si="1"/>
        <v>clever-perentie</v>
      </c>
      <c r="B56" s="63" t="str">
        <f>'analysis _non-RE-nodes'!A34</f>
        <v>Clever Perentie</v>
      </c>
      <c r="C56" s="69" t="str">
        <f t="shared" si="3"/>
        <v>Clever Perentie</v>
      </c>
      <c r="D56" s="69" t="str">
        <f>IFERROR(__xludf.DUMMYFUNCTION("TEXTJOIN("""", TRUE, ARRAYFORMULA(LEFT(SPLIT(C56, "" ""),1)))"),"CP")</f>
        <v>CP</v>
      </c>
      <c r="E56" s="66"/>
      <c r="F56" s="66"/>
      <c r="G56" s="66" t="s">
        <v>593</v>
      </c>
    </row>
    <row r="57">
      <c r="A57" s="79" t="str">
        <f t="shared" si="1"/>
        <v>clever-quokka</v>
      </c>
      <c r="B57" s="63" t="str">
        <f>'analysis _non-RE-nodes'!A35</f>
        <v>Clever Quokka</v>
      </c>
      <c r="C57" s="69" t="str">
        <f t="shared" si="3"/>
        <v>Clever Quokka</v>
      </c>
      <c r="D57" s="69" t="str">
        <f>IFERROR(__xludf.DUMMYFUNCTION("TEXTJOIN("""", TRUE, ARRAYFORMULA(LEFT(SPLIT(C57, "" ""),1)))"),"CQ")</f>
        <v>CQ</v>
      </c>
      <c r="E57" s="66"/>
      <c r="F57" s="66"/>
      <c r="G57" s="66" t="s">
        <v>593</v>
      </c>
    </row>
    <row r="58">
      <c r="A58" s="79" t="str">
        <f t="shared" si="1"/>
        <v>clever-sugar-glider</v>
      </c>
      <c r="B58" s="63" t="str">
        <f>'analysis _non-RE-nodes'!A36</f>
        <v>Clever Sugar Glider</v>
      </c>
      <c r="C58" s="69" t="str">
        <f t="shared" si="3"/>
        <v>Clever Sugar Glider</v>
      </c>
      <c r="D58" s="69" t="str">
        <f>IFERROR(__xludf.DUMMYFUNCTION("TEXTJOIN("""", TRUE, ARRAYFORMULA(LEFT(SPLIT(C58, "" ""),1)))"),"CSG")</f>
        <v>CSG</v>
      </c>
      <c r="E58" s="66"/>
      <c r="F58" s="66"/>
      <c r="G58" s="66" t="s">
        <v>593</v>
      </c>
    </row>
    <row r="59">
      <c r="A59" s="79" t="str">
        <f t="shared" si="1"/>
        <v>clever-tree-kangaroo</v>
      </c>
      <c r="B59" s="63" t="str">
        <f>'analysis _non-RE-nodes'!A37</f>
        <v>Clever Tree Kangaroo</v>
      </c>
      <c r="C59" s="69" t="str">
        <f t="shared" si="3"/>
        <v>Clever Tree Kangaroo</v>
      </c>
      <c r="D59" s="69" t="str">
        <f>IFERROR(__xludf.DUMMYFUNCTION("TEXTJOIN("""", TRUE, ARRAYFORMULA(LEFT(SPLIT(C59, "" ""),1)))"),"CTK")</f>
        <v>CTK</v>
      </c>
      <c r="E59" s="66"/>
      <c r="F59" s="66"/>
      <c r="G59" s="66" t="s">
        <v>593</v>
      </c>
    </row>
    <row r="60">
      <c r="A60" s="79" t="str">
        <f t="shared" si="1"/>
        <v>fuzzy-cassowary</v>
      </c>
      <c r="B60" s="63" t="str">
        <f>'analysis _non-RE-nodes'!A38</f>
        <v>Fuzzy Cassowary</v>
      </c>
      <c r="C60" s="69" t="str">
        <f t="shared" si="3"/>
        <v>Fuzzy Cassowary</v>
      </c>
      <c r="D60" s="69" t="str">
        <f>IFERROR(__xludf.DUMMYFUNCTION("TEXTJOIN("""", TRUE, ARRAYFORMULA(LEFT(SPLIT(C60, "" ""),1)))"),"FC")</f>
        <v>FC</v>
      </c>
      <c r="E60" s="66"/>
      <c r="F60" s="66"/>
      <c r="G60" s="66" t="s">
        <v>593</v>
      </c>
    </row>
    <row r="61">
      <c r="A61" s="79" t="str">
        <f t="shared" si="1"/>
        <v>fuzzy-echidna</v>
      </c>
      <c r="B61" s="63" t="str">
        <f>'analysis _non-RE-nodes'!A39</f>
        <v>Fuzzy Echidna</v>
      </c>
      <c r="C61" s="69" t="str">
        <f t="shared" si="3"/>
        <v>Fuzzy Echidna</v>
      </c>
      <c r="D61" s="69" t="str">
        <f>IFERROR(__xludf.DUMMYFUNCTION("TEXTJOIN("""", TRUE, ARRAYFORMULA(LEFT(SPLIT(C61, "" ""),1)))"),"FE")</f>
        <v>FE</v>
      </c>
      <c r="E61" s="66"/>
      <c r="F61" s="66"/>
      <c r="G61" s="66" t="s">
        <v>593</v>
      </c>
    </row>
    <row r="62">
      <c r="A62" s="79" t="str">
        <f t="shared" si="1"/>
        <v>fuzzy-fairy-penguin</v>
      </c>
      <c r="B62" s="63" t="str">
        <f>'analysis _non-RE-nodes'!A40</f>
        <v>Fuzzy Fairy Penguin</v>
      </c>
      <c r="C62" s="69" t="str">
        <f t="shared" si="3"/>
        <v>Fuzzy Fairy Penguin</v>
      </c>
      <c r="D62" s="69" t="str">
        <f>IFERROR(__xludf.DUMMYFUNCTION("TEXTJOIN("""", TRUE, ARRAYFORMULA(LEFT(SPLIT(C62, "" ""),1)))"),"FFP")</f>
        <v>FFP</v>
      </c>
      <c r="E62" s="66"/>
      <c r="F62" s="66"/>
      <c r="G62" s="66" t="s">
        <v>593</v>
      </c>
    </row>
    <row r="63">
      <c r="A63" s="79" t="str">
        <f t="shared" si="1"/>
        <v>fuzzy-goanna</v>
      </c>
      <c r="B63" s="63" t="str">
        <f>'analysis _non-RE-nodes'!A41</f>
        <v>Fuzzy Goanna</v>
      </c>
      <c r="C63" s="69" t="str">
        <f t="shared" si="3"/>
        <v>Fuzzy Goanna</v>
      </c>
      <c r="D63" s="69" t="str">
        <f>IFERROR(__xludf.DUMMYFUNCTION("TEXTJOIN("""", TRUE, ARRAYFORMULA(LEFT(SPLIT(C63, "" ""),1)))"),"FG")</f>
        <v>FG</v>
      </c>
      <c r="E63" s="66"/>
      <c r="F63" s="66"/>
      <c r="G63" s="66" t="s">
        <v>593</v>
      </c>
    </row>
    <row r="64">
      <c r="A64" s="79" t="str">
        <f t="shared" si="1"/>
        <v>fuzzy-kangaroo</v>
      </c>
      <c r="B64" s="63" t="str">
        <f>'analysis _non-RE-nodes'!A42</f>
        <v>Fuzzy Kangaroo</v>
      </c>
      <c r="C64" s="69" t="str">
        <f t="shared" si="3"/>
        <v>Fuzzy Kangaroo</v>
      </c>
      <c r="D64" s="69" t="str">
        <f>IFERROR(__xludf.DUMMYFUNCTION("TEXTJOIN("""", TRUE, ARRAYFORMULA(LEFT(SPLIT(C64, "" ""),1)))"),"FK")</f>
        <v>FK</v>
      </c>
      <c r="E64" s="66"/>
      <c r="F64" s="66"/>
      <c r="G64" s="66" t="s">
        <v>593</v>
      </c>
    </row>
    <row r="65">
      <c r="A65" s="79" t="str">
        <f t="shared" si="1"/>
        <v>fuzzy-koala</v>
      </c>
      <c r="B65" s="63" t="str">
        <f>'analysis _non-RE-nodes'!A43</f>
        <v>Fuzzy Koala</v>
      </c>
      <c r="C65" s="69" t="str">
        <f t="shared" si="3"/>
        <v>Fuzzy Koala</v>
      </c>
      <c r="D65" s="69" t="str">
        <f>IFERROR(__xludf.DUMMYFUNCTION("TEXTJOIN("""", TRUE, ARRAYFORMULA(LEFT(SPLIT(C65, "" ""),1)))"),"FK")</f>
        <v>FK</v>
      </c>
      <c r="E65" s="66"/>
      <c r="F65" s="66"/>
      <c r="G65" s="66" t="s">
        <v>593</v>
      </c>
    </row>
    <row r="66">
      <c r="A66" s="79" t="str">
        <f t="shared" si="1"/>
        <v>fuzzy-lyrebird</v>
      </c>
      <c r="B66" s="63" t="str">
        <f>'analysis _non-RE-nodes'!A44</f>
        <v>Fuzzy Lyrebird</v>
      </c>
      <c r="C66" s="69" t="str">
        <f t="shared" si="3"/>
        <v>Fuzzy Lyrebird</v>
      </c>
      <c r="D66" s="69" t="str">
        <f>IFERROR(__xludf.DUMMYFUNCTION("TEXTJOIN("""", TRUE, ARRAYFORMULA(LEFT(SPLIT(C66, "" ""),1)))"),"FL")</f>
        <v>FL</v>
      </c>
      <c r="E66" s="66"/>
      <c r="F66" s="66"/>
      <c r="G66" s="66" t="s">
        <v>593</v>
      </c>
    </row>
    <row r="67">
      <c r="A67" s="79" t="str">
        <f t="shared" si="1"/>
        <v>fuzzy-platypus</v>
      </c>
      <c r="B67" s="63" t="str">
        <f>'analysis _non-RE-nodes'!A45</f>
        <v>Fuzzy Platypus</v>
      </c>
      <c r="C67" s="69" t="str">
        <f t="shared" si="3"/>
        <v>Fuzzy Platypus</v>
      </c>
      <c r="D67" s="69" t="str">
        <f>IFERROR(__xludf.DUMMYFUNCTION("TEXTJOIN("""", TRUE, ARRAYFORMULA(LEFT(SPLIT(C67, "" ""),1)))"),"FP")</f>
        <v>FP</v>
      </c>
      <c r="E67" s="66"/>
      <c r="F67" s="66"/>
      <c r="G67" s="66" t="s">
        <v>593</v>
      </c>
    </row>
    <row r="68">
      <c r="A68" s="79" t="str">
        <f t="shared" si="1"/>
        <v>fuzzy-quokka</v>
      </c>
      <c r="B68" s="63" t="str">
        <f>'analysis _non-RE-nodes'!A46</f>
        <v>Fuzzy Quokka</v>
      </c>
      <c r="C68" s="69" t="str">
        <f t="shared" si="3"/>
        <v>Fuzzy Quokka</v>
      </c>
      <c r="D68" s="69" t="str">
        <f>IFERROR(__xludf.DUMMYFUNCTION("TEXTJOIN("""", TRUE, ARRAYFORMULA(LEFT(SPLIT(C68, "" ""),1)))"),"FQ")</f>
        <v>FQ</v>
      </c>
      <c r="E68" s="66"/>
      <c r="F68" s="66"/>
      <c r="G68" s="66" t="s">
        <v>593</v>
      </c>
    </row>
    <row r="69">
      <c r="A69" s="79" t="str">
        <f t="shared" si="1"/>
        <v>fuzzy-redback-spider</v>
      </c>
      <c r="B69" s="63" t="str">
        <f>'analysis _non-RE-nodes'!A47</f>
        <v>Fuzzy Redback Spider</v>
      </c>
      <c r="C69" s="69" t="str">
        <f t="shared" si="3"/>
        <v>Fuzzy Redback Spider</v>
      </c>
      <c r="D69" s="69" t="str">
        <f>IFERROR(__xludf.DUMMYFUNCTION("TEXTJOIN("""", TRUE, ARRAYFORMULA(LEFT(SPLIT(C69, "" ""),1)))"),"FRS")</f>
        <v>FRS</v>
      </c>
      <c r="E69" s="66"/>
      <c r="F69" s="66"/>
      <c r="G69" s="66" t="s">
        <v>593</v>
      </c>
    </row>
    <row r="70">
      <c r="A70" s="79" t="str">
        <f t="shared" si="1"/>
        <v>fuzzy-wallaby</v>
      </c>
      <c r="B70" s="63" t="str">
        <f>'analysis _non-RE-nodes'!A48</f>
        <v>Fuzzy Wallaby</v>
      </c>
      <c r="C70" s="69" t="str">
        <f t="shared" si="3"/>
        <v>Fuzzy Wallaby</v>
      </c>
      <c r="D70" s="69" t="str">
        <f>IFERROR(__xludf.DUMMYFUNCTION("TEXTJOIN("""", TRUE, ARRAYFORMULA(LEFT(SPLIT(C70, "" ""),1)))"),"FW")</f>
        <v>FW</v>
      </c>
      <c r="E70" s="66"/>
      <c r="F70" s="66"/>
      <c r="G70" s="66" t="s">
        <v>593</v>
      </c>
    </row>
    <row r="71">
      <c r="A71" s="79" t="str">
        <f t="shared" si="1"/>
        <v>fuzzy-wombat</v>
      </c>
      <c r="B71" s="63" t="str">
        <f>'analysis _non-RE-nodes'!A49</f>
        <v>Fuzzy Wombat</v>
      </c>
      <c r="C71" s="69" t="str">
        <f t="shared" si="3"/>
        <v>Fuzzy Wombat</v>
      </c>
      <c r="D71" s="69" t="str">
        <f>IFERROR(__xludf.DUMMYFUNCTION("TEXTJOIN("""", TRUE, ARRAYFORMULA(LEFT(SPLIT(C71, "" ""),1)))"),"FW")</f>
        <v>FW</v>
      </c>
      <c r="E71" s="66"/>
      <c r="F71" s="66"/>
      <c r="G71" s="66" t="s">
        <v>593</v>
      </c>
    </row>
    <row r="72">
      <c r="A72" s="79" t="str">
        <f t="shared" si="1"/>
        <v>giant-blue-tongue-skink</v>
      </c>
      <c r="B72" s="63" t="str">
        <f>'analysis _non-RE-nodes'!A50</f>
        <v>Giant Blue-tongue Skink</v>
      </c>
      <c r="C72" s="69" t="str">
        <f t="shared" si="3"/>
        <v>Giant Blue-tongue Skink</v>
      </c>
      <c r="D72" s="69" t="str">
        <f>IFERROR(__xludf.DUMMYFUNCTION("TEXTJOIN("""", TRUE, ARRAYFORMULA(LEFT(SPLIT(C72, "" ""),1)))"),"GBS")</f>
        <v>GBS</v>
      </c>
      <c r="E72" s="66"/>
      <c r="F72" s="66"/>
      <c r="G72" s="66" t="s">
        <v>593</v>
      </c>
    </row>
    <row r="73">
      <c r="A73" s="79" t="str">
        <f t="shared" si="1"/>
        <v>giant-bush-stone-curlew</v>
      </c>
      <c r="B73" s="63" t="str">
        <f>'analysis _non-RE-nodes'!A51</f>
        <v>Giant Bush Stone-curlew</v>
      </c>
      <c r="C73" s="69" t="str">
        <f t="shared" si="3"/>
        <v>Giant Bush Stone-curlew</v>
      </c>
      <c r="D73" s="69" t="str">
        <f>IFERROR(__xludf.DUMMYFUNCTION("TEXTJOIN("""", TRUE, ARRAYFORMULA(LEFT(SPLIT(C73, "" ""),1)))"),"GBS")</f>
        <v>GBS</v>
      </c>
      <c r="E73" s="66"/>
      <c r="F73" s="66"/>
      <c r="G73" s="66" t="s">
        <v>593</v>
      </c>
    </row>
    <row r="74">
      <c r="A74" s="79" t="str">
        <f t="shared" si="1"/>
        <v>giant-cockatoo</v>
      </c>
      <c r="B74" s="63" t="str">
        <f>'analysis _non-RE-nodes'!A52</f>
        <v>Giant Cockatoo</v>
      </c>
      <c r="C74" s="69" t="str">
        <f t="shared" si="3"/>
        <v>Giant Cockatoo</v>
      </c>
      <c r="D74" s="69" t="str">
        <f>IFERROR(__xludf.DUMMYFUNCTION("TEXTJOIN("""", TRUE, ARRAYFORMULA(LEFT(SPLIT(C74, "" ""),1)))"),"GC")</f>
        <v>GC</v>
      </c>
      <c r="E74" s="66"/>
      <c r="F74" s="66"/>
      <c r="G74" s="66" t="s">
        <v>593</v>
      </c>
    </row>
    <row r="75">
      <c r="A75" s="79" t="str">
        <f t="shared" si="1"/>
        <v>giant-dingo</v>
      </c>
      <c r="B75" s="63" t="str">
        <f>'analysis _non-RE-nodes'!A53</f>
        <v>Giant Dingo</v>
      </c>
      <c r="C75" s="69" t="str">
        <f t="shared" si="3"/>
        <v>Giant Dingo</v>
      </c>
      <c r="D75" s="69" t="str">
        <f>IFERROR(__xludf.DUMMYFUNCTION("TEXTJOIN("""", TRUE, ARRAYFORMULA(LEFT(SPLIT(C75, "" ""),1)))"),"GD")</f>
        <v>GD</v>
      </c>
      <c r="E75" s="66"/>
      <c r="F75" s="66"/>
      <c r="G75" s="66" t="s">
        <v>593</v>
      </c>
    </row>
    <row r="76">
      <c r="A76" s="79" t="str">
        <f t="shared" si="1"/>
        <v>giant-emu</v>
      </c>
      <c r="B76" s="63" t="str">
        <f>'analysis _non-RE-nodes'!A54</f>
        <v>Giant Emu</v>
      </c>
      <c r="C76" s="69" t="str">
        <f t="shared" si="3"/>
        <v>Giant Emu</v>
      </c>
      <c r="D76" s="69" t="str">
        <f>IFERROR(__xludf.DUMMYFUNCTION("TEXTJOIN("""", TRUE, ARRAYFORMULA(LEFT(SPLIT(C76, "" ""),1)))"),"GE")</f>
        <v>GE</v>
      </c>
      <c r="E76" s="66"/>
      <c r="F76" s="66"/>
      <c r="G76" s="66" t="s">
        <v>593</v>
      </c>
    </row>
    <row r="77">
      <c r="A77" s="79" t="str">
        <f t="shared" si="1"/>
        <v>giant-platypus</v>
      </c>
      <c r="B77" s="63" t="str">
        <f>'analysis _non-RE-nodes'!A55</f>
        <v>Giant Platypus</v>
      </c>
      <c r="C77" s="69" t="str">
        <f t="shared" si="3"/>
        <v>Giant Platypus</v>
      </c>
      <c r="D77" s="69" t="str">
        <f>IFERROR(__xludf.DUMMYFUNCTION("TEXTJOIN("""", TRUE, ARRAYFORMULA(LEFT(SPLIT(C77, "" ""),1)))"),"GP")</f>
        <v>GP</v>
      </c>
      <c r="E77" s="66"/>
      <c r="F77" s="66"/>
      <c r="G77" s="66" t="s">
        <v>593</v>
      </c>
    </row>
    <row r="78">
      <c r="A78" s="79" t="str">
        <f t="shared" si="1"/>
        <v>giant-quokka</v>
      </c>
      <c r="B78" s="63" t="str">
        <f>'analysis _non-RE-nodes'!A56</f>
        <v>Giant Quokka</v>
      </c>
      <c r="C78" s="69" t="str">
        <f t="shared" si="3"/>
        <v>Giant Quokka</v>
      </c>
      <c r="D78" s="69" t="str">
        <f>IFERROR(__xludf.DUMMYFUNCTION("TEXTJOIN("""", TRUE, ARRAYFORMULA(LEFT(SPLIT(C78, "" ""),1)))"),"GQ")</f>
        <v>GQ</v>
      </c>
      <c r="E78" s="66"/>
      <c r="F78" s="66"/>
      <c r="G78" s="66" t="s">
        <v>593</v>
      </c>
    </row>
    <row r="79">
      <c r="A79" s="79" t="str">
        <f t="shared" si="1"/>
        <v>giant-redback-spider</v>
      </c>
      <c r="B79" s="63" t="str">
        <f>'analysis _non-RE-nodes'!A57</f>
        <v>Giant Redback Spider</v>
      </c>
      <c r="C79" s="69" t="str">
        <f t="shared" si="3"/>
        <v>Giant Redback Spider</v>
      </c>
      <c r="D79" s="69" t="str">
        <f>IFERROR(__xludf.DUMMYFUNCTION("TEXTJOIN("""", TRUE, ARRAYFORMULA(LEFT(SPLIT(C79, "" ""),1)))"),"GRS")</f>
        <v>GRS</v>
      </c>
      <c r="E79" s="66"/>
      <c r="F79" s="66"/>
      <c r="G79" s="66" t="s">
        <v>593</v>
      </c>
    </row>
    <row r="80">
      <c r="A80" s="79" t="str">
        <f t="shared" si="1"/>
        <v>giant-rosella</v>
      </c>
      <c r="B80" s="63" t="str">
        <f>'analysis _non-RE-nodes'!A58</f>
        <v>Giant Rosella</v>
      </c>
      <c r="C80" s="69" t="str">
        <f t="shared" si="3"/>
        <v>Giant Rosella</v>
      </c>
      <c r="D80" s="69" t="str">
        <f>IFERROR(__xludf.DUMMYFUNCTION("TEXTJOIN("""", TRUE, ARRAYFORMULA(LEFT(SPLIT(C80, "" ""),1)))"),"GR")</f>
        <v>GR</v>
      </c>
      <c r="E80" s="66"/>
      <c r="F80" s="66"/>
      <c r="G80" s="66" t="s">
        <v>593</v>
      </c>
    </row>
    <row r="81">
      <c r="A81" s="79" t="str">
        <f t="shared" si="1"/>
        <v>giant-tasmanian-devil</v>
      </c>
      <c r="B81" s="63" t="str">
        <f>'analysis _non-RE-nodes'!A59</f>
        <v>Giant Tasmanian Devil</v>
      </c>
      <c r="C81" s="69" t="str">
        <f t="shared" si="3"/>
        <v>Giant Tasmanian Devil</v>
      </c>
      <c r="D81" s="69" t="str">
        <f>IFERROR(__xludf.DUMMYFUNCTION("TEXTJOIN("""", TRUE, ARRAYFORMULA(LEFT(SPLIT(C81, "" ""),1)))"),"GTD")</f>
        <v>GTD</v>
      </c>
      <c r="E81" s="66"/>
      <c r="F81" s="66"/>
      <c r="G81" s="66" t="s">
        <v>593</v>
      </c>
    </row>
    <row r="82">
      <c r="A82" s="79" t="str">
        <f t="shared" si="1"/>
        <v>giant-thorny-devil</v>
      </c>
      <c r="B82" s="63" t="str">
        <f>'analysis _non-RE-nodes'!A60</f>
        <v>Giant Thorny Devil</v>
      </c>
      <c r="C82" s="69" t="str">
        <f t="shared" si="3"/>
        <v>Giant Thorny Devil</v>
      </c>
      <c r="D82" s="69" t="str">
        <f>IFERROR(__xludf.DUMMYFUNCTION("TEXTJOIN("""", TRUE, ARRAYFORMULA(LEFT(SPLIT(C82, "" ""),1)))"),"GTD")</f>
        <v>GTD</v>
      </c>
      <c r="E82" s="66"/>
      <c r="F82" s="66"/>
      <c r="G82" s="66" t="s">
        <v>593</v>
      </c>
    </row>
    <row r="83">
      <c r="A83" s="79" t="str">
        <f t="shared" si="1"/>
        <v>golden-australian-magpie</v>
      </c>
      <c r="B83" s="63" t="str">
        <f>'analysis _non-RE-nodes'!A61</f>
        <v>Golden Australian Magpie</v>
      </c>
      <c r="C83" s="69" t="str">
        <f t="shared" si="3"/>
        <v>Golden Australian Magpie</v>
      </c>
      <c r="D83" s="69" t="str">
        <f>IFERROR(__xludf.DUMMYFUNCTION("TEXTJOIN("""", TRUE, ARRAYFORMULA(LEFT(SPLIT(C83, "" ""),1)))"),"GAM")</f>
        <v>GAM</v>
      </c>
      <c r="E83" s="66"/>
      <c r="F83" s="66"/>
      <c r="G83" s="66" t="s">
        <v>593</v>
      </c>
    </row>
    <row r="84">
      <c r="A84" s="79" t="str">
        <f t="shared" si="1"/>
        <v>golden-bush-stone-curlew</v>
      </c>
      <c r="B84" s="63" t="str">
        <f>'analysis _non-RE-nodes'!A62</f>
        <v>Golden Bush Stone-curlew</v>
      </c>
      <c r="C84" s="69" t="str">
        <f t="shared" si="3"/>
        <v>Golden Bush Stone-curlew</v>
      </c>
      <c r="D84" s="69" t="str">
        <f>IFERROR(__xludf.DUMMYFUNCTION("TEXTJOIN("""", TRUE, ARRAYFORMULA(LEFT(SPLIT(C84, "" ""),1)))"),"GBS")</f>
        <v>GBS</v>
      </c>
      <c r="E84" s="66"/>
      <c r="F84" s="66"/>
      <c r="G84" s="66" t="s">
        <v>593</v>
      </c>
    </row>
    <row r="85">
      <c r="A85" s="79" t="str">
        <f t="shared" si="1"/>
        <v>golden-echidna</v>
      </c>
      <c r="B85" s="63" t="str">
        <f>'analysis _non-RE-nodes'!A63</f>
        <v>Golden Echidna</v>
      </c>
      <c r="C85" s="69" t="str">
        <f t="shared" si="3"/>
        <v>Golden Echidna</v>
      </c>
      <c r="D85" s="69" t="str">
        <f>IFERROR(__xludf.DUMMYFUNCTION("TEXTJOIN("""", TRUE, ARRAYFORMULA(LEFT(SPLIT(C85, "" ""),1)))"),"GE")</f>
        <v>GE</v>
      </c>
      <c r="E85" s="66"/>
      <c r="F85" s="66"/>
      <c r="G85" s="66" t="s">
        <v>593</v>
      </c>
    </row>
    <row r="86">
      <c r="A86" s="79" t="str">
        <f t="shared" si="1"/>
        <v>golden-emu</v>
      </c>
      <c r="B86" s="63" t="str">
        <f>'analysis _non-RE-nodes'!A64</f>
        <v>Golden Emu</v>
      </c>
      <c r="C86" s="69" t="str">
        <f t="shared" si="3"/>
        <v>Golden Emu</v>
      </c>
      <c r="D86" s="69" t="str">
        <f>IFERROR(__xludf.DUMMYFUNCTION("TEXTJOIN("""", TRUE, ARRAYFORMULA(LEFT(SPLIT(C86, "" ""),1)))"),"GE")</f>
        <v>GE</v>
      </c>
      <c r="E86" s="66"/>
      <c r="F86" s="66"/>
      <c r="G86" s="66" t="s">
        <v>593</v>
      </c>
    </row>
    <row r="87">
      <c r="A87" s="79" t="str">
        <f t="shared" si="1"/>
        <v>golden-fairy-penguin</v>
      </c>
      <c r="B87" s="63" t="str">
        <f>'analysis _non-RE-nodes'!A65</f>
        <v>Golden Fairy Penguin</v>
      </c>
      <c r="C87" s="69" t="str">
        <f t="shared" si="3"/>
        <v>Golden Fairy Penguin</v>
      </c>
      <c r="D87" s="69" t="str">
        <f>IFERROR(__xludf.DUMMYFUNCTION("TEXTJOIN("""", TRUE, ARRAYFORMULA(LEFT(SPLIT(C87, "" ""),1)))"),"GFP")</f>
        <v>GFP</v>
      </c>
      <c r="E87" s="66"/>
      <c r="F87" s="66"/>
      <c r="G87" s="66" t="s">
        <v>593</v>
      </c>
    </row>
    <row r="88">
      <c r="A88" s="79" t="str">
        <f t="shared" si="1"/>
        <v>golden-frilled-neck-lizard</v>
      </c>
      <c r="B88" s="63" t="str">
        <f>'analysis _non-RE-nodes'!A66</f>
        <v>Golden Frilled Neck Lizard</v>
      </c>
      <c r="C88" s="69" t="str">
        <f t="shared" si="3"/>
        <v>Golden Frilled Neck Lizard</v>
      </c>
      <c r="D88" s="69" t="str">
        <f>IFERROR(__xludf.DUMMYFUNCTION("TEXTJOIN("""", TRUE, ARRAYFORMULA(LEFT(SPLIT(C88, "" ""),1)))"),"GFNL")</f>
        <v>GFNL</v>
      </c>
      <c r="E88" s="66"/>
      <c r="F88" s="66"/>
      <c r="G88" s="66" t="s">
        <v>593</v>
      </c>
    </row>
    <row r="89">
      <c r="A89" s="79" t="str">
        <f t="shared" si="1"/>
        <v>golden-goanna</v>
      </c>
      <c r="B89" s="63" t="str">
        <f>'analysis _non-RE-nodes'!A67</f>
        <v>Golden Goanna</v>
      </c>
      <c r="C89" s="69" t="str">
        <f t="shared" si="3"/>
        <v>Golden Goanna</v>
      </c>
      <c r="D89" s="69" t="str">
        <f>IFERROR(__xludf.DUMMYFUNCTION("TEXTJOIN("""", TRUE, ARRAYFORMULA(LEFT(SPLIT(C89, "" ""),1)))"),"GG")</f>
        <v>GG</v>
      </c>
      <c r="E89" s="66"/>
      <c r="F89" s="66"/>
      <c r="G89" s="66" t="s">
        <v>593</v>
      </c>
    </row>
    <row r="90">
      <c r="A90" s="79" t="str">
        <f t="shared" si="1"/>
        <v>golden-kangaroo</v>
      </c>
      <c r="B90" s="63" t="str">
        <f>'analysis _non-RE-nodes'!A68</f>
        <v>Golden Kangaroo</v>
      </c>
      <c r="C90" s="69" t="str">
        <f t="shared" si="3"/>
        <v>Golden Kangaroo</v>
      </c>
      <c r="D90" s="69" t="str">
        <f>IFERROR(__xludf.DUMMYFUNCTION("TEXTJOIN("""", TRUE, ARRAYFORMULA(LEFT(SPLIT(C90, "" ""),1)))"),"GK")</f>
        <v>GK</v>
      </c>
      <c r="E90" s="66"/>
      <c r="F90" s="66"/>
      <c r="G90" s="66" t="s">
        <v>593</v>
      </c>
    </row>
    <row r="91">
      <c r="A91" s="79" t="str">
        <f t="shared" si="1"/>
        <v>golden-koala</v>
      </c>
      <c r="B91" s="63" t="str">
        <f>'analysis _non-RE-nodes'!A69</f>
        <v>Golden Koala</v>
      </c>
      <c r="C91" s="69" t="str">
        <f t="shared" si="3"/>
        <v>Golden Koala</v>
      </c>
      <c r="D91" s="69" t="str">
        <f>IFERROR(__xludf.DUMMYFUNCTION("TEXTJOIN("""", TRUE, ARRAYFORMULA(LEFT(SPLIT(C91, "" ""),1)))"),"GK")</f>
        <v>GK</v>
      </c>
      <c r="E91" s="66"/>
      <c r="F91" s="66"/>
      <c r="G91" s="66" t="s">
        <v>593</v>
      </c>
    </row>
    <row r="92">
      <c r="A92" s="79" t="str">
        <f t="shared" si="1"/>
        <v>golden-kookaburra</v>
      </c>
      <c r="B92" s="63" t="str">
        <f>'analysis _non-RE-nodes'!A70</f>
        <v>Golden Kookaburra</v>
      </c>
      <c r="C92" s="69" t="str">
        <f t="shared" si="3"/>
        <v>Golden Kookaburra</v>
      </c>
      <c r="D92" s="69" t="str">
        <f>IFERROR(__xludf.DUMMYFUNCTION("TEXTJOIN("""", TRUE, ARRAYFORMULA(LEFT(SPLIT(C92, "" ""),1)))"),"GK")</f>
        <v>GK</v>
      </c>
      <c r="E92" s="66"/>
      <c r="F92" s="66"/>
      <c r="G92" s="66" t="s">
        <v>593</v>
      </c>
    </row>
    <row r="93">
      <c r="A93" s="79" t="str">
        <f t="shared" si="1"/>
        <v>golden-lyrebird</v>
      </c>
      <c r="B93" s="63" t="str">
        <f>'analysis _non-RE-nodes'!A71</f>
        <v>Golden Lyrebird</v>
      </c>
      <c r="C93" s="69" t="str">
        <f t="shared" si="3"/>
        <v>Golden Lyrebird</v>
      </c>
      <c r="D93" s="69" t="str">
        <f>IFERROR(__xludf.DUMMYFUNCTION("TEXTJOIN("""", TRUE, ARRAYFORMULA(LEFT(SPLIT(C93, "" ""),1)))"),"GL")</f>
        <v>GL</v>
      </c>
      <c r="E93" s="66"/>
      <c r="F93" s="66"/>
      <c r="G93" s="66" t="s">
        <v>593</v>
      </c>
    </row>
    <row r="94">
      <c r="A94" s="79" t="str">
        <f t="shared" si="1"/>
        <v>golden-perentie</v>
      </c>
      <c r="B94" s="63" t="str">
        <f>'analysis _non-RE-nodes'!A72</f>
        <v>Golden Perentie</v>
      </c>
      <c r="C94" s="69" t="str">
        <f t="shared" si="3"/>
        <v>Golden Perentie</v>
      </c>
      <c r="D94" s="69" t="str">
        <f>IFERROR(__xludf.DUMMYFUNCTION("TEXTJOIN("""", TRUE, ARRAYFORMULA(LEFT(SPLIT(C94, "" ""),1)))"),"GP")</f>
        <v>GP</v>
      </c>
      <c r="E94" s="66"/>
      <c r="F94" s="66"/>
      <c r="G94" s="66" t="s">
        <v>593</v>
      </c>
    </row>
    <row r="95">
      <c r="A95" s="79" t="str">
        <f t="shared" si="1"/>
        <v>golden-tasmanian-devil</v>
      </c>
      <c r="B95" s="63" t="str">
        <f>'analysis _non-RE-nodes'!A73</f>
        <v>Golden Tasmanian Devil</v>
      </c>
      <c r="C95" s="69" t="str">
        <f t="shared" si="3"/>
        <v>Golden Tasmanian Devil</v>
      </c>
      <c r="D95" s="69" t="str">
        <f>IFERROR(__xludf.DUMMYFUNCTION("TEXTJOIN("""", TRUE, ARRAYFORMULA(LEFT(SPLIT(C95, "" ""),1)))"),"GTD")</f>
        <v>GTD</v>
      </c>
      <c r="E95" s="66"/>
      <c r="F95" s="66"/>
      <c r="G95" s="66" t="s">
        <v>593</v>
      </c>
    </row>
    <row r="96">
      <c r="A96" s="79" t="str">
        <f t="shared" si="1"/>
        <v>golden-wallaby</v>
      </c>
      <c r="B96" s="63" t="str">
        <f>'analysis _non-RE-nodes'!A74</f>
        <v>Golden Wallaby</v>
      </c>
      <c r="C96" s="69" t="str">
        <f t="shared" si="3"/>
        <v>Golden Wallaby</v>
      </c>
      <c r="D96" s="69" t="str">
        <f>IFERROR(__xludf.DUMMYFUNCTION("TEXTJOIN("""", TRUE, ARRAYFORMULA(LEFT(SPLIT(C96, "" ""),1)))"),"GW")</f>
        <v>GW</v>
      </c>
      <c r="E96" s="66"/>
      <c r="F96" s="66"/>
      <c r="G96" s="66" t="s">
        <v>593</v>
      </c>
    </row>
    <row r="97">
      <c r="A97" s="79" t="str">
        <f t="shared" si="1"/>
        <v>green-bandicoot</v>
      </c>
      <c r="B97" s="63" t="str">
        <f>'analysis _non-RE-nodes'!A75</f>
        <v>Green Bandicoot</v>
      </c>
      <c r="C97" s="69" t="str">
        <f t="shared" si="3"/>
        <v>Green Bandicoot</v>
      </c>
      <c r="D97" s="69" t="str">
        <f>IFERROR(__xludf.DUMMYFUNCTION("TEXTJOIN("""", TRUE, ARRAYFORMULA(LEFT(SPLIT(C97, "" ""),1)))"),"GB")</f>
        <v>GB</v>
      </c>
      <c r="E97" s="66"/>
      <c r="F97" s="66"/>
      <c r="G97" s="66" t="s">
        <v>593</v>
      </c>
    </row>
    <row r="98">
      <c r="A98" s="79" t="str">
        <f t="shared" si="1"/>
        <v>green-bush-stone-curlew</v>
      </c>
      <c r="B98" s="63" t="str">
        <f>'analysis _non-RE-nodes'!A76</f>
        <v>Green Bush Stone-curlew</v>
      </c>
      <c r="C98" s="69" t="str">
        <f t="shared" si="3"/>
        <v>Green Bush Stone-curlew</v>
      </c>
      <c r="D98" s="69" t="str">
        <f>IFERROR(__xludf.DUMMYFUNCTION("TEXTJOIN("""", TRUE, ARRAYFORMULA(LEFT(SPLIT(C98, "" ""),1)))"),"GBS")</f>
        <v>GBS</v>
      </c>
      <c r="E98" s="66"/>
      <c r="F98" s="66"/>
      <c r="G98" s="66" t="s">
        <v>593</v>
      </c>
    </row>
    <row r="99">
      <c r="A99" s="79" t="str">
        <f t="shared" si="1"/>
        <v>green-dingo</v>
      </c>
      <c r="B99" s="63" t="str">
        <f>'analysis _non-RE-nodes'!A77</f>
        <v>Green Dingo</v>
      </c>
      <c r="C99" s="69" t="str">
        <f t="shared" si="3"/>
        <v>Green Dingo</v>
      </c>
      <c r="D99" s="69" t="str">
        <f>IFERROR(__xludf.DUMMYFUNCTION("TEXTJOIN("""", TRUE, ARRAYFORMULA(LEFT(SPLIT(C99, "" ""),1)))"),"GD")</f>
        <v>GD</v>
      </c>
      <c r="E99" s="66"/>
      <c r="F99" s="66"/>
      <c r="G99" s="66" t="s">
        <v>593</v>
      </c>
    </row>
    <row r="100">
      <c r="A100" s="79" t="str">
        <f t="shared" si="1"/>
        <v>green-emu</v>
      </c>
      <c r="B100" s="63" t="str">
        <f>'analysis _non-RE-nodes'!A78</f>
        <v>Green Emu</v>
      </c>
      <c r="C100" s="69" t="str">
        <f t="shared" si="3"/>
        <v>Green Emu</v>
      </c>
      <c r="D100" s="69" t="str">
        <f>IFERROR(__xludf.DUMMYFUNCTION("TEXTJOIN("""", TRUE, ARRAYFORMULA(LEFT(SPLIT(C100, "" ""),1)))"),"GE")</f>
        <v>GE</v>
      </c>
      <c r="E100" s="66"/>
      <c r="F100" s="66"/>
      <c r="G100" s="66" t="s">
        <v>593</v>
      </c>
    </row>
    <row r="101">
      <c r="A101" s="79" t="str">
        <f t="shared" si="1"/>
        <v>green-kangaroo</v>
      </c>
      <c r="B101" s="63" t="str">
        <f>'analysis _non-RE-nodes'!A79</f>
        <v>Green Kangaroo</v>
      </c>
      <c r="C101" s="69" t="str">
        <f t="shared" si="3"/>
        <v>Green Kangaroo</v>
      </c>
      <c r="D101" s="69" t="str">
        <f>IFERROR(__xludf.DUMMYFUNCTION("TEXTJOIN("""", TRUE, ARRAYFORMULA(LEFT(SPLIT(C101, "" ""),1)))"),"GK")</f>
        <v>GK</v>
      </c>
      <c r="E101" s="66"/>
      <c r="F101" s="66"/>
      <c r="G101" s="66" t="s">
        <v>593</v>
      </c>
    </row>
    <row r="102">
      <c r="A102" s="79" t="str">
        <f t="shared" si="1"/>
        <v>green-koala</v>
      </c>
      <c r="B102" s="63" t="str">
        <f>'analysis _non-RE-nodes'!A80</f>
        <v>Green Koala</v>
      </c>
      <c r="C102" s="69" t="str">
        <f t="shared" si="3"/>
        <v>Green Koala</v>
      </c>
      <c r="D102" s="69" t="str">
        <f>IFERROR(__xludf.DUMMYFUNCTION("TEXTJOIN("""", TRUE, ARRAYFORMULA(LEFT(SPLIT(C102, "" ""),1)))"),"GK")</f>
        <v>GK</v>
      </c>
      <c r="E102" s="66"/>
      <c r="F102" s="66"/>
      <c r="G102" s="66" t="s">
        <v>593</v>
      </c>
    </row>
    <row r="103">
      <c r="A103" s="79" t="str">
        <f t="shared" si="1"/>
        <v>green-platypus</v>
      </c>
      <c r="B103" s="63" t="str">
        <f>'analysis _non-RE-nodes'!A81</f>
        <v>Green Platypus</v>
      </c>
      <c r="C103" s="69" t="str">
        <f t="shared" si="3"/>
        <v>Green Platypus</v>
      </c>
      <c r="D103" s="69" t="str">
        <f>IFERROR(__xludf.DUMMYFUNCTION("TEXTJOIN("""", TRUE, ARRAYFORMULA(LEFT(SPLIT(C103, "" ""),1)))"),"GP")</f>
        <v>GP</v>
      </c>
      <c r="E103" s="66"/>
      <c r="F103" s="66"/>
      <c r="G103" s="66" t="s">
        <v>593</v>
      </c>
    </row>
    <row r="104">
      <c r="A104" s="79" t="str">
        <f t="shared" si="1"/>
        <v>green-redback-spider</v>
      </c>
      <c r="B104" s="63" t="str">
        <f>'analysis _non-RE-nodes'!A82</f>
        <v>Green Redback Spider</v>
      </c>
      <c r="C104" s="69" t="str">
        <f t="shared" si="3"/>
        <v>Green Redback Spider</v>
      </c>
      <c r="D104" s="69" t="str">
        <f>IFERROR(__xludf.DUMMYFUNCTION("TEXTJOIN("""", TRUE, ARRAYFORMULA(LEFT(SPLIT(C104, "" ""),1)))"),"GRS")</f>
        <v>GRS</v>
      </c>
      <c r="E104" s="66"/>
      <c r="F104" s="66"/>
      <c r="G104" s="66" t="s">
        <v>593</v>
      </c>
    </row>
    <row r="105">
      <c r="A105" s="79" t="str">
        <f t="shared" si="1"/>
        <v>green-rosella</v>
      </c>
      <c r="B105" s="63" t="str">
        <f>'analysis _non-RE-nodes'!A83</f>
        <v>Green Rosella</v>
      </c>
      <c r="C105" s="69" t="str">
        <f t="shared" si="3"/>
        <v>Green Rosella</v>
      </c>
      <c r="D105" s="69" t="str">
        <f>IFERROR(__xludf.DUMMYFUNCTION("TEXTJOIN("""", TRUE, ARRAYFORMULA(LEFT(SPLIT(C105, "" ""),1)))"),"GR")</f>
        <v>GR</v>
      </c>
      <c r="E105" s="66"/>
      <c r="F105" s="66"/>
      <c r="G105" s="66" t="s">
        <v>593</v>
      </c>
    </row>
    <row r="106">
      <c r="A106" s="79" t="str">
        <f t="shared" si="1"/>
        <v>green-tasmanian-devil</v>
      </c>
      <c r="B106" s="63" t="str">
        <f>'analysis _non-RE-nodes'!A84</f>
        <v>Green Tasmanian Devil</v>
      </c>
      <c r="C106" s="69" t="str">
        <f t="shared" si="3"/>
        <v>Green Tasmanian Devil</v>
      </c>
      <c r="D106" s="69" t="str">
        <f>IFERROR(__xludf.DUMMYFUNCTION("TEXTJOIN("""", TRUE, ARRAYFORMULA(LEFT(SPLIT(C106, "" ""),1)))"),"GTD")</f>
        <v>GTD</v>
      </c>
      <c r="E106" s="66"/>
      <c r="F106" s="66"/>
      <c r="G106" s="66" t="s">
        <v>593</v>
      </c>
    </row>
    <row r="107">
      <c r="A107" s="79" t="str">
        <f t="shared" si="1"/>
        <v>green-wombat</v>
      </c>
      <c r="B107" s="63" t="str">
        <f>'analysis _non-RE-nodes'!A85</f>
        <v>Green Wombat</v>
      </c>
      <c r="C107" s="69" t="str">
        <f t="shared" si="3"/>
        <v>Green Wombat</v>
      </c>
      <c r="D107" s="69" t="str">
        <f>IFERROR(__xludf.DUMMYFUNCTION("TEXTJOIN("""", TRUE, ARRAYFORMULA(LEFT(SPLIT(C107, "" ""),1)))"),"GW")</f>
        <v>GW</v>
      </c>
      <c r="E107" s="66"/>
      <c r="F107" s="66"/>
      <c r="G107" s="66" t="s">
        <v>593</v>
      </c>
    </row>
    <row r="108">
      <c r="A108" s="79" t="str">
        <f t="shared" si="1"/>
        <v>happy-blue-tongue-skink</v>
      </c>
      <c r="B108" s="63" t="str">
        <f>'analysis _non-RE-nodes'!A86</f>
        <v>Happy Blue-tongue Skink</v>
      </c>
      <c r="C108" s="69" t="str">
        <f t="shared" si="3"/>
        <v>Happy Blue-tongue Skink</v>
      </c>
      <c r="D108" s="69" t="str">
        <f>IFERROR(__xludf.DUMMYFUNCTION("TEXTJOIN("""", TRUE, ARRAYFORMULA(LEFT(SPLIT(C108, "" ""),1)))"),"HBS")</f>
        <v>HBS</v>
      </c>
      <c r="E108" s="66"/>
      <c r="F108" s="66"/>
      <c r="G108" s="66" t="s">
        <v>593</v>
      </c>
    </row>
    <row r="109">
      <c r="A109" s="79" t="str">
        <f t="shared" si="1"/>
        <v>happy-echidna</v>
      </c>
      <c r="B109" s="63" t="str">
        <f>'analysis _non-RE-nodes'!A87</f>
        <v>Happy Echidna</v>
      </c>
      <c r="C109" s="69" t="str">
        <f t="shared" si="3"/>
        <v>Happy Echidna</v>
      </c>
      <c r="D109" s="69" t="str">
        <f>IFERROR(__xludf.DUMMYFUNCTION("TEXTJOIN("""", TRUE, ARRAYFORMULA(LEFT(SPLIT(C109, "" ""),1)))"),"HE")</f>
        <v>HE</v>
      </c>
      <c r="E109" s="66"/>
      <c r="F109" s="66"/>
      <c r="G109" s="66" t="s">
        <v>593</v>
      </c>
    </row>
    <row r="110">
      <c r="A110" s="79" t="str">
        <f t="shared" si="1"/>
        <v>happy-fairy-penguin</v>
      </c>
      <c r="B110" s="63" t="str">
        <f>'analysis _non-RE-nodes'!A88</f>
        <v>Happy Fairy Penguin</v>
      </c>
      <c r="C110" s="69" t="str">
        <f t="shared" si="3"/>
        <v>Happy Fairy Penguin</v>
      </c>
      <c r="D110" s="69" t="str">
        <f>IFERROR(__xludf.DUMMYFUNCTION("TEXTJOIN("""", TRUE, ARRAYFORMULA(LEFT(SPLIT(C110, "" ""),1)))"),"HFP")</f>
        <v>HFP</v>
      </c>
      <c r="E110" s="66"/>
      <c r="F110" s="66"/>
      <c r="G110" s="66" t="s">
        <v>593</v>
      </c>
    </row>
    <row r="111">
      <c r="A111" s="79" t="str">
        <f t="shared" si="1"/>
        <v>happy-frilled-neck-lizard</v>
      </c>
      <c r="B111" s="63" t="str">
        <f>'analysis _non-RE-nodes'!A89</f>
        <v>Happy Frilled Neck Lizard</v>
      </c>
      <c r="C111" s="69" t="str">
        <f t="shared" si="3"/>
        <v>Happy Frilled Neck Lizard</v>
      </c>
      <c r="D111" s="69" t="str">
        <f>IFERROR(__xludf.DUMMYFUNCTION("TEXTJOIN("""", TRUE, ARRAYFORMULA(LEFT(SPLIT(C111, "" ""),1)))"),"HFNL")</f>
        <v>HFNL</v>
      </c>
      <c r="E111" s="66"/>
      <c r="F111" s="66"/>
      <c r="G111" s="66" t="s">
        <v>593</v>
      </c>
    </row>
    <row r="112">
      <c r="A112" s="79" t="str">
        <f t="shared" si="1"/>
        <v>happy-goanna</v>
      </c>
      <c r="B112" s="63" t="str">
        <f>'analysis _non-RE-nodes'!A90</f>
        <v>Happy Goanna</v>
      </c>
      <c r="C112" s="69" t="str">
        <f t="shared" si="3"/>
        <v>Happy Goanna</v>
      </c>
      <c r="D112" s="69" t="str">
        <f>IFERROR(__xludf.DUMMYFUNCTION("TEXTJOIN("""", TRUE, ARRAYFORMULA(LEFT(SPLIT(C112, "" ""),1)))"),"HG")</f>
        <v>HG</v>
      </c>
      <c r="E112" s="66"/>
      <c r="F112" s="66"/>
      <c r="G112" s="66" t="s">
        <v>593</v>
      </c>
    </row>
    <row r="113">
      <c r="A113" s="79" t="str">
        <f t="shared" si="1"/>
        <v>happy-perentie</v>
      </c>
      <c r="B113" s="63" t="str">
        <f>'analysis _non-RE-nodes'!A91</f>
        <v>Happy Perentie</v>
      </c>
      <c r="C113" s="69" t="str">
        <f t="shared" si="3"/>
        <v>Happy Perentie</v>
      </c>
      <c r="D113" s="69" t="str">
        <f>IFERROR(__xludf.DUMMYFUNCTION("TEXTJOIN("""", TRUE, ARRAYFORMULA(LEFT(SPLIT(C113, "" ""),1)))"),"HP")</f>
        <v>HP</v>
      </c>
      <c r="E113" s="66"/>
      <c r="F113" s="66"/>
      <c r="G113" s="66" t="s">
        <v>593</v>
      </c>
    </row>
    <row r="114">
      <c r="A114" s="79" t="str">
        <f t="shared" si="1"/>
        <v>happy-platypus</v>
      </c>
      <c r="B114" s="63" t="str">
        <f>'analysis _non-RE-nodes'!A92</f>
        <v>Happy Platypus</v>
      </c>
      <c r="C114" s="69" t="str">
        <f t="shared" si="3"/>
        <v>Happy Platypus</v>
      </c>
      <c r="D114" s="69" t="str">
        <f>IFERROR(__xludf.DUMMYFUNCTION("TEXTJOIN("""", TRUE, ARRAYFORMULA(LEFT(SPLIT(C114, "" ""),1)))"),"HP")</f>
        <v>HP</v>
      </c>
      <c r="E114" s="66"/>
      <c r="F114" s="66"/>
      <c r="G114" s="66" t="s">
        <v>593</v>
      </c>
    </row>
    <row r="115">
      <c r="A115" s="79" t="str">
        <f t="shared" si="1"/>
        <v>happy-quokka</v>
      </c>
      <c r="B115" s="63" t="str">
        <f>'analysis _non-RE-nodes'!A93</f>
        <v>Happy Quokka</v>
      </c>
      <c r="C115" s="69" t="str">
        <f t="shared" si="3"/>
        <v>Happy Quokka</v>
      </c>
      <c r="D115" s="69" t="str">
        <f>IFERROR(__xludf.DUMMYFUNCTION("TEXTJOIN("""", TRUE, ARRAYFORMULA(LEFT(SPLIT(C115, "" ""),1)))"),"HQ")</f>
        <v>HQ</v>
      </c>
      <c r="E115" s="66"/>
      <c r="F115" s="66"/>
      <c r="G115" s="66" t="s">
        <v>593</v>
      </c>
    </row>
    <row r="116">
      <c r="A116" s="79" t="str">
        <f t="shared" si="1"/>
        <v>happy-rosella</v>
      </c>
      <c r="B116" s="63" t="str">
        <f>'analysis _non-RE-nodes'!A94</f>
        <v>Happy Rosella</v>
      </c>
      <c r="C116" s="69" t="str">
        <f t="shared" si="3"/>
        <v>Happy Rosella</v>
      </c>
      <c r="D116" s="69" t="str">
        <f>IFERROR(__xludf.DUMMYFUNCTION("TEXTJOIN("""", TRUE, ARRAYFORMULA(LEFT(SPLIT(C116, "" ""),1)))"),"HR")</f>
        <v>HR</v>
      </c>
      <c r="E116" s="66"/>
      <c r="F116" s="66"/>
      <c r="G116" s="66" t="s">
        <v>593</v>
      </c>
    </row>
    <row r="117">
      <c r="A117" s="79" t="str">
        <f t="shared" si="1"/>
        <v>lazy-bilby</v>
      </c>
      <c r="B117" s="63" t="str">
        <f>'analysis _non-RE-nodes'!A95</f>
        <v>Lazy Bilby</v>
      </c>
      <c r="C117" s="69" t="str">
        <f t="shared" si="3"/>
        <v>Lazy Bilby</v>
      </c>
      <c r="D117" s="69" t="str">
        <f>IFERROR(__xludf.DUMMYFUNCTION("TEXTJOIN("""", TRUE, ARRAYFORMULA(LEFT(SPLIT(C117, "" ""),1)))"),"LB")</f>
        <v>LB</v>
      </c>
      <c r="E117" s="66"/>
      <c r="F117" s="66"/>
      <c r="G117" s="66" t="s">
        <v>593</v>
      </c>
    </row>
    <row r="118">
      <c r="A118" s="79" t="str">
        <f t="shared" si="1"/>
        <v>lazy-blue-tongue-skink</v>
      </c>
      <c r="B118" s="63" t="str">
        <f>'analysis _non-RE-nodes'!A96</f>
        <v>Lazy Blue-tongue Skink</v>
      </c>
      <c r="C118" s="69" t="str">
        <f t="shared" si="3"/>
        <v>Lazy Blue-tongue Skink</v>
      </c>
      <c r="D118" s="69" t="str">
        <f>IFERROR(__xludf.DUMMYFUNCTION("TEXTJOIN("""", TRUE, ARRAYFORMULA(LEFT(SPLIT(C118, "" ""),1)))"),"LBS")</f>
        <v>LBS</v>
      </c>
      <c r="E118" s="66"/>
      <c r="F118" s="66"/>
      <c r="G118" s="66" t="s">
        <v>593</v>
      </c>
    </row>
    <row r="119">
      <c r="A119" s="79" t="str">
        <f t="shared" si="1"/>
        <v>lazy-cockatoo</v>
      </c>
      <c r="B119" s="63" t="str">
        <f>'analysis _non-RE-nodes'!A97</f>
        <v>Lazy Cockatoo</v>
      </c>
      <c r="C119" s="69" t="str">
        <f t="shared" si="3"/>
        <v>Lazy Cockatoo</v>
      </c>
      <c r="D119" s="69" t="str">
        <f>IFERROR(__xludf.DUMMYFUNCTION("TEXTJOIN("""", TRUE, ARRAYFORMULA(LEFT(SPLIT(C119, "" ""),1)))"),"LC")</f>
        <v>LC</v>
      </c>
      <c r="E119" s="66"/>
      <c r="F119" s="66"/>
      <c r="G119" s="66" t="s">
        <v>593</v>
      </c>
    </row>
    <row r="120">
      <c r="A120" s="79" t="str">
        <f t="shared" si="1"/>
        <v>lazy-fairy-penguin</v>
      </c>
      <c r="B120" s="63" t="str">
        <f>'analysis _non-RE-nodes'!A98</f>
        <v>Lazy Fairy Penguin</v>
      </c>
      <c r="C120" s="69" t="str">
        <f t="shared" si="3"/>
        <v>Lazy Fairy Penguin</v>
      </c>
      <c r="D120" s="69" t="str">
        <f>IFERROR(__xludf.DUMMYFUNCTION("TEXTJOIN("""", TRUE, ARRAYFORMULA(LEFT(SPLIT(C120, "" ""),1)))"),"LFP")</f>
        <v>LFP</v>
      </c>
      <c r="E120" s="66"/>
      <c r="F120" s="66"/>
      <c r="G120" s="66" t="s">
        <v>593</v>
      </c>
    </row>
    <row r="121">
      <c r="A121" s="79" t="str">
        <f t="shared" si="1"/>
        <v>lazy-goanna</v>
      </c>
      <c r="B121" s="63" t="str">
        <f>'analysis _non-RE-nodes'!A99</f>
        <v>Lazy Goanna</v>
      </c>
      <c r="C121" s="69" t="str">
        <f t="shared" si="3"/>
        <v>Lazy Goanna</v>
      </c>
      <c r="D121" s="69" t="str">
        <f>IFERROR(__xludf.DUMMYFUNCTION("TEXTJOIN("""", TRUE, ARRAYFORMULA(LEFT(SPLIT(C121, "" ""),1)))"),"LG")</f>
        <v>LG</v>
      </c>
      <c r="E121" s="66"/>
      <c r="F121" s="66"/>
      <c r="G121" s="66" t="s">
        <v>593</v>
      </c>
    </row>
    <row r="122">
      <c r="A122" s="79" t="str">
        <f t="shared" si="1"/>
        <v>lazy-kangaroo</v>
      </c>
      <c r="B122" s="63" t="str">
        <f>'analysis _non-RE-nodes'!A100</f>
        <v>Lazy Kangaroo</v>
      </c>
      <c r="C122" s="69" t="str">
        <f t="shared" si="3"/>
        <v>Lazy Kangaroo</v>
      </c>
      <c r="D122" s="69" t="str">
        <f>IFERROR(__xludf.DUMMYFUNCTION("TEXTJOIN("""", TRUE, ARRAYFORMULA(LEFT(SPLIT(C122, "" ""),1)))"),"LK")</f>
        <v>LK</v>
      </c>
      <c r="E122" s="66"/>
      <c r="F122" s="66"/>
      <c r="G122" s="66" t="s">
        <v>593</v>
      </c>
    </row>
    <row r="123">
      <c r="A123" s="79" t="str">
        <f t="shared" si="1"/>
        <v>lazy-perentie</v>
      </c>
      <c r="B123" s="63" t="str">
        <f>'analysis _non-RE-nodes'!A101</f>
        <v>Lazy Perentie</v>
      </c>
      <c r="C123" s="69" t="str">
        <f t="shared" si="3"/>
        <v>Lazy Perentie</v>
      </c>
      <c r="D123" s="69" t="str">
        <f>IFERROR(__xludf.DUMMYFUNCTION("TEXTJOIN("""", TRUE, ARRAYFORMULA(LEFT(SPLIT(C123, "" ""),1)))"),"LP")</f>
        <v>LP</v>
      </c>
      <c r="E123" s="66"/>
      <c r="F123" s="66"/>
      <c r="G123" s="66" t="s">
        <v>593</v>
      </c>
    </row>
    <row r="124">
      <c r="A124" s="79" t="str">
        <f t="shared" si="1"/>
        <v>lazy-quokka</v>
      </c>
      <c r="B124" s="63" t="str">
        <f>'analysis _non-RE-nodes'!A102</f>
        <v>Lazy Quokka</v>
      </c>
      <c r="C124" s="69" t="str">
        <f t="shared" si="3"/>
        <v>Lazy Quokka</v>
      </c>
      <c r="D124" s="69" t="str">
        <f>IFERROR(__xludf.DUMMYFUNCTION("TEXTJOIN("""", TRUE, ARRAYFORMULA(LEFT(SPLIT(C124, "" ""),1)))"),"LQ")</f>
        <v>LQ</v>
      </c>
      <c r="E124" s="66"/>
      <c r="F124" s="66"/>
      <c r="G124" s="66" t="s">
        <v>593</v>
      </c>
    </row>
    <row r="125">
      <c r="A125" s="79" t="str">
        <f t="shared" si="1"/>
        <v>lazy-tree-kangaroo</v>
      </c>
      <c r="B125" s="63" t="str">
        <f>'analysis _non-RE-nodes'!A103</f>
        <v>Lazy Tree Kangaroo</v>
      </c>
      <c r="C125" s="69" t="str">
        <f t="shared" si="3"/>
        <v>Lazy Tree Kangaroo</v>
      </c>
      <c r="D125" s="69" t="str">
        <f>IFERROR(__xludf.DUMMYFUNCTION("TEXTJOIN("""", TRUE, ARRAYFORMULA(LEFT(SPLIT(C125, "" ""),1)))"),"LTK")</f>
        <v>LTK</v>
      </c>
      <c r="E125" s="66"/>
      <c r="F125" s="66"/>
      <c r="G125" s="66" t="s">
        <v>593</v>
      </c>
    </row>
    <row r="126">
      <c r="A126" s="79" t="str">
        <f t="shared" si="1"/>
        <v>lazy-wombat</v>
      </c>
      <c r="B126" s="63" t="str">
        <f>'analysis _non-RE-nodes'!A104</f>
        <v>Lazy Wombat</v>
      </c>
      <c r="C126" s="69" t="str">
        <f t="shared" si="3"/>
        <v>Lazy Wombat</v>
      </c>
      <c r="D126" s="69" t="str">
        <f>IFERROR(__xludf.DUMMYFUNCTION("TEXTJOIN("""", TRUE, ARRAYFORMULA(LEFT(SPLIT(C126, "" ""),1)))"),"LW")</f>
        <v>LW</v>
      </c>
      <c r="E126" s="66"/>
      <c r="F126" s="66"/>
      <c r="G126" s="66" t="s">
        <v>593</v>
      </c>
    </row>
    <row r="127">
      <c r="A127" s="79" t="str">
        <f t="shared" si="1"/>
        <v>noisy-australian-magpie</v>
      </c>
      <c r="B127" s="63" t="str">
        <f>'analysis _non-RE-nodes'!A105</f>
        <v>Noisy Australian Magpie</v>
      </c>
      <c r="C127" s="69" t="str">
        <f t="shared" si="3"/>
        <v>Noisy Australian Magpie</v>
      </c>
      <c r="D127" s="69" t="str">
        <f>IFERROR(__xludf.DUMMYFUNCTION("TEXTJOIN("""", TRUE, ARRAYFORMULA(LEFT(SPLIT(C127, "" ""),1)))"),"NAM")</f>
        <v>NAM</v>
      </c>
      <c r="E127" s="66"/>
      <c r="F127" s="66"/>
      <c r="G127" s="66" t="s">
        <v>593</v>
      </c>
    </row>
    <row r="128">
      <c r="A128" s="79" t="str">
        <f t="shared" si="1"/>
        <v>noisy-bilby</v>
      </c>
      <c r="B128" s="63" t="str">
        <f>'analysis _non-RE-nodes'!A106</f>
        <v>Noisy Bilby</v>
      </c>
      <c r="C128" s="69" t="str">
        <f t="shared" si="3"/>
        <v>Noisy Bilby</v>
      </c>
      <c r="D128" s="69" t="str">
        <f>IFERROR(__xludf.DUMMYFUNCTION("TEXTJOIN("""", TRUE, ARRAYFORMULA(LEFT(SPLIT(C128, "" ""),1)))"),"NB")</f>
        <v>NB</v>
      </c>
      <c r="E128" s="66"/>
      <c r="F128" s="66"/>
      <c r="G128" s="66" t="s">
        <v>593</v>
      </c>
    </row>
    <row r="129">
      <c r="A129" s="79" t="str">
        <f t="shared" si="1"/>
        <v>noisy-cockatoo</v>
      </c>
      <c r="B129" s="63" t="str">
        <f>'analysis _non-RE-nodes'!A107</f>
        <v>Noisy Cockatoo</v>
      </c>
      <c r="C129" s="69" t="str">
        <f t="shared" si="3"/>
        <v>Noisy Cockatoo</v>
      </c>
      <c r="D129" s="69" t="str">
        <f>IFERROR(__xludf.DUMMYFUNCTION("TEXTJOIN("""", TRUE, ARRAYFORMULA(LEFT(SPLIT(C129, "" ""),1)))"),"NC")</f>
        <v>NC</v>
      </c>
      <c r="E129" s="66"/>
      <c r="F129" s="66"/>
      <c r="G129" s="66" t="s">
        <v>593</v>
      </c>
    </row>
    <row r="130">
      <c r="A130" s="79" t="str">
        <f t="shared" si="1"/>
        <v>noisy-echidna</v>
      </c>
      <c r="B130" s="63" t="str">
        <f>'analysis _non-RE-nodes'!A108</f>
        <v>Noisy Echidna</v>
      </c>
      <c r="C130" s="69" t="str">
        <f t="shared" si="3"/>
        <v>Noisy Echidna</v>
      </c>
      <c r="D130" s="69" t="str">
        <f>IFERROR(__xludf.DUMMYFUNCTION("TEXTJOIN("""", TRUE, ARRAYFORMULA(LEFT(SPLIT(C130, "" ""),1)))"),"NE")</f>
        <v>NE</v>
      </c>
      <c r="E130" s="66"/>
      <c r="F130" s="66"/>
      <c r="G130" s="66" t="s">
        <v>593</v>
      </c>
    </row>
    <row r="131">
      <c r="A131" s="79" t="str">
        <f t="shared" si="1"/>
        <v>noisy-kangaroo</v>
      </c>
      <c r="B131" s="63" t="str">
        <f>'analysis _non-RE-nodes'!A109</f>
        <v>Noisy Kangaroo</v>
      </c>
      <c r="C131" s="69" t="str">
        <f t="shared" si="3"/>
        <v>Noisy Kangaroo</v>
      </c>
      <c r="D131" s="69" t="str">
        <f>IFERROR(__xludf.DUMMYFUNCTION("TEXTJOIN("""", TRUE, ARRAYFORMULA(LEFT(SPLIT(C131, "" ""),1)))"),"NK")</f>
        <v>NK</v>
      </c>
      <c r="E131" s="66"/>
      <c r="F131" s="66"/>
      <c r="G131" s="66" t="s">
        <v>593</v>
      </c>
    </row>
    <row r="132">
      <c r="A132" s="79" t="str">
        <f t="shared" si="1"/>
        <v>noisy-kookaburra</v>
      </c>
      <c r="B132" s="63" t="str">
        <f>'analysis _non-RE-nodes'!A110</f>
        <v>Noisy Kookaburra</v>
      </c>
      <c r="C132" s="69" t="str">
        <f t="shared" si="3"/>
        <v>Noisy Kookaburra</v>
      </c>
      <c r="D132" s="69" t="str">
        <f>IFERROR(__xludf.DUMMYFUNCTION("TEXTJOIN("""", TRUE, ARRAYFORMULA(LEFT(SPLIT(C132, "" ""),1)))"),"NK")</f>
        <v>NK</v>
      </c>
      <c r="E132" s="66"/>
      <c r="F132" s="66"/>
      <c r="G132" s="66" t="s">
        <v>593</v>
      </c>
    </row>
    <row r="133">
      <c r="A133" s="79" t="str">
        <f t="shared" si="1"/>
        <v>noisy-numbat</v>
      </c>
      <c r="B133" s="63" t="str">
        <f>'analysis _non-RE-nodes'!A111</f>
        <v>Noisy Numbat</v>
      </c>
      <c r="C133" s="69" t="str">
        <f t="shared" si="3"/>
        <v>Noisy Numbat</v>
      </c>
      <c r="D133" s="69" t="str">
        <f>IFERROR(__xludf.DUMMYFUNCTION("TEXTJOIN("""", TRUE, ARRAYFORMULA(LEFT(SPLIT(C133, "" ""),1)))"),"NN")</f>
        <v>NN</v>
      </c>
      <c r="E133" s="66"/>
      <c r="F133" s="66"/>
      <c r="G133" s="66" t="s">
        <v>593</v>
      </c>
    </row>
    <row r="134">
      <c r="A134" s="79" t="str">
        <f t="shared" si="1"/>
        <v>noisy-perentie</v>
      </c>
      <c r="B134" s="63" t="str">
        <f>'analysis _non-RE-nodes'!A112</f>
        <v>Noisy Perentie</v>
      </c>
      <c r="C134" s="69" t="str">
        <f t="shared" si="3"/>
        <v>Noisy Perentie</v>
      </c>
      <c r="D134" s="69" t="str">
        <f>IFERROR(__xludf.DUMMYFUNCTION("TEXTJOIN("""", TRUE, ARRAYFORMULA(LEFT(SPLIT(C134, "" ""),1)))"),"NP")</f>
        <v>NP</v>
      </c>
      <c r="E134" s="66"/>
      <c r="F134" s="66"/>
      <c r="G134" s="66" t="s">
        <v>593</v>
      </c>
    </row>
    <row r="135">
      <c r="A135" s="79" t="str">
        <f t="shared" si="1"/>
        <v>noisy-possum</v>
      </c>
      <c r="B135" s="63" t="str">
        <f>'analysis _non-RE-nodes'!A113</f>
        <v>Noisy Possum</v>
      </c>
      <c r="C135" s="69" t="str">
        <f t="shared" si="3"/>
        <v>Noisy Possum</v>
      </c>
      <c r="D135" s="69" t="str">
        <f>IFERROR(__xludf.DUMMYFUNCTION("TEXTJOIN("""", TRUE, ARRAYFORMULA(LEFT(SPLIT(C135, "" ""),1)))"),"NP")</f>
        <v>NP</v>
      </c>
      <c r="E135" s="66"/>
      <c r="F135" s="66"/>
      <c r="G135" s="66" t="s">
        <v>593</v>
      </c>
    </row>
    <row r="136">
      <c r="A136" s="79" t="str">
        <f t="shared" si="1"/>
        <v>noisy-redback-spider</v>
      </c>
      <c r="B136" s="63" t="str">
        <f>'analysis _non-RE-nodes'!A114</f>
        <v>Noisy Redback Spider</v>
      </c>
      <c r="C136" s="69" t="str">
        <f t="shared" si="3"/>
        <v>Noisy Redback Spider</v>
      </c>
      <c r="D136" s="69" t="str">
        <f>IFERROR(__xludf.DUMMYFUNCTION("TEXTJOIN("""", TRUE, ARRAYFORMULA(LEFT(SPLIT(C136, "" ""),1)))"),"NRS")</f>
        <v>NRS</v>
      </c>
      <c r="E136" s="66"/>
      <c r="F136" s="66"/>
      <c r="G136" s="66" t="s">
        <v>593</v>
      </c>
    </row>
    <row r="137">
      <c r="A137" s="79" t="str">
        <f t="shared" si="1"/>
        <v>noisy-rosella</v>
      </c>
      <c r="B137" s="63" t="str">
        <f>'analysis _non-RE-nodes'!A115</f>
        <v>Noisy Rosella</v>
      </c>
      <c r="C137" s="69" t="str">
        <f t="shared" si="3"/>
        <v>Noisy Rosella</v>
      </c>
      <c r="D137" s="69" t="str">
        <f>IFERROR(__xludf.DUMMYFUNCTION("TEXTJOIN("""", TRUE, ARRAYFORMULA(LEFT(SPLIT(C137, "" ""),1)))"),"NR")</f>
        <v>NR</v>
      </c>
      <c r="E137" s="66"/>
      <c r="F137" s="66"/>
      <c r="G137" s="66" t="s">
        <v>593</v>
      </c>
    </row>
    <row r="138">
      <c r="A138" s="79" t="str">
        <f t="shared" si="1"/>
        <v>noisy-sugar-glider</v>
      </c>
      <c r="B138" s="63" t="str">
        <f>'analysis _non-RE-nodes'!A116</f>
        <v>Noisy Sugar Glider</v>
      </c>
      <c r="C138" s="69" t="str">
        <f t="shared" si="3"/>
        <v>Noisy Sugar Glider</v>
      </c>
      <c r="D138" s="69" t="str">
        <f>IFERROR(__xludf.DUMMYFUNCTION("TEXTJOIN("""", TRUE, ARRAYFORMULA(LEFT(SPLIT(C138, "" ""),1)))"),"NSG")</f>
        <v>NSG</v>
      </c>
      <c r="E138" s="66"/>
      <c r="F138" s="66"/>
      <c r="G138" s="66" t="s">
        <v>593</v>
      </c>
    </row>
    <row r="139">
      <c r="A139" s="79" t="str">
        <f t="shared" si="1"/>
        <v>noisy-tree-kangaroo</v>
      </c>
      <c r="B139" s="63" t="str">
        <f>'analysis _non-RE-nodes'!A117</f>
        <v>Noisy Tree Kangaroo</v>
      </c>
      <c r="C139" s="69" t="str">
        <f t="shared" si="3"/>
        <v>Noisy Tree Kangaroo</v>
      </c>
      <c r="D139" s="69" t="str">
        <f>IFERROR(__xludf.DUMMYFUNCTION("TEXTJOIN("""", TRUE, ARRAYFORMULA(LEFT(SPLIT(C139, "" ""),1)))"),"NTK")</f>
        <v>NTK</v>
      </c>
      <c r="E139" s="66"/>
      <c r="F139" s="66"/>
      <c r="G139" s="66" t="s">
        <v>593</v>
      </c>
    </row>
    <row r="140">
      <c r="A140" s="79" t="str">
        <f t="shared" si="1"/>
        <v>noisy-wombat</v>
      </c>
      <c r="B140" s="63" t="str">
        <f>'analysis _non-RE-nodes'!A118</f>
        <v>Noisy Wombat</v>
      </c>
      <c r="C140" s="69" t="str">
        <f t="shared" si="3"/>
        <v>Noisy Wombat</v>
      </c>
      <c r="D140" s="69" t="str">
        <f>IFERROR(__xludf.DUMMYFUNCTION("TEXTJOIN("""", TRUE, ARRAYFORMULA(LEFT(SPLIT(C140, "" ""),1)))"),"NW")</f>
        <v>NW</v>
      </c>
      <c r="E140" s="66"/>
      <c r="F140" s="66"/>
      <c r="G140" s="66" t="s">
        <v>593</v>
      </c>
    </row>
    <row r="141">
      <c r="A141" s="79" t="str">
        <f t="shared" si="1"/>
        <v>red-australian-magpie</v>
      </c>
      <c r="B141" s="63" t="str">
        <f>'analysis _non-RE-nodes'!A119</f>
        <v>Red Australian Magpie</v>
      </c>
      <c r="C141" s="69" t="str">
        <f t="shared" si="3"/>
        <v>Red Australian Magpie</v>
      </c>
      <c r="D141" s="69" t="str">
        <f>IFERROR(__xludf.DUMMYFUNCTION("TEXTJOIN("""", TRUE, ARRAYFORMULA(LEFT(SPLIT(C141, "" ""),1)))"),"RAM")</f>
        <v>RAM</v>
      </c>
      <c r="E141" s="66"/>
      <c r="F141" s="66"/>
      <c r="G141" s="66" t="s">
        <v>593</v>
      </c>
    </row>
    <row r="142">
      <c r="A142" s="79" t="str">
        <f t="shared" si="1"/>
        <v>red-bush-stone-curlew</v>
      </c>
      <c r="B142" s="63" t="str">
        <f>'analysis _non-RE-nodes'!A120</f>
        <v>Red Bush Stone-curlew</v>
      </c>
      <c r="C142" s="69" t="str">
        <f t="shared" si="3"/>
        <v>Red Bush Stone-curlew</v>
      </c>
      <c r="D142" s="69" t="str">
        <f>IFERROR(__xludf.DUMMYFUNCTION("TEXTJOIN("""", TRUE, ARRAYFORMULA(LEFT(SPLIT(C142, "" ""),1)))"),"RBS")</f>
        <v>RBS</v>
      </c>
      <c r="E142" s="66"/>
      <c r="F142" s="66"/>
      <c r="G142" s="66" t="s">
        <v>593</v>
      </c>
    </row>
    <row r="143">
      <c r="A143" s="79" t="str">
        <f t="shared" si="1"/>
        <v>red-dingo</v>
      </c>
      <c r="B143" s="63" t="str">
        <f>'analysis _non-RE-nodes'!A121</f>
        <v>Red Dingo</v>
      </c>
      <c r="C143" s="69" t="str">
        <f t="shared" si="3"/>
        <v>Red Dingo</v>
      </c>
      <c r="D143" s="69" t="str">
        <f>IFERROR(__xludf.DUMMYFUNCTION("TEXTJOIN("""", TRUE, ARRAYFORMULA(LEFT(SPLIT(C143, "" ""),1)))"),"RD")</f>
        <v>RD</v>
      </c>
      <c r="E143" s="66"/>
      <c r="F143" s="66"/>
      <c r="G143" s="66" t="s">
        <v>593</v>
      </c>
    </row>
    <row r="144">
      <c r="A144" s="79" t="str">
        <f t="shared" si="1"/>
        <v>red-fairy-penguin</v>
      </c>
      <c r="B144" s="63" t="str">
        <f>'analysis _non-RE-nodes'!A122</f>
        <v>Red Fairy Penguin</v>
      </c>
      <c r="C144" s="69" t="str">
        <f t="shared" si="3"/>
        <v>Red Fairy Penguin</v>
      </c>
      <c r="D144" s="69" t="str">
        <f>IFERROR(__xludf.DUMMYFUNCTION("TEXTJOIN("""", TRUE, ARRAYFORMULA(LEFT(SPLIT(C144, "" ""),1)))"),"RFP")</f>
        <v>RFP</v>
      </c>
      <c r="E144" s="66"/>
      <c r="F144" s="66"/>
      <c r="G144" s="66" t="s">
        <v>593</v>
      </c>
    </row>
    <row r="145">
      <c r="A145" s="79" t="str">
        <f t="shared" si="1"/>
        <v>red-frilled-neck-lizard</v>
      </c>
      <c r="B145" s="63" t="str">
        <f>'analysis _non-RE-nodes'!A123</f>
        <v>Red Frilled Neck Lizard</v>
      </c>
      <c r="C145" s="69" t="str">
        <f t="shared" si="3"/>
        <v>Red Frilled Neck Lizard</v>
      </c>
      <c r="D145" s="69" t="str">
        <f>IFERROR(__xludf.DUMMYFUNCTION("TEXTJOIN("""", TRUE, ARRAYFORMULA(LEFT(SPLIT(C145, "" ""),1)))"),"RFNL")</f>
        <v>RFNL</v>
      </c>
      <c r="E145" s="66"/>
      <c r="F145" s="66"/>
      <c r="G145" s="66" t="s">
        <v>593</v>
      </c>
    </row>
    <row r="146">
      <c r="A146" s="79" t="str">
        <f t="shared" si="1"/>
        <v>red-koala</v>
      </c>
      <c r="B146" s="63" t="str">
        <f>'analysis _non-RE-nodes'!A124</f>
        <v>Red Koala</v>
      </c>
      <c r="C146" s="69" t="str">
        <f t="shared" si="3"/>
        <v>Red Koala</v>
      </c>
      <c r="D146" s="69" t="str">
        <f>IFERROR(__xludf.DUMMYFUNCTION("TEXTJOIN("""", TRUE, ARRAYFORMULA(LEFT(SPLIT(C146, "" ""),1)))"),"RK")</f>
        <v>RK</v>
      </c>
      <c r="E146" s="66"/>
      <c r="F146" s="66"/>
      <c r="G146" s="66" t="s">
        <v>593</v>
      </c>
    </row>
    <row r="147">
      <c r="A147" s="79" t="str">
        <f t="shared" si="1"/>
        <v>red-numbat</v>
      </c>
      <c r="B147" s="63" t="str">
        <f>'analysis _non-RE-nodes'!A125</f>
        <v>Red Numbat</v>
      </c>
      <c r="C147" s="69" t="str">
        <f t="shared" si="3"/>
        <v>Red Numbat</v>
      </c>
      <c r="D147" s="69" t="str">
        <f>IFERROR(__xludf.DUMMYFUNCTION("TEXTJOIN("""", TRUE, ARRAYFORMULA(LEFT(SPLIT(C147, "" ""),1)))"),"RN")</f>
        <v>RN</v>
      </c>
      <c r="E147" s="66"/>
      <c r="F147" s="66"/>
      <c r="G147" s="66" t="s">
        <v>593</v>
      </c>
    </row>
    <row r="148">
      <c r="A148" s="79" t="str">
        <f t="shared" si="1"/>
        <v>red-tasmanian-devil</v>
      </c>
      <c r="B148" s="63" t="str">
        <f>'analysis _non-RE-nodes'!A126</f>
        <v>Red Tasmanian Devil</v>
      </c>
      <c r="C148" s="69" t="str">
        <f t="shared" si="3"/>
        <v>Red Tasmanian Devil</v>
      </c>
      <c r="D148" s="69" t="str">
        <f>IFERROR(__xludf.DUMMYFUNCTION("TEXTJOIN("""", TRUE, ARRAYFORMULA(LEFT(SPLIT(C148, "" ""),1)))"),"RTD")</f>
        <v>RTD</v>
      </c>
      <c r="E148" s="66"/>
      <c r="F148" s="66"/>
      <c r="G148" s="66" t="s">
        <v>593</v>
      </c>
    </row>
    <row r="149">
      <c r="A149" s="79" t="str">
        <f t="shared" si="1"/>
        <v>red-thorny-devil</v>
      </c>
      <c r="B149" s="63" t="str">
        <f>'analysis _non-RE-nodes'!A127</f>
        <v>Red Thorny Devil</v>
      </c>
      <c r="C149" s="69" t="str">
        <f t="shared" si="3"/>
        <v>Red Thorny Devil</v>
      </c>
      <c r="D149" s="69" t="str">
        <f>IFERROR(__xludf.DUMMYFUNCTION("TEXTJOIN("""", TRUE, ARRAYFORMULA(LEFT(SPLIT(C149, "" ""),1)))"),"RTD")</f>
        <v>RTD</v>
      </c>
      <c r="E149" s="66"/>
      <c r="F149" s="66"/>
      <c r="G149" s="66" t="s">
        <v>593</v>
      </c>
    </row>
    <row r="150">
      <c r="A150" s="79" t="str">
        <f t="shared" si="1"/>
        <v>red-tree-kangaroo</v>
      </c>
      <c r="B150" s="63" t="str">
        <f>'analysis _non-RE-nodes'!A128</f>
        <v>Red Tree Kangaroo</v>
      </c>
      <c r="C150" s="69" t="str">
        <f t="shared" si="3"/>
        <v>Red Tree Kangaroo</v>
      </c>
      <c r="D150" s="69" t="str">
        <f>IFERROR(__xludf.DUMMYFUNCTION("TEXTJOIN("""", TRUE, ARRAYFORMULA(LEFT(SPLIT(C150, "" ""),1)))"),"RTK")</f>
        <v>RTK</v>
      </c>
      <c r="E150" s="66"/>
      <c r="F150" s="66"/>
      <c r="G150" s="66" t="s">
        <v>593</v>
      </c>
    </row>
    <row r="151">
      <c r="A151" s="79" t="str">
        <f t="shared" si="1"/>
        <v>red-wombat</v>
      </c>
      <c r="B151" s="63" t="str">
        <f>'analysis _non-RE-nodes'!A129</f>
        <v>Red Wombat</v>
      </c>
      <c r="C151" s="69" t="str">
        <f t="shared" si="3"/>
        <v>Red Wombat</v>
      </c>
      <c r="D151" s="69" t="str">
        <f>IFERROR(__xludf.DUMMYFUNCTION("TEXTJOIN("""", TRUE, ARRAYFORMULA(LEFT(SPLIT(C151, "" ""),1)))"),"RW")</f>
        <v>RW</v>
      </c>
      <c r="E151" s="66"/>
      <c r="F151" s="66"/>
      <c r="G151" s="66" t="s">
        <v>593</v>
      </c>
    </row>
    <row r="152">
      <c r="A152" s="79" t="str">
        <f t="shared" si="1"/>
        <v>shy-australian-magpie</v>
      </c>
      <c r="B152" s="63" t="str">
        <f>'analysis _non-RE-nodes'!A130</f>
        <v>Shy Australian Magpie</v>
      </c>
      <c r="C152" s="69" t="str">
        <f t="shared" si="3"/>
        <v>Shy Australian Magpie</v>
      </c>
      <c r="D152" s="69" t="str">
        <f>IFERROR(__xludf.DUMMYFUNCTION("TEXTJOIN("""", TRUE, ARRAYFORMULA(LEFT(SPLIT(C152, "" ""),1)))"),"SAM")</f>
        <v>SAM</v>
      </c>
      <c r="E152" s="66"/>
      <c r="F152" s="66"/>
      <c r="G152" s="66" t="s">
        <v>593</v>
      </c>
    </row>
    <row r="153">
      <c r="A153" s="79" t="str">
        <f t="shared" si="1"/>
        <v>shy-bilby</v>
      </c>
      <c r="B153" s="63" t="str">
        <f>'analysis _non-RE-nodes'!A131</f>
        <v>Shy Bilby</v>
      </c>
      <c r="C153" s="69" t="str">
        <f t="shared" si="3"/>
        <v>Shy Bilby</v>
      </c>
      <c r="D153" s="69" t="str">
        <f>IFERROR(__xludf.DUMMYFUNCTION("TEXTJOIN("""", TRUE, ARRAYFORMULA(LEFT(SPLIT(C153, "" ""),1)))"),"SB")</f>
        <v>SB</v>
      </c>
      <c r="E153" s="66"/>
      <c r="F153" s="66"/>
      <c r="G153" s="66" t="s">
        <v>593</v>
      </c>
    </row>
    <row r="154">
      <c r="A154" s="79" t="str">
        <f t="shared" si="1"/>
        <v>shy-blue-tongue-skink</v>
      </c>
      <c r="B154" s="63" t="str">
        <f>'analysis _non-RE-nodes'!A132</f>
        <v>Shy Blue-tongue Skink</v>
      </c>
      <c r="C154" s="69" t="str">
        <f t="shared" si="3"/>
        <v>Shy Blue-tongue Skink</v>
      </c>
      <c r="D154" s="69" t="str">
        <f>IFERROR(__xludf.DUMMYFUNCTION("TEXTJOIN("""", TRUE, ARRAYFORMULA(LEFT(SPLIT(C154, "" ""),1)))"),"SBS")</f>
        <v>SBS</v>
      </c>
      <c r="E154" s="66"/>
      <c r="F154" s="66"/>
      <c r="G154" s="66" t="s">
        <v>593</v>
      </c>
    </row>
    <row r="155">
      <c r="A155" s="79" t="str">
        <f t="shared" si="1"/>
        <v>shy-cockatoo</v>
      </c>
      <c r="B155" s="63" t="str">
        <f>'analysis _non-RE-nodes'!A133</f>
        <v>Shy Cockatoo</v>
      </c>
      <c r="C155" s="69" t="str">
        <f t="shared" si="3"/>
        <v>Shy Cockatoo</v>
      </c>
      <c r="D155" s="69" t="str">
        <f>IFERROR(__xludf.DUMMYFUNCTION("TEXTJOIN("""", TRUE, ARRAYFORMULA(LEFT(SPLIT(C155, "" ""),1)))"),"SC")</f>
        <v>SC</v>
      </c>
      <c r="E155" s="66"/>
      <c r="F155" s="66"/>
      <c r="G155" s="66" t="s">
        <v>593</v>
      </c>
    </row>
    <row r="156">
      <c r="A156" s="79" t="str">
        <f t="shared" si="1"/>
        <v>shy-dingo</v>
      </c>
      <c r="B156" s="63" t="str">
        <f>'analysis _non-RE-nodes'!A134</f>
        <v>Shy Dingo</v>
      </c>
      <c r="C156" s="69" t="str">
        <f t="shared" si="3"/>
        <v>Shy Dingo</v>
      </c>
      <c r="D156" s="69" t="str">
        <f>IFERROR(__xludf.DUMMYFUNCTION("TEXTJOIN("""", TRUE, ARRAYFORMULA(LEFT(SPLIT(C156, "" ""),1)))"),"SD")</f>
        <v>SD</v>
      </c>
      <c r="E156" s="66"/>
      <c r="F156" s="66"/>
      <c r="G156" s="66" t="s">
        <v>593</v>
      </c>
    </row>
    <row r="157">
      <c r="A157" s="79" t="str">
        <f t="shared" si="1"/>
        <v>shy-echidna</v>
      </c>
      <c r="B157" s="63" t="str">
        <f>'analysis _non-RE-nodes'!A135</f>
        <v>Shy Echidna</v>
      </c>
      <c r="C157" s="69" t="str">
        <f t="shared" si="3"/>
        <v>Shy Echidna</v>
      </c>
      <c r="D157" s="69" t="str">
        <f>IFERROR(__xludf.DUMMYFUNCTION("TEXTJOIN("""", TRUE, ARRAYFORMULA(LEFT(SPLIT(C157, "" ""),1)))"),"SE")</f>
        <v>SE</v>
      </c>
      <c r="E157" s="66"/>
      <c r="F157" s="66"/>
      <c r="G157" s="66" t="s">
        <v>593</v>
      </c>
    </row>
    <row r="158">
      <c r="A158" s="79" t="str">
        <f t="shared" si="1"/>
        <v>shy-frilled-neck-lizard</v>
      </c>
      <c r="B158" s="63" t="str">
        <f>'analysis _non-RE-nodes'!A136</f>
        <v>Shy Frilled Neck Lizard</v>
      </c>
      <c r="C158" s="69" t="str">
        <f t="shared" si="3"/>
        <v>Shy Frilled Neck Lizard</v>
      </c>
      <c r="D158" s="69" t="str">
        <f>IFERROR(__xludf.DUMMYFUNCTION("TEXTJOIN("""", TRUE, ARRAYFORMULA(LEFT(SPLIT(C158, "" ""),1)))"),"SFNL")</f>
        <v>SFNL</v>
      </c>
      <c r="E158" s="66"/>
      <c r="F158" s="66"/>
      <c r="G158" s="66" t="s">
        <v>593</v>
      </c>
    </row>
    <row r="159">
      <c r="A159" s="79" t="str">
        <f t="shared" si="1"/>
        <v>shy-koala</v>
      </c>
      <c r="B159" s="63" t="str">
        <f>'analysis _non-RE-nodes'!A137</f>
        <v>Shy Koala</v>
      </c>
      <c r="C159" s="69" t="str">
        <f t="shared" si="3"/>
        <v>Shy Koala</v>
      </c>
      <c r="D159" s="69" t="str">
        <f>IFERROR(__xludf.DUMMYFUNCTION("TEXTJOIN("""", TRUE, ARRAYFORMULA(LEFT(SPLIT(C159, "" ""),1)))"),"SK")</f>
        <v>SK</v>
      </c>
      <c r="E159" s="66"/>
      <c r="F159" s="66"/>
      <c r="G159" s="66" t="s">
        <v>593</v>
      </c>
    </row>
    <row r="160">
      <c r="A160" s="79" t="str">
        <f t="shared" si="1"/>
        <v>shy-kookaburra</v>
      </c>
      <c r="B160" s="63" t="str">
        <f>'analysis _non-RE-nodes'!A138</f>
        <v>Shy Kookaburra</v>
      </c>
      <c r="C160" s="69" t="str">
        <f t="shared" si="3"/>
        <v>Shy Kookaburra</v>
      </c>
      <c r="D160" s="69" t="str">
        <f>IFERROR(__xludf.DUMMYFUNCTION("TEXTJOIN("""", TRUE, ARRAYFORMULA(LEFT(SPLIT(C160, "" ""),1)))"),"SK")</f>
        <v>SK</v>
      </c>
      <c r="E160" s="66"/>
      <c r="F160" s="66"/>
      <c r="G160" s="66" t="s">
        <v>593</v>
      </c>
    </row>
    <row r="161">
      <c r="A161" s="79" t="str">
        <f t="shared" si="1"/>
        <v>shy-lyrebird</v>
      </c>
      <c r="B161" s="63" t="str">
        <f>'analysis _non-RE-nodes'!A139</f>
        <v>Shy Lyrebird</v>
      </c>
      <c r="C161" s="69" t="str">
        <f t="shared" si="3"/>
        <v>Shy Lyrebird</v>
      </c>
      <c r="D161" s="69" t="str">
        <f>IFERROR(__xludf.DUMMYFUNCTION("TEXTJOIN("""", TRUE, ARRAYFORMULA(LEFT(SPLIT(C161, "" ""),1)))"),"SL")</f>
        <v>SL</v>
      </c>
      <c r="E161" s="66"/>
      <c r="F161" s="66"/>
      <c r="G161" s="66" t="s">
        <v>593</v>
      </c>
    </row>
    <row r="162">
      <c r="A162" s="79" t="str">
        <f t="shared" si="1"/>
        <v>shy-numbat</v>
      </c>
      <c r="B162" s="63" t="str">
        <f>'analysis _non-RE-nodes'!A140</f>
        <v>Shy Numbat</v>
      </c>
      <c r="C162" s="69" t="str">
        <f t="shared" si="3"/>
        <v>Shy Numbat</v>
      </c>
      <c r="D162" s="69" t="str">
        <f>IFERROR(__xludf.DUMMYFUNCTION("TEXTJOIN("""", TRUE, ARRAYFORMULA(LEFT(SPLIT(C162, "" ""),1)))"),"SN")</f>
        <v>SN</v>
      </c>
      <c r="E162" s="66"/>
      <c r="F162" s="66"/>
      <c r="G162" s="66" t="s">
        <v>593</v>
      </c>
    </row>
    <row r="163">
      <c r="A163" s="79" t="str">
        <f t="shared" si="1"/>
        <v>shy-platypus</v>
      </c>
      <c r="B163" s="63" t="str">
        <f>'analysis _non-RE-nodes'!A141</f>
        <v>Shy Platypus</v>
      </c>
      <c r="C163" s="69" t="str">
        <f t="shared" si="3"/>
        <v>Shy Platypus</v>
      </c>
      <c r="D163" s="69" t="str">
        <f>IFERROR(__xludf.DUMMYFUNCTION("TEXTJOIN("""", TRUE, ARRAYFORMULA(LEFT(SPLIT(C163, "" ""),1)))"),"SP")</f>
        <v>SP</v>
      </c>
      <c r="E163" s="66"/>
      <c r="F163" s="66"/>
      <c r="G163" s="66" t="s">
        <v>593</v>
      </c>
    </row>
    <row r="164">
      <c r="A164" s="79" t="str">
        <f t="shared" si="1"/>
        <v>shy-possum</v>
      </c>
      <c r="B164" s="63" t="str">
        <f>'analysis _non-RE-nodes'!A142</f>
        <v>Shy Possum</v>
      </c>
      <c r="C164" s="69" t="str">
        <f t="shared" si="3"/>
        <v>Shy Possum</v>
      </c>
      <c r="D164" s="69" t="str">
        <f>IFERROR(__xludf.DUMMYFUNCTION("TEXTJOIN("""", TRUE, ARRAYFORMULA(LEFT(SPLIT(C164, "" ""),1)))"),"SP")</f>
        <v>SP</v>
      </c>
      <c r="E164" s="66"/>
      <c r="F164" s="66"/>
      <c r="G164" s="66" t="s">
        <v>593</v>
      </c>
    </row>
    <row r="165">
      <c r="A165" s="79" t="str">
        <f t="shared" si="1"/>
        <v>shy-quokka</v>
      </c>
      <c r="B165" s="63" t="str">
        <f>'analysis _non-RE-nodes'!A143</f>
        <v>Shy Quokka</v>
      </c>
      <c r="C165" s="69" t="str">
        <f t="shared" si="3"/>
        <v>Shy Quokka</v>
      </c>
      <c r="D165" s="69" t="str">
        <f>IFERROR(__xludf.DUMMYFUNCTION("TEXTJOIN("""", TRUE, ARRAYFORMULA(LEFT(SPLIT(C165, "" ""),1)))"),"SQ")</f>
        <v>SQ</v>
      </c>
      <c r="E165" s="66"/>
      <c r="F165" s="66"/>
      <c r="G165" s="66" t="s">
        <v>593</v>
      </c>
    </row>
    <row r="166">
      <c r="A166" s="79" t="str">
        <f t="shared" si="1"/>
        <v>shy-tasmanian-devil</v>
      </c>
      <c r="B166" s="63" t="str">
        <f>'analysis _non-RE-nodes'!A144</f>
        <v>Shy Tasmanian Devil</v>
      </c>
      <c r="C166" s="69" t="str">
        <f t="shared" si="3"/>
        <v>Shy Tasmanian Devil</v>
      </c>
      <c r="D166" s="69" t="str">
        <f>IFERROR(__xludf.DUMMYFUNCTION("TEXTJOIN("""", TRUE, ARRAYFORMULA(LEFT(SPLIT(C166, "" ""),1)))"),"STD")</f>
        <v>STD</v>
      </c>
      <c r="E166" s="66"/>
      <c r="F166" s="66"/>
      <c r="G166" s="66" t="s">
        <v>593</v>
      </c>
    </row>
    <row r="167">
      <c r="A167" s="79" t="str">
        <f t="shared" si="1"/>
        <v>shy-wallaby</v>
      </c>
      <c r="B167" s="63" t="str">
        <f>'analysis _non-RE-nodes'!A145</f>
        <v>Shy Wallaby</v>
      </c>
      <c r="C167" s="69" t="str">
        <f t="shared" si="3"/>
        <v>Shy Wallaby</v>
      </c>
      <c r="D167" s="69" t="str">
        <f>IFERROR(__xludf.DUMMYFUNCTION("TEXTJOIN("""", TRUE, ARRAYFORMULA(LEFT(SPLIT(C167, "" ""),1)))"),"SW")</f>
        <v>SW</v>
      </c>
      <c r="E167" s="66"/>
      <c r="F167" s="66"/>
      <c r="G167" s="66" t="s">
        <v>593</v>
      </c>
    </row>
    <row r="168">
      <c r="A168" s="79" t="str">
        <f t="shared" si="1"/>
        <v>silent-bandicoot</v>
      </c>
      <c r="B168" s="63" t="str">
        <f>'analysis _non-RE-nodes'!A146</f>
        <v>Silent Bandicoot</v>
      </c>
      <c r="C168" s="69" t="str">
        <f t="shared" si="3"/>
        <v>Silent Bandicoot</v>
      </c>
      <c r="D168" s="69" t="str">
        <f>IFERROR(__xludf.DUMMYFUNCTION("TEXTJOIN("""", TRUE, ARRAYFORMULA(LEFT(SPLIT(C168, "" ""),1)))"),"SB")</f>
        <v>SB</v>
      </c>
      <c r="E168" s="66"/>
      <c r="F168" s="66"/>
      <c r="G168" s="66" t="s">
        <v>593</v>
      </c>
    </row>
    <row r="169">
      <c r="A169" s="79" t="str">
        <f t="shared" si="1"/>
        <v>silent-cassowary</v>
      </c>
      <c r="B169" s="63" t="str">
        <f>'analysis _non-RE-nodes'!A147</f>
        <v>Silent Cassowary</v>
      </c>
      <c r="C169" s="69" t="str">
        <f t="shared" si="3"/>
        <v>Silent Cassowary</v>
      </c>
      <c r="D169" s="69" t="str">
        <f>IFERROR(__xludf.DUMMYFUNCTION("TEXTJOIN("""", TRUE, ARRAYFORMULA(LEFT(SPLIT(C169, "" ""),1)))"),"SC")</f>
        <v>SC</v>
      </c>
      <c r="E169" s="66"/>
      <c r="F169" s="66"/>
      <c r="G169" s="66" t="s">
        <v>593</v>
      </c>
    </row>
    <row r="170">
      <c r="A170" s="79" t="str">
        <f t="shared" si="1"/>
        <v>silent-fairy-penguin</v>
      </c>
      <c r="B170" s="63" t="str">
        <f>'analysis _non-RE-nodes'!A148</f>
        <v>Silent Fairy Penguin</v>
      </c>
      <c r="C170" s="69" t="str">
        <f t="shared" si="3"/>
        <v>Silent Fairy Penguin</v>
      </c>
      <c r="D170" s="69" t="str">
        <f>IFERROR(__xludf.DUMMYFUNCTION("TEXTJOIN("""", TRUE, ARRAYFORMULA(LEFT(SPLIT(C170, "" ""),1)))"),"SFP")</f>
        <v>SFP</v>
      </c>
      <c r="E170" s="66"/>
      <c r="F170" s="66"/>
      <c r="G170" s="66" t="s">
        <v>593</v>
      </c>
    </row>
    <row r="171">
      <c r="A171" s="79" t="str">
        <f t="shared" si="1"/>
        <v>silent-goanna</v>
      </c>
      <c r="B171" s="63" t="str">
        <f>'analysis _non-RE-nodes'!A149</f>
        <v>Silent Goanna</v>
      </c>
      <c r="C171" s="69" t="str">
        <f t="shared" si="3"/>
        <v>Silent Goanna</v>
      </c>
      <c r="D171" s="69" t="str">
        <f>IFERROR(__xludf.DUMMYFUNCTION("TEXTJOIN("""", TRUE, ARRAYFORMULA(LEFT(SPLIT(C171, "" ""),1)))"),"SG")</f>
        <v>SG</v>
      </c>
      <c r="E171" s="66"/>
      <c r="F171" s="66"/>
      <c r="G171" s="66" t="s">
        <v>593</v>
      </c>
    </row>
    <row r="172">
      <c r="A172" s="79" t="str">
        <f t="shared" si="1"/>
        <v>silent-kangaroo</v>
      </c>
      <c r="B172" s="63" t="str">
        <f>'analysis _non-RE-nodes'!A150</f>
        <v>Silent Kangaroo</v>
      </c>
      <c r="C172" s="69" t="str">
        <f t="shared" si="3"/>
        <v>Silent Kangaroo</v>
      </c>
      <c r="D172" s="69" t="str">
        <f>IFERROR(__xludf.DUMMYFUNCTION("TEXTJOIN("""", TRUE, ARRAYFORMULA(LEFT(SPLIT(C172, "" ""),1)))"),"SK")</f>
        <v>SK</v>
      </c>
      <c r="E172" s="66"/>
      <c r="F172" s="66"/>
      <c r="G172" s="66" t="s">
        <v>593</v>
      </c>
    </row>
    <row r="173">
      <c r="A173" s="79" t="str">
        <f t="shared" si="1"/>
        <v>silent-numbat</v>
      </c>
      <c r="B173" s="63" t="str">
        <f>'analysis _non-RE-nodes'!A151</f>
        <v>Silent Numbat</v>
      </c>
      <c r="C173" s="69" t="str">
        <f t="shared" si="3"/>
        <v>Silent Numbat</v>
      </c>
      <c r="D173" s="69" t="str">
        <f>IFERROR(__xludf.DUMMYFUNCTION("TEXTJOIN("""", TRUE, ARRAYFORMULA(LEFT(SPLIT(C173, "" ""),1)))"),"SN")</f>
        <v>SN</v>
      </c>
      <c r="E173" s="66"/>
      <c r="F173" s="66"/>
      <c r="G173" s="66" t="s">
        <v>593</v>
      </c>
    </row>
    <row r="174">
      <c r="A174" s="79" t="str">
        <f t="shared" si="1"/>
        <v>silent-possum</v>
      </c>
      <c r="B174" s="63" t="str">
        <f>'analysis _non-RE-nodes'!A152</f>
        <v>Silent Possum</v>
      </c>
      <c r="C174" s="69" t="str">
        <f t="shared" si="3"/>
        <v>Silent Possum</v>
      </c>
      <c r="D174" s="69" t="str">
        <f>IFERROR(__xludf.DUMMYFUNCTION("TEXTJOIN("""", TRUE, ARRAYFORMULA(LEFT(SPLIT(C174, "" ""),1)))"),"SP")</f>
        <v>SP</v>
      </c>
      <c r="E174" s="66"/>
      <c r="F174" s="66"/>
      <c r="G174" s="66" t="s">
        <v>593</v>
      </c>
    </row>
    <row r="175">
      <c r="A175" s="79" t="str">
        <f t="shared" si="1"/>
        <v>silent-quokka</v>
      </c>
      <c r="B175" s="63" t="str">
        <f>'analysis _non-RE-nodes'!A153</f>
        <v>Silent Quokka</v>
      </c>
      <c r="C175" s="69" t="str">
        <f t="shared" si="3"/>
        <v>Silent Quokka</v>
      </c>
      <c r="D175" s="69" t="str">
        <f>IFERROR(__xludf.DUMMYFUNCTION("TEXTJOIN("""", TRUE, ARRAYFORMULA(LEFT(SPLIT(C175, "" ""),1)))"),"SQ")</f>
        <v>SQ</v>
      </c>
      <c r="E175" s="66"/>
      <c r="F175" s="66"/>
      <c r="G175" s="66" t="s">
        <v>593</v>
      </c>
    </row>
    <row r="176">
      <c r="A176" s="79" t="str">
        <f t="shared" si="1"/>
        <v>silent-sugar-glider</v>
      </c>
      <c r="B176" s="63" t="str">
        <f>'analysis _non-RE-nodes'!A154</f>
        <v>Silent Sugar Glider</v>
      </c>
      <c r="C176" s="69" t="str">
        <f t="shared" si="3"/>
        <v>Silent Sugar Glider</v>
      </c>
      <c r="D176" s="69" t="str">
        <f>IFERROR(__xludf.DUMMYFUNCTION("TEXTJOIN("""", TRUE, ARRAYFORMULA(LEFT(SPLIT(C176, "" ""),1)))"),"SSG")</f>
        <v>SSG</v>
      </c>
      <c r="E176" s="66"/>
      <c r="F176" s="66"/>
      <c r="G176" s="66" t="s">
        <v>593</v>
      </c>
    </row>
    <row r="177">
      <c r="A177" s="79" t="str">
        <f t="shared" si="1"/>
        <v>silent-wallaby</v>
      </c>
      <c r="B177" s="63" t="str">
        <f>'analysis _non-RE-nodes'!A155</f>
        <v>Silent Wallaby</v>
      </c>
      <c r="C177" s="69" t="str">
        <f t="shared" si="3"/>
        <v>Silent Wallaby</v>
      </c>
      <c r="D177" s="69" t="str">
        <f>IFERROR(__xludf.DUMMYFUNCTION("TEXTJOIN("""", TRUE, ARRAYFORMULA(LEFT(SPLIT(C177, "" ""),1)))"),"SW")</f>
        <v>SW</v>
      </c>
      <c r="E177" s="66"/>
      <c r="F177" s="66"/>
      <c r="G177" s="66" t="s">
        <v>593</v>
      </c>
    </row>
    <row r="178">
      <c r="A178" s="79" t="str">
        <f t="shared" si="1"/>
        <v>sleepy-bandicoot</v>
      </c>
      <c r="B178" s="63" t="str">
        <f>'analysis _non-RE-nodes'!A156</f>
        <v>Sleepy Bandicoot</v>
      </c>
      <c r="C178" s="69" t="str">
        <f t="shared" si="3"/>
        <v>Sleepy Bandicoot</v>
      </c>
      <c r="D178" s="69" t="str">
        <f>IFERROR(__xludf.DUMMYFUNCTION("TEXTJOIN("""", TRUE, ARRAYFORMULA(LEFT(SPLIT(C178, "" ""),1)))"),"SB")</f>
        <v>SB</v>
      </c>
      <c r="E178" s="66"/>
      <c r="F178" s="66"/>
      <c r="G178" s="66" t="s">
        <v>593</v>
      </c>
    </row>
    <row r="179">
      <c r="A179" s="79" t="str">
        <f t="shared" si="1"/>
        <v>sleepy-cassowary</v>
      </c>
      <c r="B179" s="63" t="str">
        <f>'analysis _non-RE-nodes'!A157</f>
        <v>Sleepy Cassowary</v>
      </c>
      <c r="C179" s="69" t="str">
        <f t="shared" si="3"/>
        <v>Sleepy Cassowary</v>
      </c>
      <c r="D179" s="69" t="str">
        <f>IFERROR(__xludf.DUMMYFUNCTION("TEXTJOIN("""", TRUE, ARRAYFORMULA(LEFT(SPLIT(C179, "" ""),1)))"),"SC")</f>
        <v>SC</v>
      </c>
      <c r="E179" s="66"/>
      <c r="F179" s="66"/>
      <c r="G179" s="66" t="s">
        <v>593</v>
      </c>
    </row>
    <row r="180">
      <c r="A180" s="79" t="str">
        <f t="shared" si="1"/>
        <v>sleepy-fairy-penguin</v>
      </c>
      <c r="B180" s="63" t="str">
        <f>'analysis _non-RE-nodes'!A158</f>
        <v>Sleepy Fairy Penguin</v>
      </c>
      <c r="C180" s="69" t="str">
        <f t="shared" si="3"/>
        <v>Sleepy Fairy Penguin</v>
      </c>
      <c r="D180" s="69" t="str">
        <f>IFERROR(__xludf.DUMMYFUNCTION("TEXTJOIN("""", TRUE, ARRAYFORMULA(LEFT(SPLIT(C180, "" ""),1)))"),"SFP")</f>
        <v>SFP</v>
      </c>
      <c r="E180" s="66"/>
      <c r="F180" s="66"/>
      <c r="G180" s="66" t="s">
        <v>593</v>
      </c>
    </row>
    <row r="181">
      <c r="A181" s="79" t="str">
        <f t="shared" si="1"/>
        <v>sleepy-koala</v>
      </c>
      <c r="B181" s="63" t="str">
        <f>'analysis _non-RE-nodes'!A159</f>
        <v>Sleepy Koala</v>
      </c>
      <c r="C181" s="69" t="str">
        <f t="shared" si="3"/>
        <v>Sleepy Koala</v>
      </c>
      <c r="D181" s="69" t="str">
        <f>IFERROR(__xludf.DUMMYFUNCTION("TEXTJOIN("""", TRUE, ARRAYFORMULA(LEFT(SPLIT(C181, "" ""),1)))"),"SK")</f>
        <v>SK</v>
      </c>
      <c r="E181" s="66"/>
      <c r="F181" s="66"/>
      <c r="G181" s="66" t="s">
        <v>593</v>
      </c>
    </row>
    <row r="182">
      <c r="A182" s="79" t="str">
        <f t="shared" si="1"/>
        <v>sleepy-kookaburra</v>
      </c>
      <c r="B182" s="63" t="str">
        <f>'analysis _non-RE-nodes'!A160</f>
        <v>Sleepy Kookaburra</v>
      </c>
      <c r="C182" s="69" t="str">
        <f t="shared" si="3"/>
        <v>Sleepy Kookaburra</v>
      </c>
      <c r="D182" s="69" t="str">
        <f>IFERROR(__xludf.DUMMYFUNCTION("TEXTJOIN("""", TRUE, ARRAYFORMULA(LEFT(SPLIT(C182, "" ""),1)))"),"SK")</f>
        <v>SK</v>
      </c>
      <c r="E182" s="66"/>
      <c r="F182" s="66"/>
      <c r="G182" s="66" t="s">
        <v>593</v>
      </c>
    </row>
    <row r="183">
      <c r="A183" s="79" t="str">
        <f t="shared" si="1"/>
        <v>sleepy-lyrebird</v>
      </c>
      <c r="B183" s="63" t="str">
        <f>'analysis _non-RE-nodes'!A161</f>
        <v>Sleepy Lyrebird</v>
      </c>
      <c r="C183" s="69" t="str">
        <f t="shared" si="3"/>
        <v>Sleepy Lyrebird</v>
      </c>
      <c r="D183" s="69" t="str">
        <f>IFERROR(__xludf.DUMMYFUNCTION("TEXTJOIN("""", TRUE, ARRAYFORMULA(LEFT(SPLIT(C183, "" ""),1)))"),"SL")</f>
        <v>SL</v>
      </c>
      <c r="E183" s="66"/>
      <c r="F183" s="66"/>
      <c r="G183" s="66" t="s">
        <v>593</v>
      </c>
    </row>
    <row r="184">
      <c r="A184" s="79" t="str">
        <f t="shared" si="1"/>
        <v>sleepy-numbat</v>
      </c>
      <c r="B184" s="63" t="str">
        <f>'analysis _non-RE-nodes'!A162</f>
        <v>Sleepy Numbat</v>
      </c>
      <c r="C184" s="69" t="str">
        <f t="shared" si="3"/>
        <v>Sleepy Numbat</v>
      </c>
      <c r="D184" s="69" t="str">
        <f>IFERROR(__xludf.DUMMYFUNCTION("TEXTJOIN("""", TRUE, ARRAYFORMULA(LEFT(SPLIT(C184, "" ""),1)))"),"SN")</f>
        <v>SN</v>
      </c>
      <c r="E184" s="66"/>
      <c r="F184" s="66"/>
      <c r="G184" s="66" t="s">
        <v>593</v>
      </c>
    </row>
    <row r="185">
      <c r="A185" s="79" t="str">
        <f t="shared" si="1"/>
        <v>sleepy-perentie</v>
      </c>
      <c r="B185" s="63" t="str">
        <f>'analysis _non-RE-nodes'!A163</f>
        <v>Sleepy Perentie</v>
      </c>
      <c r="C185" s="69" t="str">
        <f t="shared" si="3"/>
        <v>Sleepy Perentie</v>
      </c>
      <c r="D185" s="69" t="str">
        <f>IFERROR(__xludf.DUMMYFUNCTION("TEXTJOIN("""", TRUE, ARRAYFORMULA(LEFT(SPLIT(C185, "" ""),1)))"),"SP")</f>
        <v>SP</v>
      </c>
      <c r="E185" s="66"/>
      <c r="F185" s="66"/>
      <c r="G185" s="66" t="s">
        <v>593</v>
      </c>
    </row>
    <row r="186">
      <c r="A186" s="79" t="str">
        <f t="shared" si="1"/>
        <v>sleepy-platypus</v>
      </c>
      <c r="B186" s="63" t="str">
        <f>'analysis _non-RE-nodes'!A164</f>
        <v>Sleepy Platypus</v>
      </c>
      <c r="C186" s="69" t="str">
        <f t="shared" si="3"/>
        <v>Sleepy Platypus</v>
      </c>
      <c r="D186" s="69" t="str">
        <f>IFERROR(__xludf.DUMMYFUNCTION("TEXTJOIN("""", TRUE, ARRAYFORMULA(LEFT(SPLIT(C186, "" ""),1)))"),"SP")</f>
        <v>SP</v>
      </c>
      <c r="E186" s="66"/>
      <c r="F186" s="66"/>
      <c r="G186" s="66" t="s">
        <v>593</v>
      </c>
    </row>
    <row r="187">
      <c r="A187" s="79" t="str">
        <f t="shared" si="1"/>
        <v>sleepy-possum</v>
      </c>
      <c r="B187" s="63" t="str">
        <f>'analysis _non-RE-nodes'!A165</f>
        <v>Sleepy Possum</v>
      </c>
      <c r="C187" s="69" t="str">
        <f t="shared" si="3"/>
        <v>Sleepy Possum</v>
      </c>
      <c r="D187" s="69" t="str">
        <f>IFERROR(__xludf.DUMMYFUNCTION("TEXTJOIN("""", TRUE, ARRAYFORMULA(LEFT(SPLIT(C187, "" ""),1)))"),"SP")</f>
        <v>SP</v>
      </c>
      <c r="E187" s="66"/>
      <c r="F187" s="66"/>
      <c r="G187" s="66" t="s">
        <v>593</v>
      </c>
    </row>
    <row r="188">
      <c r="A188" s="79" t="str">
        <f t="shared" si="1"/>
        <v>sleepy-sugar-glider</v>
      </c>
      <c r="B188" s="63" t="str">
        <f>'analysis _non-RE-nodes'!A166</f>
        <v>Sleepy Sugar Glider</v>
      </c>
      <c r="C188" s="69" t="str">
        <f t="shared" si="3"/>
        <v>Sleepy Sugar Glider</v>
      </c>
      <c r="D188" s="69" t="str">
        <f>IFERROR(__xludf.DUMMYFUNCTION("TEXTJOIN("""", TRUE, ARRAYFORMULA(LEFT(SPLIT(C188, "" ""),1)))"),"SSG")</f>
        <v>SSG</v>
      </c>
      <c r="E188" s="66"/>
      <c r="F188" s="66"/>
      <c r="G188" s="66" t="s">
        <v>593</v>
      </c>
    </row>
    <row r="189">
      <c r="A189" s="79" t="str">
        <f t="shared" si="1"/>
        <v>sleepy-thorny-devil</v>
      </c>
      <c r="B189" s="63" t="str">
        <f>'analysis _non-RE-nodes'!A167</f>
        <v>Sleepy Thorny Devil</v>
      </c>
      <c r="C189" s="69" t="str">
        <f t="shared" si="3"/>
        <v>Sleepy Thorny Devil</v>
      </c>
      <c r="D189" s="69" t="str">
        <f>IFERROR(__xludf.DUMMYFUNCTION("TEXTJOIN("""", TRUE, ARRAYFORMULA(LEFT(SPLIT(C189, "" ""),1)))"),"STD")</f>
        <v>STD</v>
      </c>
      <c r="E189" s="66"/>
      <c r="F189" s="66"/>
      <c r="G189" s="66" t="s">
        <v>593</v>
      </c>
    </row>
    <row r="190">
      <c r="A190" s="79" t="str">
        <f t="shared" si="1"/>
        <v>sleepy-tree-kangaroo</v>
      </c>
      <c r="B190" s="63" t="str">
        <f>'analysis _non-RE-nodes'!A168</f>
        <v>Sleepy Tree Kangaroo</v>
      </c>
      <c r="C190" s="69" t="str">
        <f t="shared" si="3"/>
        <v>Sleepy Tree Kangaroo</v>
      </c>
      <c r="D190" s="69" t="str">
        <f>IFERROR(__xludf.DUMMYFUNCTION("TEXTJOIN("""", TRUE, ARRAYFORMULA(LEFT(SPLIT(C190, "" ""),1)))"),"STK")</f>
        <v>STK</v>
      </c>
      <c r="E190" s="66"/>
      <c r="F190" s="66"/>
      <c r="G190" s="66" t="s">
        <v>593</v>
      </c>
    </row>
    <row r="191">
      <c r="A191" s="79" t="str">
        <f t="shared" si="1"/>
        <v>sleepy-wombat</v>
      </c>
      <c r="B191" s="63" t="str">
        <f>'analysis _non-RE-nodes'!A169</f>
        <v>Sleepy Wombat</v>
      </c>
      <c r="C191" s="69" t="str">
        <f t="shared" si="3"/>
        <v>Sleepy Wombat</v>
      </c>
      <c r="D191" s="69" t="str">
        <f>IFERROR(__xludf.DUMMYFUNCTION("TEXTJOIN("""", TRUE, ARRAYFORMULA(LEFT(SPLIT(C191, "" ""),1)))"),"SW")</f>
        <v>SW</v>
      </c>
      <c r="E191" s="66"/>
      <c r="F191" s="66"/>
      <c r="G191" s="66" t="s">
        <v>593</v>
      </c>
    </row>
    <row r="192">
      <c r="A192" s="79" t="str">
        <f t="shared" si="1"/>
        <v>spotted-australian-magpie</v>
      </c>
      <c r="B192" s="63" t="str">
        <f>'analysis _non-RE-nodes'!A170</f>
        <v>Spotted Australian Magpie</v>
      </c>
      <c r="C192" s="69" t="str">
        <f t="shared" si="3"/>
        <v>Spotted Australian Magpie</v>
      </c>
      <c r="D192" s="69" t="str">
        <f>IFERROR(__xludf.DUMMYFUNCTION("TEXTJOIN("""", TRUE, ARRAYFORMULA(LEFT(SPLIT(C192, "" ""),1)))"),"SAM")</f>
        <v>SAM</v>
      </c>
      <c r="E192" s="66"/>
      <c r="F192" s="66"/>
      <c r="G192" s="66" t="s">
        <v>593</v>
      </c>
    </row>
    <row r="193">
      <c r="A193" s="79" t="str">
        <f t="shared" si="1"/>
        <v>spotted-bandicoot</v>
      </c>
      <c r="B193" s="63" t="str">
        <f>'analysis _non-RE-nodes'!A171</f>
        <v>Spotted Bandicoot</v>
      </c>
      <c r="C193" s="69" t="str">
        <f t="shared" si="3"/>
        <v>Spotted Bandicoot</v>
      </c>
      <c r="D193" s="69" t="str">
        <f>IFERROR(__xludf.DUMMYFUNCTION("TEXTJOIN("""", TRUE, ARRAYFORMULA(LEFT(SPLIT(C193, "" ""),1)))"),"SB")</f>
        <v>SB</v>
      </c>
      <c r="E193" s="66"/>
      <c r="F193" s="66"/>
      <c r="G193" s="66" t="s">
        <v>593</v>
      </c>
    </row>
    <row r="194">
      <c r="A194" s="79" t="str">
        <f t="shared" si="1"/>
        <v>spotted-bush-stone-curlew</v>
      </c>
      <c r="B194" s="63" t="str">
        <f>'analysis _non-RE-nodes'!A172</f>
        <v>Spotted Bush Stone-curlew</v>
      </c>
      <c r="C194" s="69" t="str">
        <f t="shared" si="3"/>
        <v>Spotted Bush Stone-curlew</v>
      </c>
      <c r="D194" s="69" t="str">
        <f>IFERROR(__xludf.DUMMYFUNCTION("TEXTJOIN("""", TRUE, ARRAYFORMULA(LEFT(SPLIT(C194, "" ""),1)))"),"SBS")</f>
        <v>SBS</v>
      </c>
      <c r="E194" s="66"/>
      <c r="F194" s="66"/>
      <c r="G194" s="66" t="s">
        <v>593</v>
      </c>
    </row>
    <row r="195">
      <c r="A195" s="79" t="str">
        <f t="shared" si="1"/>
        <v>spotted-echidna</v>
      </c>
      <c r="B195" s="63" t="str">
        <f>'analysis _non-RE-nodes'!A173</f>
        <v>Spotted Echidna</v>
      </c>
      <c r="C195" s="69" t="str">
        <f t="shared" si="3"/>
        <v>Spotted Echidna</v>
      </c>
      <c r="D195" s="69" t="str">
        <f>IFERROR(__xludf.DUMMYFUNCTION("TEXTJOIN("""", TRUE, ARRAYFORMULA(LEFT(SPLIT(C195, "" ""),1)))"),"SE")</f>
        <v>SE</v>
      </c>
      <c r="E195" s="66"/>
      <c r="F195" s="66"/>
      <c r="G195" s="66" t="s">
        <v>593</v>
      </c>
    </row>
    <row r="196">
      <c r="A196" s="79" t="str">
        <f t="shared" si="1"/>
        <v>spotted-fairy-penguin</v>
      </c>
      <c r="B196" s="63" t="str">
        <f>'analysis _non-RE-nodes'!A174</f>
        <v>Spotted Fairy Penguin</v>
      </c>
      <c r="C196" s="69" t="str">
        <f t="shared" si="3"/>
        <v>Spotted Fairy Penguin</v>
      </c>
      <c r="D196" s="69" t="str">
        <f>IFERROR(__xludf.DUMMYFUNCTION("TEXTJOIN("""", TRUE, ARRAYFORMULA(LEFT(SPLIT(C196, "" ""),1)))"),"SFP")</f>
        <v>SFP</v>
      </c>
      <c r="E196" s="66"/>
      <c r="F196" s="66"/>
      <c r="G196" s="66" t="s">
        <v>593</v>
      </c>
    </row>
    <row r="197">
      <c r="A197" s="79" t="str">
        <f t="shared" si="1"/>
        <v>spotted-kangaroo</v>
      </c>
      <c r="B197" s="63" t="str">
        <f>'analysis _non-RE-nodes'!A175</f>
        <v>Spotted Kangaroo</v>
      </c>
      <c r="C197" s="69" t="str">
        <f t="shared" si="3"/>
        <v>Spotted Kangaroo</v>
      </c>
      <c r="D197" s="69" t="str">
        <f>IFERROR(__xludf.DUMMYFUNCTION("TEXTJOIN("""", TRUE, ARRAYFORMULA(LEFT(SPLIT(C197, "" ""),1)))"),"SK")</f>
        <v>SK</v>
      </c>
      <c r="E197" s="66"/>
      <c r="F197" s="66"/>
      <c r="G197" s="66" t="s">
        <v>593</v>
      </c>
    </row>
    <row r="198">
      <c r="A198" s="79" t="str">
        <f t="shared" si="1"/>
        <v>spotted-platypus</v>
      </c>
      <c r="B198" s="63" t="str">
        <f>'analysis _non-RE-nodes'!A176</f>
        <v>Spotted Platypus</v>
      </c>
      <c r="C198" s="69" t="str">
        <f t="shared" si="3"/>
        <v>Spotted Platypus</v>
      </c>
      <c r="D198" s="69" t="str">
        <f>IFERROR(__xludf.DUMMYFUNCTION("TEXTJOIN("""", TRUE, ARRAYFORMULA(LEFT(SPLIT(C198, "" ""),1)))"),"SP")</f>
        <v>SP</v>
      </c>
      <c r="E198" s="66"/>
      <c r="F198" s="66"/>
      <c r="G198" s="66" t="s">
        <v>593</v>
      </c>
    </row>
    <row r="199">
      <c r="A199" s="79" t="str">
        <f t="shared" si="1"/>
        <v>spotted-possum</v>
      </c>
      <c r="B199" s="63" t="str">
        <f>'analysis _non-RE-nodes'!A177</f>
        <v>Spotted Possum</v>
      </c>
      <c r="C199" s="69" t="str">
        <f t="shared" si="3"/>
        <v>Spotted Possum</v>
      </c>
      <c r="D199" s="69" t="str">
        <f>IFERROR(__xludf.DUMMYFUNCTION("TEXTJOIN("""", TRUE, ARRAYFORMULA(LEFT(SPLIT(C199, "" ""),1)))"),"SP")</f>
        <v>SP</v>
      </c>
      <c r="E199" s="66"/>
      <c r="F199" s="66"/>
      <c r="G199" s="66" t="s">
        <v>593</v>
      </c>
    </row>
    <row r="200">
      <c r="A200" s="79" t="str">
        <f t="shared" si="1"/>
        <v>spotted-sugar-glider</v>
      </c>
      <c r="B200" s="63" t="str">
        <f>'analysis _non-RE-nodes'!A178</f>
        <v>Spotted Sugar Glider</v>
      </c>
      <c r="C200" s="69" t="str">
        <f t="shared" si="3"/>
        <v>Spotted Sugar Glider</v>
      </c>
      <c r="D200" s="69" t="str">
        <f>IFERROR(__xludf.DUMMYFUNCTION("TEXTJOIN("""", TRUE, ARRAYFORMULA(LEFT(SPLIT(C200, "" ""),1)))"),"SSG")</f>
        <v>SSG</v>
      </c>
      <c r="E200" s="66"/>
      <c r="F200" s="66"/>
      <c r="G200" s="66" t="s">
        <v>593</v>
      </c>
    </row>
    <row r="201">
      <c r="A201" s="79" t="str">
        <f t="shared" si="1"/>
        <v>spotted-tasmanian-devil</v>
      </c>
      <c r="B201" s="63" t="str">
        <f>'analysis _non-RE-nodes'!A179</f>
        <v>Spotted Tasmanian Devil</v>
      </c>
      <c r="C201" s="69" t="str">
        <f t="shared" si="3"/>
        <v>Spotted Tasmanian Devil</v>
      </c>
      <c r="D201" s="69" t="str">
        <f>IFERROR(__xludf.DUMMYFUNCTION("TEXTJOIN("""", TRUE, ARRAYFORMULA(LEFT(SPLIT(C201, "" ""),1)))"),"STD")</f>
        <v>STD</v>
      </c>
      <c r="E201" s="66"/>
      <c r="F201" s="66"/>
      <c r="G201" s="66" t="s">
        <v>593</v>
      </c>
    </row>
    <row r="202">
      <c r="A202" s="79" t="str">
        <f t="shared" si="1"/>
        <v>spotted-thorny-devil</v>
      </c>
      <c r="B202" s="63" t="str">
        <f>'analysis _non-RE-nodes'!A180</f>
        <v>Spotted Thorny Devil</v>
      </c>
      <c r="C202" s="69" t="str">
        <f t="shared" si="3"/>
        <v>Spotted Thorny Devil</v>
      </c>
      <c r="D202" s="69" t="str">
        <f>IFERROR(__xludf.DUMMYFUNCTION("TEXTJOIN("""", TRUE, ARRAYFORMULA(LEFT(SPLIT(C202, "" ""),1)))"),"STD")</f>
        <v>STD</v>
      </c>
      <c r="E202" s="66"/>
      <c r="F202" s="66"/>
      <c r="G202" s="66" t="s">
        <v>593</v>
      </c>
    </row>
    <row r="203">
      <c r="A203" s="79" t="str">
        <f t="shared" si="1"/>
        <v>striped-australian-magpie</v>
      </c>
      <c r="B203" s="63" t="str">
        <f>'analysis _non-RE-nodes'!A181</f>
        <v>Striped Australian Magpie</v>
      </c>
      <c r="C203" s="69" t="str">
        <f t="shared" si="3"/>
        <v>Striped Australian Magpie</v>
      </c>
      <c r="D203" s="69" t="str">
        <f>IFERROR(__xludf.DUMMYFUNCTION("TEXTJOIN("""", TRUE, ARRAYFORMULA(LEFT(SPLIT(C203, "" ""),1)))"),"SAM")</f>
        <v>SAM</v>
      </c>
      <c r="E203" s="66"/>
      <c r="F203" s="66"/>
      <c r="G203" s="66" t="s">
        <v>593</v>
      </c>
    </row>
    <row r="204">
      <c r="A204" s="79" t="str">
        <f t="shared" si="1"/>
        <v>striped-bandicoot</v>
      </c>
      <c r="B204" s="63" t="str">
        <f>'analysis _non-RE-nodes'!A182</f>
        <v>Striped Bandicoot</v>
      </c>
      <c r="C204" s="69" t="str">
        <f t="shared" si="3"/>
        <v>Striped Bandicoot</v>
      </c>
      <c r="D204" s="69" t="str">
        <f>IFERROR(__xludf.DUMMYFUNCTION("TEXTJOIN("""", TRUE, ARRAYFORMULA(LEFT(SPLIT(C204, "" ""),1)))"),"SB")</f>
        <v>SB</v>
      </c>
      <c r="E204" s="66"/>
      <c r="F204" s="66"/>
      <c r="G204" s="66" t="s">
        <v>593</v>
      </c>
    </row>
    <row r="205">
      <c r="A205" s="79" t="str">
        <f t="shared" si="1"/>
        <v>striped-bilby</v>
      </c>
      <c r="B205" s="63" t="str">
        <f>'analysis _non-RE-nodes'!A183</f>
        <v>Striped Bilby</v>
      </c>
      <c r="C205" s="69" t="str">
        <f t="shared" si="3"/>
        <v>Striped Bilby</v>
      </c>
      <c r="D205" s="69" t="str">
        <f>IFERROR(__xludf.DUMMYFUNCTION("TEXTJOIN("""", TRUE, ARRAYFORMULA(LEFT(SPLIT(C205, "" ""),1)))"),"SB")</f>
        <v>SB</v>
      </c>
      <c r="E205" s="66"/>
      <c r="F205" s="66"/>
      <c r="G205" s="66" t="s">
        <v>593</v>
      </c>
    </row>
    <row r="206">
      <c r="A206" s="79" t="str">
        <f t="shared" si="1"/>
        <v>striped-bush-stone-curlew</v>
      </c>
      <c r="B206" s="63" t="str">
        <f>'analysis _non-RE-nodes'!A184</f>
        <v>Striped Bush Stone-curlew</v>
      </c>
      <c r="C206" s="69" t="str">
        <f t="shared" si="3"/>
        <v>Striped Bush Stone-curlew</v>
      </c>
      <c r="D206" s="69" t="str">
        <f>IFERROR(__xludf.DUMMYFUNCTION("TEXTJOIN("""", TRUE, ARRAYFORMULA(LEFT(SPLIT(C206, "" ""),1)))"),"SBS")</f>
        <v>SBS</v>
      </c>
      <c r="E206" s="66"/>
      <c r="F206" s="66"/>
      <c r="G206" s="66" t="s">
        <v>593</v>
      </c>
    </row>
    <row r="207">
      <c r="A207" s="79" t="str">
        <f t="shared" si="1"/>
        <v>striped-echidna</v>
      </c>
      <c r="B207" s="63" t="str">
        <f>'analysis _non-RE-nodes'!A185</f>
        <v>Striped Echidna</v>
      </c>
      <c r="C207" s="69" t="str">
        <f t="shared" si="3"/>
        <v>Striped Echidna</v>
      </c>
      <c r="D207" s="69" t="str">
        <f>IFERROR(__xludf.DUMMYFUNCTION("TEXTJOIN("""", TRUE, ARRAYFORMULA(LEFT(SPLIT(C207, "" ""),1)))"),"SE")</f>
        <v>SE</v>
      </c>
      <c r="E207" s="66"/>
      <c r="F207" s="66"/>
      <c r="G207" s="66" t="s">
        <v>593</v>
      </c>
    </row>
    <row r="208">
      <c r="A208" s="79" t="str">
        <f t="shared" si="1"/>
        <v>striped-quokka</v>
      </c>
      <c r="B208" s="63" t="str">
        <f>'analysis _non-RE-nodes'!A186</f>
        <v>Striped Quokka</v>
      </c>
      <c r="C208" s="69" t="str">
        <f t="shared" si="3"/>
        <v>Striped Quokka</v>
      </c>
      <c r="D208" s="69" t="str">
        <f>IFERROR(__xludf.DUMMYFUNCTION("TEXTJOIN("""", TRUE, ARRAYFORMULA(LEFT(SPLIT(C208, "" ""),1)))"),"SQ")</f>
        <v>SQ</v>
      </c>
      <c r="E208" s="66"/>
      <c r="F208" s="66"/>
      <c r="G208" s="66" t="s">
        <v>593</v>
      </c>
    </row>
    <row r="209">
      <c r="A209" s="79" t="str">
        <f t="shared" si="1"/>
        <v>striped-tasmanian-devil</v>
      </c>
      <c r="B209" s="63" t="str">
        <f>'analysis _non-RE-nodes'!A187</f>
        <v>Striped Tasmanian Devil</v>
      </c>
      <c r="C209" s="69" t="str">
        <f t="shared" si="3"/>
        <v>Striped Tasmanian Devil</v>
      </c>
      <c r="D209" s="69" t="str">
        <f>IFERROR(__xludf.DUMMYFUNCTION("TEXTJOIN("""", TRUE, ARRAYFORMULA(LEFT(SPLIT(C209, "" ""),1)))"),"STD")</f>
        <v>STD</v>
      </c>
      <c r="E209" s="66"/>
      <c r="F209" s="66"/>
      <c r="G209" s="66" t="s">
        <v>593</v>
      </c>
    </row>
    <row r="210">
      <c r="A210" s="79" t="str">
        <f t="shared" si="1"/>
        <v>striped-tree-kangaroo</v>
      </c>
      <c r="B210" s="63" t="str">
        <f>'analysis _non-RE-nodes'!A188</f>
        <v>Striped Tree Kangaroo</v>
      </c>
      <c r="C210" s="69" t="str">
        <f t="shared" si="3"/>
        <v>Striped Tree Kangaroo</v>
      </c>
      <c r="D210" s="69" t="str">
        <f>IFERROR(__xludf.DUMMYFUNCTION("TEXTJOIN("""", TRUE, ARRAYFORMULA(LEFT(SPLIT(C210, "" ""),1)))"),"STK")</f>
        <v>STK</v>
      </c>
      <c r="E210" s="66"/>
      <c r="F210" s="66"/>
      <c r="G210" s="66" t="s">
        <v>593</v>
      </c>
    </row>
    <row r="211">
      <c r="A211" s="79" t="str">
        <f t="shared" si="1"/>
        <v>swift-bush-stone-curlew</v>
      </c>
      <c r="B211" s="63" t="str">
        <f>'analysis _non-RE-nodes'!A189</f>
        <v>Swift Bush Stone-curlew</v>
      </c>
      <c r="C211" s="69" t="str">
        <f t="shared" si="3"/>
        <v>Swift Bush Stone-curlew</v>
      </c>
      <c r="D211" s="69" t="str">
        <f>IFERROR(__xludf.DUMMYFUNCTION("TEXTJOIN("""", TRUE, ARRAYFORMULA(LEFT(SPLIT(C211, "" ""),1)))"),"SBS")</f>
        <v>SBS</v>
      </c>
      <c r="E211" s="66"/>
      <c r="F211" s="66"/>
      <c r="G211" s="66" t="s">
        <v>593</v>
      </c>
    </row>
    <row r="212">
      <c r="A212" s="79" t="str">
        <f t="shared" si="1"/>
        <v>swift-emu</v>
      </c>
      <c r="B212" s="63" t="str">
        <f>'analysis _non-RE-nodes'!A190</f>
        <v>Swift Emu</v>
      </c>
      <c r="C212" s="69" t="str">
        <f t="shared" si="3"/>
        <v>Swift Emu</v>
      </c>
      <c r="D212" s="69" t="str">
        <f>IFERROR(__xludf.DUMMYFUNCTION("TEXTJOIN("""", TRUE, ARRAYFORMULA(LEFT(SPLIT(C212, "" ""),1)))"),"SE")</f>
        <v>SE</v>
      </c>
      <c r="E212" s="66"/>
      <c r="F212" s="66"/>
      <c r="G212" s="66" t="s">
        <v>593</v>
      </c>
    </row>
    <row r="213">
      <c r="A213" s="79" t="str">
        <f t="shared" si="1"/>
        <v>swift-fairy-penguin</v>
      </c>
      <c r="B213" s="63" t="str">
        <f>'analysis _non-RE-nodes'!A191</f>
        <v>Swift Fairy Penguin</v>
      </c>
      <c r="C213" s="69" t="str">
        <f t="shared" si="3"/>
        <v>Swift Fairy Penguin</v>
      </c>
      <c r="D213" s="69" t="str">
        <f>IFERROR(__xludf.DUMMYFUNCTION("TEXTJOIN("""", TRUE, ARRAYFORMULA(LEFT(SPLIT(C213, "" ""),1)))"),"SFP")</f>
        <v>SFP</v>
      </c>
      <c r="E213" s="66"/>
      <c r="F213" s="66"/>
      <c r="G213" s="66" t="s">
        <v>593</v>
      </c>
    </row>
    <row r="214">
      <c r="A214" s="79" t="str">
        <f t="shared" si="1"/>
        <v>swift-lyrebird</v>
      </c>
      <c r="B214" s="63" t="str">
        <f>'analysis _non-RE-nodes'!A192</f>
        <v>Swift Lyrebird</v>
      </c>
      <c r="C214" s="69" t="str">
        <f t="shared" si="3"/>
        <v>Swift Lyrebird</v>
      </c>
      <c r="D214" s="69" t="str">
        <f>IFERROR(__xludf.DUMMYFUNCTION("TEXTJOIN("""", TRUE, ARRAYFORMULA(LEFT(SPLIT(C214, "" ""),1)))"),"SL")</f>
        <v>SL</v>
      </c>
      <c r="E214" s="66"/>
      <c r="F214" s="66"/>
      <c r="G214" s="66" t="s">
        <v>593</v>
      </c>
    </row>
    <row r="215">
      <c r="A215" s="79" t="str">
        <f t="shared" si="1"/>
        <v>swift-platypus</v>
      </c>
      <c r="B215" s="63" t="str">
        <f>'analysis _non-RE-nodes'!A193</f>
        <v>Swift Platypus</v>
      </c>
      <c r="C215" s="69" t="str">
        <f t="shared" si="3"/>
        <v>Swift Platypus</v>
      </c>
      <c r="D215" s="69" t="str">
        <f>IFERROR(__xludf.DUMMYFUNCTION("TEXTJOIN("""", TRUE, ARRAYFORMULA(LEFT(SPLIT(C215, "" ""),1)))"),"SP")</f>
        <v>SP</v>
      </c>
      <c r="E215" s="66"/>
      <c r="F215" s="66"/>
      <c r="G215" s="66" t="s">
        <v>593</v>
      </c>
    </row>
    <row r="216">
      <c r="A216" s="79" t="str">
        <f t="shared" si="1"/>
        <v>swift-redback-spider</v>
      </c>
      <c r="B216" s="63" t="str">
        <f>'analysis _non-RE-nodes'!A194</f>
        <v>Swift Redback Spider</v>
      </c>
      <c r="C216" s="69" t="str">
        <f t="shared" si="3"/>
        <v>Swift Redback Spider</v>
      </c>
      <c r="D216" s="69" t="str">
        <f>IFERROR(__xludf.DUMMYFUNCTION("TEXTJOIN("""", TRUE, ARRAYFORMULA(LEFT(SPLIT(C216, "" ""),1)))"),"SRS")</f>
        <v>SRS</v>
      </c>
      <c r="E216" s="66"/>
      <c r="F216" s="66"/>
      <c r="G216" s="66" t="s">
        <v>593</v>
      </c>
    </row>
    <row r="217">
      <c r="A217" s="79" t="str">
        <f t="shared" si="1"/>
        <v>swift-sugar-glider</v>
      </c>
      <c r="B217" s="63" t="str">
        <f>'analysis _non-RE-nodes'!A195</f>
        <v>Swift Sugar Glider</v>
      </c>
      <c r="C217" s="69" t="str">
        <f t="shared" si="3"/>
        <v>Swift Sugar Glider</v>
      </c>
      <c r="D217" s="69" t="str">
        <f>IFERROR(__xludf.DUMMYFUNCTION("TEXTJOIN("""", TRUE, ARRAYFORMULA(LEFT(SPLIT(C217, "" ""),1)))"),"SSG")</f>
        <v>SSG</v>
      </c>
      <c r="E217" s="66"/>
      <c r="F217" s="66"/>
      <c r="G217" s="66" t="s">
        <v>593</v>
      </c>
    </row>
    <row r="218">
      <c r="A218" s="79" t="str">
        <f t="shared" si="1"/>
        <v>tiny-bandicoot</v>
      </c>
      <c r="B218" s="63" t="str">
        <f>'analysis _non-RE-nodes'!A196</f>
        <v>Tiny Bandicoot</v>
      </c>
      <c r="C218" s="69" t="str">
        <f t="shared" si="3"/>
        <v>Tiny Bandicoot</v>
      </c>
      <c r="D218" s="69" t="str">
        <f>IFERROR(__xludf.DUMMYFUNCTION("TEXTJOIN("""", TRUE, ARRAYFORMULA(LEFT(SPLIT(C218, "" ""),1)))"),"TB")</f>
        <v>TB</v>
      </c>
      <c r="E218" s="66"/>
      <c r="F218" s="66"/>
      <c r="G218" s="66" t="s">
        <v>593</v>
      </c>
    </row>
    <row r="219">
      <c r="A219" s="79" t="str">
        <f t="shared" si="1"/>
        <v>tiny-cockatoo</v>
      </c>
      <c r="B219" s="63" t="str">
        <f>'analysis _non-RE-nodes'!A197</f>
        <v>Tiny Cockatoo</v>
      </c>
      <c r="C219" s="69" t="str">
        <f t="shared" si="3"/>
        <v>Tiny Cockatoo</v>
      </c>
      <c r="D219" s="69" t="str">
        <f>IFERROR(__xludf.DUMMYFUNCTION("TEXTJOIN("""", TRUE, ARRAYFORMULA(LEFT(SPLIT(C219, "" ""),1)))"),"TC")</f>
        <v>TC</v>
      </c>
      <c r="E219" s="66"/>
      <c r="F219" s="66"/>
      <c r="G219" s="66" t="s">
        <v>593</v>
      </c>
    </row>
    <row r="220">
      <c r="A220" s="79" t="str">
        <f t="shared" si="1"/>
        <v>tiny-dingo</v>
      </c>
      <c r="B220" s="63" t="str">
        <f>'analysis _non-RE-nodes'!A198</f>
        <v>Tiny Dingo</v>
      </c>
      <c r="C220" s="69" t="str">
        <f t="shared" si="3"/>
        <v>Tiny Dingo</v>
      </c>
      <c r="D220" s="69" t="str">
        <f>IFERROR(__xludf.DUMMYFUNCTION("TEXTJOIN("""", TRUE, ARRAYFORMULA(LEFT(SPLIT(C220, "" ""),1)))"),"TD")</f>
        <v>TD</v>
      </c>
      <c r="E220" s="66"/>
      <c r="F220" s="66"/>
      <c r="G220" s="66" t="s">
        <v>593</v>
      </c>
    </row>
    <row r="221">
      <c r="A221" s="79" t="str">
        <f t="shared" si="1"/>
        <v>tiny-echidna</v>
      </c>
      <c r="B221" s="63" t="str">
        <f>'analysis _non-RE-nodes'!A199</f>
        <v>Tiny Echidna</v>
      </c>
      <c r="C221" s="69" t="str">
        <f t="shared" si="3"/>
        <v>Tiny Echidna</v>
      </c>
      <c r="D221" s="69" t="str">
        <f>IFERROR(__xludf.DUMMYFUNCTION("TEXTJOIN("""", TRUE, ARRAYFORMULA(LEFT(SPLIT(C221, "" ""),1)))"),"TE")</f>
        <v>TE</v>
      </c>
      <c r="E221" s="66"/>
      <c r="F221" s="66"/>
      <c r="G221" s="66" t="s">
        <v>593</v>
      </c>
    </row>
    <row r="222">
      <c r="A222" s="79" t="str">
        <f t="shared" si="1"/>
        <v>tiny-fairy-penguin</v>
      </c>
      <c r="B222" s="63" t="str">
        <f>'analysis _non-RE-nodes'!A200</f>
        <v>Tiny Fairy Penguin</v>
      </c>
      <c r="C222" s="69" t="str">
        <f t="shared" si="3"/>
        <v>Tiny Fairy Penguin</v>
      </c>
      <c r="D222" s="69" t="str">
        <f>IFERROR(__xludf.DUMMYFUNCTION("TEXTJOIN("""", TRUE, ARRAYFORMULA(LEFT(SPLIT(C222, "" ""),1)))"),"TFP")</f>
        <v>TFP</v>
      </c>
      <c r="E222" s="66"/>
      <c r="F222" s="66"/>
      <c r="G222" s="66" t="s">
        <v>593</v>
      </c>
    </row>
    <row r="223">
      <c r="A223" s="79" t="str">
        <f t="shared" si="1"/>
        <v>tiny-goanna</v>
      </c>
      <c r="B223" s="63" t="str">
        <f>'analysis _non-RE-nodes'!A201</f>
        <v>Tiny Goanna</v>
      </c>
      <c r="C223" s="69" t="str">
        <f t="shared" si="3"/>
        <v>Tiny Goanna</v>
      </c>
      <c r="D223" s="69" t="str">
        <f>IFERROR(__xludf.DUMMYFUNCTION("TEXTJOIN("""", TRUE, ARRAYFORMULA(LEFT(SPLIT(C223, "" ""),1)))"),"TG")</f>
        <v>TG</v>
      </c>
      <c r="E223" s="66"/>
      <c r="F223" s="66"/>
      <c r="G223" s="66" t="s">
        <v>593</v>
      </c>
    </row>
    <row r="224">
      <c r="A224" s="79" t="str">
        <f t="shared" si="1"/>
        <v>tiny-numbat</v>
      </c>
      <c r="B224" s="63" t="str">
        <f>'analysis _non-RE-nodes'!A202</f>
        <v>Tiny Numbat</v>
      </c>
      <c r="C224" s="69" t="str">
        <f t="shared" si="3"/>
        <v>Tiny Numbat</v>
      </c>
      <c r="D224" s="69" t="str">
        <f>IFERROR(__xludf.DUMMYFUNCTION("TEXTJOIN("""", TRUE, ARRAYFORMULA(LEFT(SPLIT(C224, "" ""),1)))"),"TN")</f>
        <v>TN</v>
      </c>
      <c r="E224" s="66"/>
      <c r="F224" s="66"/>
      <c r="G224" s="66" t="s">
        <v>593</v>
      </c>
    </row>
    <row r="225">
      <c r="A225" s="79" t="str">
        <f t="shared" si="1"/>
        <v>tiny-possum</v>
      </c>
      <c r="B225" s="63" t="str">
        <f>'analysis _non-RE-nodes'!A203</f>
        <v>Tiny Possum</v>
      </c>
      <c r="C225" s="69" t="str">
        <f t="shared" si="3"/>
        <v>Tiny Possum</v>
      </c>
      <c r="D225" s="69" t="str">
        <f>IFERROR(__xludf.DUMMYFUNCTION("TEXTJOIN("""", TRUE, ARRAYFORMULA(LEFT(SPLIT(C225, "" ""),1)))"),"TP")</f>
        <v>TP</v>
      </c>
      <c r="E225" s="66"/>
      <c r="F225" s="66"/>
      <c r="G225" s="66" t="s">
        <v>593</v>
      </c>
    </row>
    <row r="226">
      <c r="A226" s="79" t="str">
        <f t="shared" si="1"/>
        <v>wild-blue-tongue-skink</v>
      </c>
      <c r="B226" s="63" t="str">
        <f>'analysis _non-RE-nodes'!A204</f>
        <v>Wild Blue-tongue Skink</v>
      </c>
      <c r="C226" s="69" t="str">
        <f t="shared" si="3"/>
        <v>Wild Blue-tongue Skink</v>
      </c>
      <c r="D226" s="69" t="str">
        <f>IFERROR(__xludf.DUMMYFUNCTION("TEXTJOIN("""", TRUE, ARRAYFORMULA(LEFT(SPLIT(C226, "" ""),1)))"),"WBS")</f>
        <v>WBS</v>
      </c>
      <c r="E226" s="66"/>
      <c r="F226" s="66"/>
      <c r="G226" s="66" t="s">
        <v>593</v>
      </c>
    </row>
    <row r="227">
      <c r="A227" s="79" t="str">
        <f t="shared" si="1"/>
        <v>wild-dingo</v>
      </c>
      <c r="B227" s="63" t="str">
        <f>'analysis _non-RE-nodes'!A205</f>
        <v>Wild Dingo</v>
      </c>
      <c r="C227" s="69" t="str">
        <f t="shared" si="3"/>
        <v>Wild Dingo</v>
      </c>
      <c r="D227" s="69" t="str">
        <f>IFERROR(__xludf.DUMMYFUNCTION("TEXTJOIN("""", TRUE, ARRAYFORMULA(LEFT(SPLIT(C227, "" ""),1)))"),"WD")</f>
        <v>WD</v>
      </c>
      <c r="E227" s="66"/>
      <c r="F227" s="66"/>
      <c r="G227" s="66" t="s">
        <v>593</v>
      </c>
    </row>
    <row r="228">
      <c r="A228" s="79" t="str">
        <f t="shared" si="1"/>
        <v>wild-fairy-penguin</v>
      </c>
      <c r="B228" s="63" t="str">
        <f>'analysis _non-RE-nodes'!A206</f>
        <v>Wild Fairy Penguin</v>
      </c>
      <c r="C228" s="69" t="str">
        <f t="shared" si="3"/>
        <v>Wild Fairy Penguin</v>
      </c>
      <c r="D228" s="69" t="str">
        <f>IFERROR(__xludf.DUMMYFUNCTION("TEXTJOIN("""", TRUE, ARRAYFORMULA(LEFT(SPLIT(C228, "" ""),1)))"),"WFP")</f>
        <v>WFP</v>
      </c>
      <c r="E228" s="66"/>
      <c r="F228" s="66"/>
      <c r="G228" s="66" t="s">
        <v>593</v>
      </c>
    </row>
    <row r="229">
      <c r="A229" s="79" t="str">
        <f t="shared" si="1"/>
        <v>wild-koala</v>
      </c>
      <c r="B229" s="63" t="str">
        <f>'analysis _non-RE-nodes'!A207</f>
        <v>Wild Koala</v>
      </c>
      <c r="C229" s="69" t="str">
        <f t="shared" si="3"/>
        <v>Wild Koala</v>
      </c>
      <c r="D229" s="69" t="str">
        <f>IFERROR(__xludf.DUMMYFUNCTION("TEXTJOIN("""", TRUE, ARRAYFORMULA(LEFT(SPLIT(C229, "" ""),1)))"),"WK")</f>
        <v>WK</v>
      </c>
      <c r="E229" s="66"/>
      <c r="F229" s="66"/>
      <c r="G229" s="66" t="s">
        <v>593</v>
      </c>
    </row>
    <row r="230">
      <c r="A230" s="79" t="str">
        <f t="shared" si="1"/>
        <v>wild-quokka</v>
      </c>
      <c r="B230" s="63" t="str">
        <f>'analysis _non-RE-nodes'!A208</f>
        <v>Wild Quokka</v>
      </c>
      <c r="C230" s="69" t="str">
        <f t="shared" si="3"/>
        <v>Wild Quokka</v>
      </c>
      <c r="D230" s="69" t="str">
        <f>IFERROR(__xludf.DUMMYFUNCTION("TEXTJOIN("""", TRUE, ARRAYFORMULA(LEFT(SPLIT(C230, "" ""),1)))"),"WQ")</f>
        <v>WQ</v>
      </c>
      <c r="E230" s="66"/>
      <c r="F230" s="66"/>
      <c r="G230" s="66" t="s">
        <v>593</v>
      </c>
    </row>
    <row r="231">
      <c r="A231" s="79" t="str">
        <f t="shared" si="1"/>
        <v>wild-rosella</v>
      </c>
      <c r="B231" s="63" t="str">
        <f>'analysis _non-RE-nodes'!A209</f>
        <v>Wild Rosella</v>
      </c>
      <c r="C231" s="69" t="str">
        <f t="shared" si="3"/>
        <v>Wild Rosella</v>
      </c>
      <c r="D231" s="69" t="str">
        <f>IFERROR(__xludf.DUMMYFUNCTION("TEXTJOIN("""", TRUE, ARRAYFORMULA(LEFT(SPLIT(C231, "" ""),1)))"),"WR")</f>
        <v>WR</v>
      </c>
      <c r="E231" s="66"/>
      <c r="F231" s="66"/>
      <c r="G231" s="66" t="s">
        <v>593</v>
      </c>
    </row>
    <row r="232">
      <c r="A232" s="79" t="str">
        <f t="shared" si="1"/>
        <v>wild-thorny-devil</v>
      </c>
      <c r="B232" s="63" t="str">
        <f>'analysis _non-RE-nodes'!A210</f>
        <v>Wild Thorny Devil</v>
      </c>
      <c r="C232" s="69" t="str">
        <f t="shared" si="3"/>
        <v>Wild Thorny Devil</v>
      </c>
      <c r="D232" s="69" t="str">
        <f>IFERROR(__xludf.DUMMYFUNCTION("TEXTJOIN("""", TRUE, ARRAYFORMULA(LEFT(SPLIT(C232, "" ""),1)))"),"WTD")</f>
        <v>WTD</v>
      </c>
      <c r="E232" s="66"/>
      <c r="F232" s="66"/>
      <c r="G232" s="66" t="s">
        <v>593</v>
      </c>
    </row>
    <row r="233">
      <c r="A233" s="79" t="str">
        <f t="shared" si="1"/>
        <v>wild-wombat</v>
      </c>
      <c r="B233" s="63" t="str">
        <f>'analysis _non-RE-nodes'!A211</f>
        <v>Wild Wombat</v>
      </c>
      <c r="C233" s="69" t="str">
        <f t="shared" si="3"/>
        <v>Wild Wombat</v>
      </c>
      <c r="D233" s="69" t="str">
        <f>IFERROR(__xludf.DUMMYFUNCTION("TEXTJOIN("""", TRUE, ARRAYFORMULA(LEFT(SPLIT(C233, "" ""),1)))"),"WW")</f>
        <v>WW</v>
      </c>
      <c r="E233" s="66"/>
      <c r="F233" s="66"/>
      <c r="G233" s="66" t="s">
        <v>593</v>
      </c>
    </row>
    <row r="234">
      <c r="A234" s="79" t="str">
        <f t="shared" si="1"/>
        <v>yellow-blue-tongue-skink</v>
      </c>
      <c r="B234" s="63" t="str">
        <f>'analysis _non-RE-nodes'!A212</f>
        <v>Yellow Blue-tongue Skink</v>
      </c>
      <c r="C234" s="69" t="str">
        <f t="shared" si="3"/>
        <v>Yellow Blue-tongue Skink</v>
      </c>
      <c r="D234" s="69" t="str">
        <f>IFERROR(__xludf.DUMMYFUNCTION("TEXTJOIN("""", TRUE, ARRAYFORMULA(LEFT(SPLIT(C234, "" ""),1)))"),"YBS")</f>
        <v>YBS</v>
      </c>
      <c r="E234" s="66"/>
      <c r="F234" s="66"/>
      <c r="G234" s="66" t="s">
        <v>593</v>
      </c>
    </row>
    <row r="235">
      <c r="A235" s="79" t="str">
        <f t="shared" si="1"/>
        <v>yellow-cockatoo</v>
      </c>
      <c r="B235" s="63" t="str">
        <f>'analysis _non-RE-nodes'!A213</f>
        <v>Yellow Cockatoo</v>
      </c>
      <c r="C235" s="69" t="str">
        <f t="shared" si="3"/>
        <v>Yellow Cockatoo</v>
      </c>
      <c r="D235" s="69" t="str">
        <f>IFERROR(__xludf.DUMMYFUNCTION("TEXTJOIN("""", TRUE, ARRAYFORMULA(LEFT(SPLIT(C235, "" ""),1)))"),"YC")</f>
        <v>YC</v>
      </c>
      <c r="E235" s="66"/>
      <c r="F235" s="66"/>
      <c r="G235" s="66" t="s">
        <v>593</v>
      </c>
    </row>
    <row r="236">
      <c r="A236" s="79" t="str">
        <f t="shared" si="1"/>
        <v>yellow-echidna</v>
      </c>
      <c r="B236" s="63" t="str">
        <f>'analysis _non-RE-nodes'!A214</f>
        <v>Yellow Echidna</v>
      </c>
      <c r="C236" s="69" t="str">
        <f t="shared" si="3"/>
        <v>Yellow Echidna</v>
      </c>
      <c r="D236" s="69" t="str">
        <f>IFERROR(__xludf.DUMMYFUNCTION("TEXTJOIN("""", TRUE, ARRAYFORMULA(LEFT(SPLIT(C236, "" ""),1)))"),"YE")</f>
        <v>YE</v>
      </c>
      <c r="E236" s="66"/>
      <c r="F236" s="66"/>
      <c r="G236" s="66" t="s">
        <v>593</v>
      </c>
    </row>
    <row r="237">
      <c r="A237" s="79" t="str">
        <f t="shared" si="1"/>
        <v>yellow-fairy-penguin</v>
      </c>
      <c r="B237" s="63" t="str">
        <f>'analysis _non-RE-nodes'!A215</f>
        <v>Yellow Fairy Penguin</v>
      </c>
      <c r="C237" s="69" t="str">
        <f t="shared" si="3"/>
        <v>Yellow Fairy Penguin</v>
      </c>
      <c r="D237" s="69" t="str">
        <f>IFERROR(__xludf.DUMMYFUNCTION("TEXTJOIN("""", TRUE, ARRAYFORMULA(LEFT(SPLIT(C237, "" ""),1)))"),"YFP")</f>
        <v>YFP</v>
      </c>
      <c r="E237" s="66"/>
      <c r="F237" s="66"/>
      <c r="G237" s="66" t="s">
        <v>593</v>
      </c>
    </row>
    <row r="238">
      <c r="A238" s="79" t="str">
        <f t="shared" si="1"/>
        <v>yellow-frilled-neck-lizard</v>
      </c>
      <c r="B238" s="63" t="str">
        <f>'analysis _non-RE-nodes'!A216</f>
        <v>Yellow Frilled Neck Lizard</v>
      </c>
      <c r="C238" s="69" t="str">
        <f t="shared" si="3"/>
        <v>Yellow Frilled Neck Lizard</v>
      </c>
      <c r="D238" s="69" t="str">
        <f>IFERROR(__xludf.DUMMYFUNCTION("TEXTJOIN("""", TRUE, ARRAYFORMULA(LEFT(SPLIT(C238, "" ""),1)))"),"YFNL")</f>
        <v>YFNL</v>
      </c>
      <c r="E238" s="66"/>
      <c r="F238" s="66"/>
      <c r="G238" s="66" t="s">
        <v>593</v>
      </c>
    </row>
    <row r="239">
      <c r="A239" s="79" t="str">
        <f t="shared" si="1"/>
        <v>yellow-platypus</v>
      </c>
      <c r="B239" s="63" t="str">
        <f>'analysis _non-RE-nodes'!A217</f>
        <v>Yellow Platypus</v>
      </c>
      <c r="C239" s="69" t="str">
        <f t="shared" si="3"/>
        <v>Yellow Platypus</v>
      </c>
      <c r="D239" s="69" t="str">
        <f>IFERROR(__xludf.DUMMYFUNCTION("TEXTJOIN("""", TRUE, ARRAYFORMULA(LEFT(SPLIT(C239, "" ""),1)))"),"YP")</f>
        <v>YP</v>
      </c>
      <c r="E239" s="66"/>
      <c r="F239" s="66"/>
      <c r="G239" s="66" t="s">
        <v>593</v>
      </c>
    </row>
    <row r="240">
      <c r="A240" s="79" t="str">
        <f t="shared" si="1"/>
        <v>yellow-redback-spider</v>
      </c>
      <c r="B240" s="63" t="str">
        <f>'analysis _non-RE-nodes'!A218</f>
        <v>Yellow Redback Spider</v>
      </c>
      <c r="C240" s="69" t="str">
        <f t="shared" si="3"/>
        <v>Yellow Redback Spider</v>
      </c>
      <c r="D240" s="69" t="str">
        <f>IFERROR(__xludf.DUMMYFUNCTION("TEXTJOIN("""", TRUE, ARRAYFORMULA(LEFT(SPLIT(C240, "" ""),1)))"),"YRS")</f>
        <v>YRS</v>
      </c>
      <c r="E240" s="66"/>
      <c r="F240" s="66"/>
      <c r="G240" s="66" t="s">
        <v>593</v>
      </c>
    </row>
    <row r="241">
      <c r="A241" s="79" t="str">
        <f t="shared" si="1"/>
        <v>yellow-thorny-devil</v>
      </c>
      <c r="B241" s="63" t="str">
        <f>'analysis _non-RE-nodes'!A219</f>
        <v>Yellow Thorny Devil</v>
      </c>
      <c r="C241" s="69" t="str">
        <f t="shared" si="3"/>
        <v>Yellow Thorny Devil</v>
      </c>
      <c r="D241" s="69" t="str">
        <f>IFERROR(__xludf.DUMMYFUNCTION("TEXTJOIN("""", TRUE, ARRAYFORMULA(LEFT(SPLIT(C241, "" ""),1)))"),"YTD")</f>
        <v>YTD</v>
      </c>
      <c r="E241" s="66"/>
      <c r="F241" s="66"/>
      <c r="G241" s="66" t="s">
        <v>593</v>
      </c>
    </row>
    <row r="242">
      <c r="A242" s="79" t="str">
        <f t="shared" si="1"/>
        <v>yellow-tree-kangaroo</v>
      </c>
      <c r="B242" s="63" t="str">
        <f>'analysis _non-RE-nodes'!A220</f>
        <v>Yellow Tree Kangaroo</v>
      </c>
      <c r="C242" s="69" t="str">
        <f t="shared" si="3"/>
        <v>Yellow Tree Kangaroo</v>
      </c>
      <c r="D242" s="69" t="str">
        <f>IFERROR(__xludf.DUMMYFUNCTION("TEXTJOIN("""", TRUE, ARRAYFORMULA(LEFT(SPLIT(C242, "" ""),1)))"),"YTK")</f>
        <v>YTK</v>
      </c>
      <c r="E242" s="66"/>
      <c r="F242" s="66"/>
      <c r="G242" s="66" t="s">
        <v>593</v>
      </c>
    </row>
    <row r="243">
      <c r="A243" s="80" t="str">
        <f t="shared" si="1"/>
        <v>yellow-wombat</v>
      </c>
      <c r="B243" s="63" t="str">
        <f>'analysis _non-RE-nodes'!A221</f>
        <v>Yellow Wombat</v>
      </c>
      <c r="C243" s="81" t="str">
        <f t="shared" si="3"/>
        <v>Yellow Wombat</v>
      </c>
      <c r="D243" s="81" t="str">
        <f>IFERROR(__xludf.DUMMYFUNCTION("TEXTJOIN("""", TRUE, ARRAYFORMULA(LEFT(SPLIT(C243, "" ""),1)))"),"YW")</f>
        <v>YW</v>
      </c>
      <c r="E243" s="5"/>
      <c r="F243" s="66"/>
      <c r="G243" s="66" t="s">
        <v>593</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18.38"/>
    <col customWidth="1" min="3" max="3" width="10.5"/>
    <col customWidth="1" min="4" max="4" width="14.13"/>
    <col customWidth="1" min="5" max="7" width="10.25"/>
    <col customWidth="1" min="10" max="10" width="12.63"/>
    <col customWidth="1" min="12" max="12" width="11.75"/>
    <col customWidth="1" min="13" max="13" width="16.63"/>
  </cols>
  <sheetData>
    <row r="1" ht="34.5" customHeight="1">
      <c r="A1" s="82" t="str">
        <f t="array" ref="A1:N1">TRANSPOSE('meta-link-question-map'!A2:A15)</f>
        <v>node-to</v>
      </c>
      <c r="B1" s="82" t="s">
        <v>594</v>
      </c>
      <c r="C1" s="82" t="s">
        <v>595</v>
      </c>
      <c r="D1" s="82" t="s">
        <v>596</v>
      </c>
      <c r="E1" s="82" t="s">
        <v>597</v>
      </c>
      <c r="F1" s="82" t="s">
        <v>598</v>
      </c>
      <c r="G1" s="82" t="s">
        <v>599</v>
      </c>
      <c r="H1" s="82" t="s">
        <v>600</v>
      </c>
      <c r="I1" s="82" t="s">
        <v>601</v>
      </c>
      <c r="J1" s="82" t="s">
        <v>602</v>
      </c>
      <c r="K1" s="83" t="s">
        <v>603</v>
      </c>
      <c r="L1" s="82" t="s">
        <v>604</v>
      </c>
      <c r="M1" s="82" t="s">
        <v>605</v>
      </c>
      <c r="N1" s="83" t="s">
        <v>606</v>
      </c>
    </row>
    <row r="2" ht="15.0" customHeight="1">
      <c r="A2" s="84" t="str">
        <f>Substitute(SUBSTITUTE(substitute(substitute(substitute(substitute(substitute(substitute(substitute(lower('source-upstream'!A2)," ","-"),"(",""),")",""),"&gt;",""),"&lt;",""),"---","-"),".","-"),"--","-"),"&amp;","-and-")</f>
        <v>blue-lyrebird</v>
      </c>
      <c r="B2" s="84" t="str">
        <f>Substitute(SUBSTITUTE(substitute(substitute(substitute(substitute(substitute(substitute(substitute(lower('source-upstream'!B2)," ","-"),"(",""),")",""),"&gt;",""),"&lt;",""),"---","-"),".","-"),"--","-"),"&amp;","-and-")</f>
        <v>blue-dingo</v>
      </c>
      <c r="C2" s="66" t="str">
        <f>if('source-upstream'!C2="",'schema-frequency'!$B$11,vlookup('source-upstream'!C2,FREQUENCY_MAP, 3, FALSE))</f>
        <v>not-provided</v>
      </c>
      <c r="D2" s="85" t="str">
        <f>'source-upstream'!D2</f>
        <v>Transport - C &amp; D</v>
      </c>
      <c r="E2" s="66" t="str">
        <f>if('source-upstream'!E2="",'schema-yn'!$A$5,vlookup('source-upstream'!E2,YN_MAP,3,FALSE))</f>
        <v>no</v>
      </c>
      <c r="F2" s="66" t="str">
        <f>if('source-upstream'!F2="",'schema-yn'!$A$5,vlookup('source-upstream'!F2,YN_MAP,3,FALSE))</f>
        <v>no</v>
      </c>
      <c r="G2" s="66" t="str">
        <f>if('source-upstream'!G2="",'schema-yn'!$A$5,vlookup('source-upstream'!G2,YN_MAP,3,FALSE))</f>
        <v>yes</v>
      </c>
      <c r="H2" s="66" t="str">
        <f>if('source-upstream'!H2="",'data-cleansing-maps'!$L$10,vlookup('source-upstream'!H2,RESILIENCE_OPTION_MAP,3,FALSE))</f>
        <v>alternative-supplier</v>
      </c>
      <c r="I2" s="66" t="str">
        <f>if(iserror(vlookup('source-upstream'!I2,'data-cleansing-maps'!N$5:N$10,1,FALSE)),'source-upstream'!I2,"")</f>
        <v/>
      </c>
      <c r="J2" s="85" t="str">
        <f>'source-upstream'!J2</f>
        <v>Alternative suppliers for the provision of C&amp;D waste and for the provision of transport services available Sufficiently large amounts of stored C&amp;D waste that can be processed without new material coming to site</v>
      </c>
      <c r="K2" s="66" t="str">
        <f>if('source-upstream'!K2="",'schema-yn'!$A$5,vlookup('source-upstream'!K2,YN_MAP,3,FALSE))</f>
        <v>not-provided</v>
      </c>
      <c r="L2" s="85" t="str">
        <f>if('source-upstream'!L2="Not provided","",'source-upstream'!L2)</f>
        <v/>
      </c>
      <c r="M2" s="66" t="str">
        <f>if('source-upstream'!M2="",'schema-rv-services'!$B$26,vlookup(vlookup('source-upstream'!$M2,'analysis-rv-services'!$C:$E,3,FALSE),'schema-rv-services'!$A:$B,2, FALSE))</f>
        <v>transport</v>
      </c>
      <c r="N2" s="66"/>
    </row>
    <row r="3" ht="15.0" customHeight="1">
      <c r="A3" s="86" t="str">
        <f>Substitute(SUBSTITUTE(substitute(substitute(substitute(substitute(substitute(substitute(substitute(lower('source-upstream'!A3)," ","-"),"(",""),")",""),"&gt;",""),"&lt;",""),"---","-"),".","-"),"--","-"),"&amp;","-and-")</f>
        <v>blue-lyrebird</v>
      </c>
      <c r="B3" s="86" t="str">
        <f>Substitute(SUBSTITUTE(substitute(substitute(substitute(substitute(substitute(substitute(substitute(lower('source-upstream'!B3)," ","-"),"(",""),")",""),"&gt;",""),"&lt;",""),"---","-"),".","-"),"--","-"),"&amp;","-and-")</f>
        <v>tiny-fairy-penguin</v>
      </c>
      <c r="C3" s="71" t="str">
        <f>if('source-upstream'!C3="",'schema-frequency'!$B$11,vlookup('source-upstream'!C3,FREQUENCY_MAP, 3, FALSE))</f>
        <v>not-provided</v>
      </c>
      <c r="D3" s="87" t="str">
        <f>'source-upstream'!D3</f>
        <v>Transport - C &amp; D</v>
      </c>
      <c r="E3" s="71" t="str">
        <f>if('source-upstream'!E3="",'schema-yn'!$A$5,vlookup('source-upstream'!E3,YN_MAP,3,FALSE))</f>
        <v>no</v>
      </c>
      <c r="F3" s="71" t="str">
        <f>if('source-upstream'!F3="",'schema-yn'!$A$5,vlookup('source-upstream'!F3,YN_MAP,3,FALSE))</f>
        <v>no</v>
      </c>
      <c r="G3" s="71" t="str">
        <f>if('source-upstream'!G3="",'schema-yn'!$A$5,vlookup('source-upstream'!G3,YN_MAP,3,FALSE))</f>
        <v>yes</v>
      </c>
      <c r="H3" s="71" t="str">
        <f>if('source-upstream'!H3="",'schema-yn'!$A$5,vlookup('source-upstream'!H3,RESILIENCE_OPTION_MAP,3,FALSE))</f>
        <v>alternative-supplier</v>
      </c>
      <c r="I3" s="71" t="str">
        <f>if(iserror(vlookup('source-upstream'!I3,'data-cleansing-maps'!N$5:N$10,1,FALSE)),'source-upstream'!I3,"")</f>
        <v/>
      </c>
      <c r="J3" s="87" t="str">
        <f>'source-upstream'!J3</f>
        <v>Alternative suppliers for the provision of C&amp;D waste and for the provision of transport services available Sufficiently large amounts of stored C&amp;D waste that can be processed without new material coming to site</v>
      </c>
      <c r="K3" s="71" t="str">
        <f>if('source-upstream'!K3="",'schema-yn'!$A$5,vlookup('source-upstream'!K3,YN_MAP,3,FALSE))</f>
        <v>not-provided</v>
      </c>
      <c r="L3" s="87" t="str">
        <f>if('source-upstream'!L3="Not provided","",'source-upstream'!L3)</f>
        <v/>
      </c>
      <c r="M3" s="66" t="str">
        <f>if('source-upstream'!M3="",'schema-rv-services'!$B$26,vlookup(vlookup('source-upstream'!$M3,'analysis-rv-services'!$C:$E,3,FALSE),'schema-rv-services'!$A:$B,2, FALSE))</f>
        <v>transport</v>
      </c>
      <c r="N3" s="71"/>
    </row>
    <row r="4" ht="15.0" customHeight="1">
      <c r="A4" s="86" t="str">
        <f>Substitute(SUBSTITUTE(substitute(substitute(substitute(substitute(substitute(substitute(substitute(lower('source-upstream'!A4)," ","-"),"(",""),")",""),"&gt;",""),"&lt;",""),"---","-"),".","-"),"--","-"),"&amp;","-and-")</f>
        <v>blue-lyrebird</v>
      </c>
      <c r="B4" s="86" t="str">
        <f>Substitute(SUBSTITUTE(substitute(substitute(substitute(substitute(substitute(substitute(substitute(lower('source-upstream'!B4)," ","-"),"(",""),")",""),"&gt;",""),"&lt;",""),"---","-"),".","-"),"--","-"),"&amp;","-and-")</f>
        <v>fuzzy-fairy-penguin</v>
      </c>
      <c r="C4" s="71" t="str">
        <f>if('source-upstream'!C4="",'schema-frequency'!$B$11,vlookup('source-upstream'!C4,FREQUENCY_MAP, 3, FALSE))</f>
        <v>not-provided</v>
      </c>
      <c r="D4" s="87" t="str">
        <f>'source-upstream'!D4</f>
        <v>Transport - C &amp; D</v>
      </c>
      <c r="E4" s="71" t="str">
        <f>if('source-upstream'!E4="",'schema-yn'!$A$5,vlookup('source-upstream'!E4,YN_MAP,3,FALSE))</f>
        <v>no</v>
      </c>
      <c r="F4" s="71" t="str">
        <f>if('source-upstream'!F4="",'schema-yn'!$A$5,vlookup('source-upstream'!F4,YN_MAP,3,FALSE))</f>
        <v>no</v>
      </c>
      <c r="G4" s="71" t="str">
        <f>if('source-upstream'!G4="",'schema-yn'!$A$5,vlookup('source-upstream'!G4,YN_MAP,3,FALSE))</f>
        <v>yes</v>
      </c>
      <c r="H4" s="71" t="str">
        <f>if('source-upstream'!H4="",'schema-yn'!$A$5,vlookup('source-upstream'!H4,RESILIENCE_OPTION_MAP,3,FALSE))</f>
        <v>alternative-supplier</v>
      </c>
      <c r="I4" s="71" t="str">
        <f>if(iserror(vlookup('source-upstream'!I4,'data-cleansing-maps'!N$5:N$10,1,FALSE)),'source-upstream'!I4,"")</f>
        <v/>
      </c>
      <c r="J4" s="87" t="str">
        <f>'source-upstream'!J4</f>
        <v>Alternative suppliers for the provision of C&amp;D waste and for the provision of transport services available Sufficiently large amounts of stored C&amp;D waste that can be processed without new material coming to site</v>
      </c>
      <c r="K4" s="71" t="str">
        <f>if('source-upstream'!K4="",'schema-yn'!$A$5,vlookup('source-upstream'!K4,YN_MAP,3,FALSE))</f>
        <v>not-provided</v>
      </c>
      <c r="L4" s="87" t="str">
        <f>if('source-upstream'!L4="Not provided","",'source-upstream'!L4)</f>
        <v/>
      </c>
      <c r="M4" s="66" t="str">
        <f>if('source-upstream'!M4="",'schema-rv-services'!$B$26,vlookup(vlookup('source-upstream'!$M4,'analysis-rv-services'!$C:$E,3,FALSE),'schema-rv-services'!$A:$B,2, FALSE))</f>
        <v>transport</v>
      </c>
      <c r="N4" s="71" t="s">
        <v>607</v>
      </c>
    </row>
    <row r="5" ht="15.0" customHeight="1">
      <c r="A5" s="86" t="str">
        <f>Substitute(SUBSTITUTE(substitute(substitute(substitute(substitute(substitute(substitute(substitute(lower('source-upstream'!A5)," ","-"),"(",""),")",""),"&gt;",""),"&lt;",""),"---","-"),".","-"),"--","-"),"&amp;","-and-")</f>
        <v>blue-lyrebird</v>
      </c>
      <c r="B5" s="86" t="str">
        <f>Substitute(SUBSTITUTE(substitute(substitute(substitute(substitute(substitute(substitute(substitute(lower('source-upstream'!B5)," ","-"),"(",""),")",""),"&gt;",""),"&lt;",""),"---","-"),".","-"),"--","-"),"&amp;","-and-")</f>
        <v>red-tree-kangaroo</v>
      </c>
      <c r="C5" s="71" t="str">
        <f>if('source-upstream'!C5="",'schema-frequency'!$B$11,vlookup('source-upstream'!C5,FREQUENCY_MAP, 3, FALSE))</f>
        <v>not-provided</v>
      </c>
      <c r="D5" s="87" t="str">
        <f>'source-upstream'!D5</f>
        <v>Transport - C &amp; D</v>
      </c>
      <c r="E5" s="71" t="str">
        <f>if('source-upstream'!E5="",'schema-yn'!$A$5,vlookup('source-upstream'!E5,YN_MAP,3,FALSE))</f>
        <v>no</v>
      </c>
      <c r="F5" s="71" t="str">
        <f>if('source-upstream'!F5="",'schema-yn'!$A$5,vlookup('source-upstream'!F5,YN_MAP,3,FALSE))</f>
        <v>no</v>
      </c>
      <c r="G5" s="71" t="str">
        <f>if('source-upstream'!G5="",'schema-yn'!$A$5,vlookup('source-upstream'!G5,YN_MAP,3,FALSE))</f>
        <v>yes</v>
      </c>
      <c r="H5" s="71" t="str">
        <f>if('source-upstream'!H5="",'schema-yn'!$A$5,vlookup('source-upstream'!H5,RESILIENCE_OPTION_MAP,3,FALSE))</f>
        <v>alternative-supplier</v>
      </c>
      <c r="I5" s="71" t="str">
        <f>if(iserror(vlookup('source-upstream'!I5,'data-cleansing-maps'!N$5:N$10,1,FALSE)),'source-upstream'!I5,"")</f>
        <v/>
      </c>
      <c r="J5" s="87" t="str">
        <f>'source-upstream'!J5</f>
        <v>Alternative suppliers for the provision of C&amp;D waste and for the provision of transport services available Sufficiently large amounts of stored C&amp;D waste that can be processed without new material coming to site</v>
      </c>
      <c r="K5" s="71" t="str">
        <f>if('source-upstream'!K5="",'schema-yn'!$A$5,vlookup('source-upstream'!K5,YN_MAP,3,FALSE))</f>
        <v>not-provided</v>
      </c>
      <c r="L5" s="87" t="str">
        <f>if('source-upstream'!L5="Not provided","",'source-upstream'!L5)</f>
        <v/>
      </c>
      <c r="M5" s="66" t="str">
        <f>if('source-upstream'!M5="",'schema-rv-services'!$B$26,vlookup(vlookup('source-upstream'!$M5,'analysis-rv-services'!$C:$E,3,FALSE),'schema-rv-services'!$A:$B,2, FALSE))</f>
        <v>transport</v>
      </c>
      <c r="N5" s="71"/>
    </row>
    <row r="6" ht="15.0" customHeight="1">
      <c r="A6" s="86" t="str">
        <f>Substitute(SUBSTITUTE(substitute(substitute(substitute(substitute(substitute(substitute(substitute(lower('source-upstream'!A6)," ","-"),"(",""),")",""),"&gt;",""),"&lt;",""),"---","-"),".","-"),"--","-"),"&amp;","-and-")</f>
        <v>blue-lyrebird</v>
      </c>
      <c r="B6" s="86" t="str">
        <f>Substitute(SUBSTITUTE(substitute(substitute(substitute(substitute(substitute(substitute(substitute(lower('source-upstream'!B6)," ","-"),"(",""),")",""),"&gt;",""),"&lt;",""),"---","-"),".","-"),"--","-"),"&amp;","-and-")</f>
        <v>clever-emu</v>
      </c>
      <c r="C6" s="71" t="str">
        <f>if('source-upstream'!C6="",'schema-frequency'!$B$11,vlookup('source-upstream'!C6,FREQUENCY_MAP, 3, FALSE))</f>
        <v>not-provided</v>
      </c>
      <c r="D6" s="87" t="str">
        <f>'source-upstream'!D6</f>
        <v>Transport - C &amp; D</v>
      </c>
      <c r="E6" s="71" t="str">
        <f>if('source-upstream'!E6="",'schema-yn'!$A$5,vlookup('source-upstream'!E6,YN_MAP,3,FALSE))</f>
        <v>no</v>
      </c>
      <c r="F6" s="71" t="str">
        <f>if('source-upstream'!F6="",'schema-yn'!$A$5,vlookup('source-upstream'!F6,YN_MAP,3,FALSE))</f>
        <v>no</v>
      </c>
      <c r="G6" s="71" t="str">
        <f>if('source-upstream'!G6="",'schema-yn'!$A$5,vlookup('source-upstream'!G6,YN_MAP,3,FALSE))</f>
        <v>yes</v>
      </c>
      <c r="H6" s="71" t="str">
        <f>if('source-upstream'!H6="",'schema-yn'!$A$5,vlookup('source-upstream'!H6,RESILIENCE_OPTION_MAP,3,FALSE))</f>
        <v>alternative-supplier</v>
      </c>
      <c r="I6" s="71" t="str">
        <f>if(iserror(vlookup('source-upstream'!I6,'data-cleansing-maps'!N$5:N$10,1,FALSE)),'source-upstream'!I6,"")</f>
        <v/>
      </c>
      <c r="J6" s="87" t="str">
        <f>'source-upstream'!J6</f>
        <v>Alternative suppliers for the provision of C&amp;D waste and for the provision of transport services available Sufficiently large amounts of stored C&amp;D waste that can be processed without new material coming to site</v>
      </c>
      <c r="K6" s="71" t="str">
        <f>if('source-upstream'!K6="",'schema-yn'!$A$5,vlookup('source-upstream'!K6,YN_MAP,3,FALSE))</f>
        <v>not-provided</v>
      </c>
      <c r="L6" s="87" t="str">
        <f>if('source-upstream'!L6="Not provided","",'source-upstream'!L6)</f>
        <v/>
      </c>
      <c r="M6" s="66" t="str">
        <f>if('source-upstream'!M6="",'schema-rv-services'!$B$26,vlookup(vlookup('source-upstream'!$M6,'analysis-rv-services'!$C:$E,3,FALSE),'schema-rv-services'!$A:$B,2, FALSE))</f>
        <v>transport</v>
      </c>
      <c r="N6" s="71"/>
    </row>
    <row r="7" ht="15.0" customHeight="1">
      <c r="A7" s="86" t="str">
        <f>Substitute(SUBSTITUTE(substitute(substitute(substitute(substitute(substitute(substitute(substitute(lower('source-upstream'!A7)," ","-"),"(",""),")",""),"&gt;",""),"&lt;",""),"---","-"),".","-"),"--","-"),"&amp;","-and-")</f>
        <v>blue-lyrebird</v>
      </c>
      <c r="B7" s="86" t="str">
        <f>Substitute(SUBSTITUTE(substitute(substitute(substitute(substitute(substitute(substitute(substitute(lower('source-upstream'!B7)," ","-"),"(",""),")",""),"&gt;",""),"&lt;",""),"---","-"),".","-"),"--","-"),"&amp;","-and-")</f>
        <v>shy-bilby</v>
      </c>
      <c r="C7" s="71" t="str">
        <f>if('source-upstream'!C7="",'schema-frequency'!$B$11,vlookup('source-upstream'!C7,FREQUENCY_MAP, 3, FALSE))</f>
        <v>not-provided</v>
      </c>
      <c r="D7" s="87" t="str">
        <f>'source-upstream'!D7</f>
        <v>Transport - C &amp; D</v>
      </c>
      <c r="E7" s="71" t="str">
        <f>if('source-upstream'!E7="",'schema-yn'!$A$5,vlookup('source-upstream'!E7,YN_MAP,3,FALSE))</f>
        <v>no</v>
      </c>
      <c r="F7" s="71" t="str">
        <f>if('source-upstream'!F7="",'schema-yn'!$A$5,vlookup('source-upstream'!F7,YN_MAP,3,FALSE))</f>
        <v>no</v>
      </c>
      <c r="G7" s="71" t="str">
        <f>if('source-upstream'!G7="",'schema-yn'!$A$5,vlookup('source-upstream'!G7,YN_MAP,3,FALSE))</f>
        <v>yes</v>
      </c>
      <c r="H7" s="71" t="str">
        <f>if('source-upstream'!H7="",'schema-yn'!$A$5,vlookup('source-upstream'!H7,RESILIENCE_OPTION_MAP,3,FALSE))</f>
        <v>alternative-supplier</v>
      </c>
      <c r="I7" s="71" t="str">
        <f>if(iserror(vlookup('source-upstream'!I7,'data-cleansing-maps'!N$5:N$10,1,FALSE)),'source-upstream'!I7,"")</f>
        <v/>
      </c>
      <c r="J7" s="87" t="str">
        <f>'source-upstream'!J7</f>
        <v>Alternative suppliers for the provision of C&amp;D waste and for the provision of transport services available Sufficiently large amounts of stored C&amp;D waste that can be processed without new material coming to site</v>
      </c>
      <c r="K7" s="71" t="str">
        <f>if('source-upstream'!K7="",'schema-yn'!$A$5,vlookup('source-upstream'!K7,YN_MAP,3,FALSE))</f>
        <v>not-provided</v>
      </c>
      <c r="L7" s="87" t="str">
        <f>if('source-upstream'!L7="Not provided","",'source-upstream'!L7)</f>
        <v/>
      </c>
      <c r="M7" s="66" t="str">
        <f>if('source-upstream'!M7="",'schema-rv-services'!$B$26,vlookup(vlookup('source-upstream'!$M7,'analysis-rv-services'!$C:$E,3,FALSE),'schema-rv-services'!$A:$B,2, FALSE))</f>
        <v>transport</v>
      </c>
      <c r="N7" s="71"/>
    </row>
    <row r="8" ht="15.0" customHeight="1">
      <c r="A8" s="86" t="str">
        <f>Substitute(SUBSTITUTE(substitute(substitute(substitute(substitute(substitute(substitute(substitute(lower('source-upstream'!A8)," ","-"),"(",""),")",""),"&gt;",""),"&lt;",""),"---","-"),".","-"),"--","-"),"&amp;","-and-")</f>
        <v>blue-lyrebird</v>
      </c>
      <c r="B8" s="86" t="str">
        <f>Substitute(SUBSTITUTE(substitute(substitute(substitute(substitute(substitute(substitute(substitute(lower('source-upstream'!B8)," ","-"),"(",""),")",""),"&gt;",""),"&lt;",""),"---","-"),".","-"),"--","-"),"&amp;","-and-")</f>
        <v>shy-platypus</v>
      </c>
      <c r="C8" s="71" t="str">
        <f>if('source-upstream'!C8="",'schema-frequency'!$B$11,vlookup('source-upstream'!C8,FREQUENCY_MAP, 3, FALSE))</f>
        <v>not-provided</v>
      </c>
      <c r="D8" s="87" t="str">
        <f>'source-upstream'!D8</f>
        <v>Transport - C &amp; D</v>
      </c>
      <c r="E8" s="71" t="str">
        <f>if('source-upstream'!E8="",'schema-yn'!$A$5,vlookup('source-upstream'!E8,YN_MAP,3,FALSE))</f>
        <v>no</v>
      </c>
      <c r="F8" s="71" t="str">
        <f>if('source-upstream'!F8="",'schema-yn'!$A$5,vlookup('source-upstream'!F8,YN_MAP,3,FALSE))</f>
        <v>no</v>
      </c>
      <c r="G8" s="71" t="str">
        <f>if('source-upstream'!G8="",'schema-yn'!$A$5,vlookup('source-upstream'!G8,YN_MAP,3,FALSE))</f>
        <v>yes</v>
      </c>
      <c r="H8" s="71" t="str">
        <f>if('source-upstream'!H8="",'schema-yn'!$A$5,vlookup('source-upstream'!H8,RESILIENCE_OPTION_MAP,3,FALSE))</f>
        <v>alternative-supplier</v>
      </c>
      <c r="I8" s="71" t="str">
        <f>if(iserror(vlookup('source-upstream'!I8,'data-cleansing-maps'!N$5:N$10,1,FALSE)),'source-upstream'!I8,"")</f>
        <v/>
      </c>
      <c r="J8" s="87" t="str">
        <f>'source-upstream'!J8</f>
        <v>Alternative suppliers for the provision of C&amp;D waste and for the provision of transport services available Sufficiently large amounts of stored C&amp;D waste that can be processed without new material coming to site</v>
      </c>
      <c r="K8" s="71" t="str">
        <f>if('source-upstream'!K8="",'schema-yn'!$A$5,vlookup('source-upstream'!K8,YN_MAP,3,FALSE))</f>
        <v>not-provided</v>
      </c>
      <c r="L8" s="87" t="str">
        <f>if('source-upstream'!L8="Not provided","",'source-upstream'!L8)</f>
        <v/>
      </c>
      <c r="M8" s="66" t="str">
        <f>if('source-upstream'!M8="",'schema-rv-services'!$B$26,vlookup(vlookup('source-upstream'!$M8,'analysis-rv-services'!$C:$E,3,FALSE),'schema-rv-services'!$A:$B,2, FALSE))</f>
        <v>transport</v>
      </c>
      <c r="N8" s="71"/>
    </row>
    <row r="9" ht="15.0" customHeight="1">
      <c r="A9" s="86" t="str">
        <f>Substitute(SUBSTITUTE(substitute(substitute(substitute(substitute(substitute(substitute(substitute(lower('source-upstream'!A9)," ","-"),"(",""),")",""),"&gt;",""),"&lt;",""),"---","-"),".","-"),"--","-"),"&amp;","-and-")</f>
        <v>blue-lyrebird</v>
      </c>
      <c r="B9" s="86" t="str">
        <f>Substitute(SUBSTITUTE(substitute(substitute(substitute(substitute(substitute(substitute(substitute(lower('source-upstream'!B9)," ","-"),"(",""),")",""),"&gt;",""),"&lt;",""),"---","-"),".","-"),"--","-"),"&amp;","-and-")</f>
        <v>spotted-thorny-devil</v>
      </c>
      <c r="C9" s="71" t="str">
        <f>if('source-upstream'!C9="",'schema-frequency'!$B$11,vlookup('source-upstream'!C9,FREQUENCY_MAP, 3, FALSE))</f>
        <v>not-provided</v>
      </c>
      <c r="D9" s="87" t="str">
        <f>'source-upstream'!D9</f>
        <v>Transport - C &amp; D</v>
      </c>
      <c r="E9" s="71" t="str">
        <f>if('source-upstream'!E9="",'schema-yn'!$A$5,vlookup('source-upstream'!E9,YN_MAP,3,FALSE))</f>
        <v>no</v>
      </c>
      <c r="F9" s="71" t="str">
        <f>if('source-upstream'!F9="",'schema-yn'!$A$5,vlookup('source-upstream'!F9,YN_MAP,3,FALSE))</f>
        <v>no</v>
      </c>
      <c r="G9" s="71" t="str">
        <f>if('source-upstream'!G9="",'schema-yn'!$A$5,vlookup('source-upstream'!G9,YN_MAP,3,FALSE))</f>
        <v>yes</v>
      </c>
      <c r="H9" s="71" t="str">
        <f>if('source-upstream'!H9="",'schema-yn'!$A$5,vlookup('source-upstream'!H9,RESILIENCE_OPTION_MAP,3,FALSE))</f>
        <v>alternative-supplier</v>
      </c>
      <c r="I9" s="71" t="str">
        <f>if(iserror(vlookup('source-upstream'!I9,'data-cleansing-maps'!N$5:N$10,1,FALSE)),'source-upstream'!I9,"")</f>
        <v/>
      </c>
      <c r="J9" s="87" t="str">
        <f>'source-upstream'!J9</f>
        <v>Alternative suppliers for the provision of C&amp;D waste and for the provision of transport services available Sufficiently large amounts of stored C&amp;D waste that can be processed without new material coming to site</v>
      </c>
      <c r="K9" s="71" t="str">
        <f>if('source-upstream'!K9="",'schema-yn'!$A$5,vlookup('source-upstream'!K9,YN_MAP,3,FALSE))</f>
        <v>not-provided</v>
      </c>
      <c r="L9" s="87" t="str">
        <f>if('source-upstream'!L9="Not provided","",'source-upstream'!L9)</f>
        <v/>
      </c>
      <c r="M9" s="66" t="str">
        <f>if('source-upstream'!M9="",'schema-rv-services'!$B$26,vlookup(vlookup('source-upstream'!$M9,'analysis-rv-services'!$C:$E,3,FALSE),'schema-rv-services'!$A:$B,2, FALSE))</f>
        <v>transport</v>
      </c>
      <c r="N9" s="71"/>
    </row>
    <row r="10" ht="15.0" customHeight="1">
      <c r="A10" s="86" t="str">
        <f>Substitute(SUBSTITUTE(substitute(substitute(substitute(substitute(substitute(substitute(substitute(lower('source-upstream'!A10)," ","-"),"(",""),")",""),"&gt;",""),"&lt;",""),"---","-"),".","-"),"--","-"),"&amp;","-and-")</f>
        <v>blue-lyrebird</v>
      </c>
      <c r="B10" s="86" t="str">
        <f>Substitute(SUBSTITUTE(substitute(substitute(substitute(substitute(substitute(substitute(substitute(lower('source-upstream'!B10)," ","-"),"(",""),")",""),"&gt;",""),"&lt;",""),"---","-"),".","-"),"--","-"),"&amp;","-and-")</f>
        <v>fuzzy-fairy-penguin</v>
      </c>
      <c r="C10" s="71" t="str">
        <f>if('source-upstream'!C10="",'schema-frequency'!$B$11,vlookup('source-upstream'!C10,FREQUENCY_MAP, 3, FALSE))</f>
        <v>not-provided</v>
      </c>
      <c r="D10" s="87" t="str">
        <f>'source-upstream'!D10</f>
        <v>Transport - C &amp; D</v>
      </c>
      <c r="E10" s="71" t="str">
        <f>if('source-upstream'!E10="",'schema-yn'!$A$5,vlookup('source-upstream'!E10,YN_MAP,3,FALSE))</f>
        <v>no</v>
      </c>
      <c r="F10" s="71" t="str">
        <f>if('source-upstream'!F10="",'schema-yn'!$A$5,vlookup('source-upstream'!F10,YN_MAP,3,FALSE))</f>
        <v>no</v>
      </c>
      <c r="G10" s="71" t="str">
        <f>if('source-upstream'!G10="",'schema-yn'!$A$5,vlookup('source-upstream'!G10,YN_MAP,3,FALSE))</f>
        <v>yes</v>
      </c>
      <c r="H10" s="71" t="str">
        <f>if('source-upstream'!H10="",'schema-yn'!$A$5,vlookup('source-upstream'!H10,RESILIENCE_OPTION_MAP,3,FALSE))</f>
        <v>alternative-supplier</v>
      </c>
      <c r="I10" s="71" t="str">
        <f>if(iserror(vlookup('source-upstream'!I10,'data-cleansing-maps'!N$5:N$10,1,FALSE)),'source-upstream'!I10,"")</f>
        <v/>
      </c>
      <c r="J10" s="87" t="str">
        <f>'source-upstream'!J10</f>
        <v>Alternative suppliers for the provision of C&amp;D waste and for the provision of transport services available Sufficiently large amounts of stored C&amp;D waste that can be processed without new material coming to site</v>
      </c>
      <c r="K10" s="71" t="str">
        <f>if('source-upstream'!K10="",'schema-yn'!$A$5,vlookup('source-upstream'!K10,YN_MAP,3,FALSE))</f>
        <v>not-provided</v>
      </c>
      <c r="L10" s="87" t="str">
        <f>if('source-upstream'!L10="Not provided","",'source-upstream'!L10)</f>
        <v/>
      </c>
      <c r="M10" s="66" t="str">
        <f>if('source-upstream'!M10="",'schema-rv-services'!$B$26,vlookup(vlookup('source-upstream'!$M10,'analysis-rv-services'!$C:$E,3,FALSE),'schema-rv-services'!$A:$B,2, FALSE))</f>
        <v>transport</v>
      </c>
      <c r="N10" s="71"/>
    </row>
    <row r="11" ht="15.0" customHeight="1">
      <c r="A11" s="86" t="str">
        <f>Substitute(SUBSTITUTE(substitute(substitute(substitute(substitute(substitute(substitute(substitute(lower('source-upstream'!A11)," ","-"),"(",""),")",""),"&gt;",""),"&lt;",""),"---","-"),".","-"),"--","-"),"&amp;","-and-")</f>
        <v>blue-lyrebird</v>
      </c>
      <c r="B11" s="86" t="str">
        <f>Substitute(SUBSTITUTE(substitute(substitute(substitute(substitute(substitute(substitute(substitute(lower('source-upstream'!B11)," ","-"),"(",""),")",""),"&gt;",""),"&lt;",""),"---","-"),".","-"),"--","-"),"&amp;","-and-")</f>
        <v>yellow-australian-magpie</v>
      </c>
      <c r="C11" s="71" t="str">
        <f>if('source-upstream'!C11="",'schema-frequency'!$B$11,vlookup('source-upstream'!C11,FREQUENCY_MAP, 3, FALSE))</f>
        <v>not-provided</v>
      </c>
      <c r="D11" s="87" t="str">
        <f>'source-upstream'!D11</f>
        <v>Transport - C &amp; D</v>
      </c>
      <c r="E11" s="71" t="str">
        <f>if('source-upstream'!E11="",'schema-yn'!$A$5,vlookup('source-upstream'!E11,YN_MAP,3,FALSE))</f>
        <v>no</v>
      </c>
      <c r="F11" s="71" t="str">
        <f>if('source-upstream'!F11="",'schema-yn'!$A$5,vlookup('source-upstream'!F11,YN_MAP,3,FALSE))</f>
        <v>no</v>
      </c>
      <c r="G11" s="71" t="str">
        <f>if('source-upstream'!G11="",'schema-yn'!$A$5,vlookup('source-upstream'!G11,YN_MAP,3,FALSE))</f>
        <v>yes</v>
      </c>
      <c r="H11" s="71" t="str">
        <f>if('source-upstream'!H11="",'schema-yn'!$A$5,vlookup('source-upstream'!H11,RESILIENCE_OPTION_MAP,3,FALSE))</f>
        <v>alternative-supplier</v>
      </c>
      <c r="I11" s="71" t="str">
        <f>if(iserror(vlookup('source-upstream'!I11,'data-cleansing-maps'!N$5:N$10,1,FALSE)),'source-upstream'!I11,"")</f>
        <v/>
      </c>
      <c r="J11" s="87" t="str">
        <f>'source-upstream'!J11</f>
        <v>Alternative suppliers for the provision of C&amp;D waste and for the provision of transport services available Sufficiently large amounts of stored C&amp;D waste that can be processed without new material coming to site</v>
      </c>
      <c r="K11" s="71" t="str">
        <f>if('source-upstream'!K11="",'schema-yn'!$A$5,vlookup('source-upstream'!K11,YN_MAP,3,FALSE))</f>
        <v>not-provided</v>
      </c>
      <c r="L11" s="87" t="str">
        <f>if('source-upstream'!L11="Not provided","",'source-upstream'!L11)</f>
        <v/>
      </c>
      <c r="M11" s="66" t="str">
        <f>if('source-upstream'!M11="",'schema-rv-services'!$B$26,vlookup(vlookup('source-upstream'!$M11,'analysis-rv-services'!$C:$E,3,FALSE),'schema-rv-services'!$A:$B,2, FALSE))</f>
        <v>transport</v>
      </c>
      <c r="N11" s="71"/>
    </row>
    <row r="12" ht="15.0" customHeight="1">
      <c r="A12" s="86" t="str">
        <f>Substitute(SUBSTITUTE(substitute(substitute(substitute(substitute(substitute(substitute(substitute(lower('source-upstream'!A12)," ","-"),"(",""),")",""),"&gt;",""),"&lt;",""),"---","-"),".","-"),"--","-"),"&amp;","-and-")</f>
        <v>blue-lyrebird</v>
      </c>
      <c r="B12" s="86" t="str">
        <f>Substitute(SUBSTITUTE(substitute(substitute(substitute(substitute(substitute(substitute(substitute(lower('source-upstream'!B12)," ","-"),"(",""),")",""),"&gt;",""),"&lt;",""),"---","-"),".","-"),"--","-"),"&amp;","-and-")</f>
        <v>yellow-australian-magpie</v>
      </c>
      <c r="C12" s="71" t="str">
        <f>if('source-upstream'!C12="",'schema-frequency'!$B$11,vlookup('source-upstream'!C12,FREQUENCY_MAP, 3, FALSE))</f>
        <v>not-provided</v>
      </c>
      <c r="D12" s="87" t="str">
        <f>'source-upstream'!D12</f>
        <v>Transport - Glass waste</v>
      </c>
      <c r="E12" s="71" t="str">
        <f>if('source-upstream'!E12="",'schema-yn'!$A$5,vlookup('source-upstream'!E12,YN_MAP,3,FALSE))</f>
        <v>no</v>
      </c>
      <c r="F12" s="71" t="str">
        <f>if('source-upstream'!F12="",'schema-yn'!$A$5,vlookup('source-upstream'!F12,YN_MAP,3,FALSE))</f>
        <v>no</v>
      </c>
      <c r="G12" s="71" t="str">
        <f>if('source-upstream'!G12="",'schema-yn'!$A$5,vlookup('source-upstream'!G12,YN_MAP,3,FALSE))</f>
        <v>yes</v>
      </c>
      <c r="H12" s="71" t="str">
        <f>if('source-upstream'!H12="",'schema-yn'!$A$5,vlookup('source-upstream'!H12,RESILIENCE_OPTION_MAP,3,FALSE))</f>
        <v>alternative-supplier</v>
      </c>
      <c r="I12" s="71" t="str">
        <f>if(iserror(vlookup('source-upstream'!I12,'data-cleansing-maps'!N$5:N$10,1,FALSE)),'source-upstream'!I12,"")</f>
        <v/>
      </c>
      <c r="J12" s="87" t="str">
        <f>'source-upstream'!J12</f>
        <v>Alternative suppliers for the provision of glass waste and for the provision of transport services available 
 Sufficiently large amounts of stored glass waste that can be processed without new material coming to site</v>
      </c>
      <c r="K12" s="71" t="str">
        <f>if('source-upstream'!K12="",'schema-yn'!$A$5,vlookup('source-upstream'!K12,YN_MAP,3,FALSE))</f>
        <v>not-provided</v>
      </c>
      <c r="L12" s="87" t="str">
        <f>if('source-upstream'!L12="Not provided","",'source-upstream'!L12)</f>
        <v/>
      </c>
      <c r="M12" s="66" t="str">
        <f>if('source-upstream'!M12="",'schema-rv-services'!$B$26,vlookup(vlookup('source-upstream'!$M12,'analysis-rv-services'!$C:$E,3,FALSE),'schema-rv-services'!$A:$B,2, FALSE))</f>
        <v>transport</v>
      </c>
      <c r="N12" s="71"/>
    </row>
    <row r="13" ht="15.0" customHeight="1">
      <c r="A13" s="86" t="str">
        <f>Substitute(SUBSTITUTE(substitute(substitute(substitute(substitute(substitute(substitute(substitute(lower('source-upstream'!A13)," ","-"),"(",""),")",""),"&gt;",""),"&lt;",""),"---","-"),".","-"),"--","-"),"&amp;","-and-")</f>
        <v>blue-lyrebird</v>
      </c>
      <c r="B13" s="86" t="str">
        <f>Substitute(SUBSTITUTE(substitute(substitute(substitute(substitute(substitute(substitute(substitute(lower('source-upstream'!B13)," ","-"),"(",""),")",""),"&gt;",""),"&lt;",""),"---","-"),".","-"),"--","-"),"&amp;","-and-")</f>
        <v>fuzzy-sugar-glider</v>
      </c>
      <c r="C13" s="71" t="str">
        <f>if('source-upstream'!C13="",'schema-frequency'!$B$11,vlookup('source-upstream'!C13,FREQUENCY_MAP, 3, FALSE))</f>
        <v>not-provided</v>
      </c>
      <c r="D13" s="87" t="str">
        <f>'source-upstream'!D13</f>
        <v>Transport - Glass waste</v>
      </c>
      <c r="E13" s="71" t="str">
        <f>if('source-upstream'!E13="",'schema-yn'!$A$5,vlookup('source-upstream'!E13,YN_MAP,3,FALSE))</f>
        <v>no</v>
      </c>
      <c r="F13" s="71" t="str">
        <f>if('source-upstream'!F13="",'schema-yn'!$A$5,vlookup('source-upstream'!F13,YN_MAP,3,FALSE))</f>
        <v>no</v>
      </c>
      <c r="G13" s="71" t="str">
        <f>if('source-upstream'!G13="",'schema-yn'!$A$5,vlookup('source-upstream'!G13,YN_MAP,3,FALSE))</f>
        <v>yes</v>
      </c>
      <c r="H13" s="71" t="str">
        <f>if('source-upstream'!H13="",'schema-yn'!$A$5,vlookup('source-upstream'!H13,RESILIENCE_OPTION_MAP,3,FALSE))</f>
        <v>alternative-supplier</v>
      </c>
      <c r="I13" s="71" t="str">
        <f>if(iserror(vlookup('source-upstream'!I13,'data-cleansing-maps'!N$5:N$10,1,FALSE)),'source-upstream'!I13,"")</f>
        <v/>
      </c>
      <c r="J13" s="87" t="str">
        <f>'source-upstream'!J13</f>
        <v>Alternative suppliers for the provision of glass waste and for the provision of transport services available 
 Sufficiently large amounts of stored glass waste that can be processed without new material coming to site</v>
      </c>
      <c r="K13" s="71" t="str">
        <f>if('source-upstream'!K13="",'schema-yn'!$A$5,vlookup('source-upstream'!K13,YN_MAP,3,FALSE))</f>
        <v>not-provided</v>
      </c>
      <c r="L13" s="87" t="str">
        <f>if('source-upstream'!L13="Not provided","",'source-upstream'!L13)</f>
        <v/>
      </c>
      <c r="M13" s="66" t="str">
        <f>if('source-upstream'!M13="",'schema-rv-services'!$B$26,vlookup(vlookup('source-upstream'!$M13,'analysis-rv-services'!$C:$E,3,FALSE),'schema-rv-services'!$A:$B,2, FALSE))</f>
        <v>transport</v>
      </c>
      <c r="N13" s="71"/>
    </row>
    <row r="14" ht="15.0" customHeight="1">
      <c r="A14" s="86" t="str">
        <f>Substitute(SUBSTITUTE(substitute(substitute(substitute(substitute(substitute(substitute(substitute(lower('source-upstream'!A14)," ","-"),"(",""),")",""),"&gt;",""),"&lt;",""),"---","-"),".","-"),"--","-"),"&amp;","-and-")</f>
        <v>blue-lyrebird</v>
      </c>
      <c r="B14" s="86" t="str">
        <f>Substitute(SUBSTITUTE(substitute(substitute(substitute(substitute(substitute(substitute(substitute(lower('source-upstream'!B14)," ","-"),"(",""),")",""),"&gt;",""),"&lt;",""),"---","-"),".","-"),"--","-"),"&amp;","-and-")</f>
        <v>spotted-bandicoot</v>
      </c>
      <c r="C14" s="71" t="str">
        <f>if('source-upstream'!C14="",'schema-frequency'!$B$11,vlookup('source-upstream'!C14,FREQUENCY_MAP, 3, FALSE))</f>
        <v>not-provided</v>
      </c>
      <c r="D14" s="87" t="str">
        <f>'source-upstream'!D14</f>
        <v>Transport - Glass waste</v>
      </c>
      <c r="E14" s="71" t="str">
        <f>if('source-upstream'!E14="",'schema-yn'!$A$5,vlookup('source-upstream'!E14,YN_MAP,3,FALSE))</f>
        <v>no</v>
      </c>
      <c r="F14" s="71" t="str">
        <f>if('source-upstream'!F14="",'schema-yn'!$A$5,vlookup('source-upstream'!F14,YN_MAP,3,FALSE))</f>
        <v>no</v>
      </c>
      <c r="G14" s="71" t="str">
        <f>if('source-upstream'!G14="",'schema-yn'!$A$5,vlookup('source-upstream'!G14,YN_MAP,3,FALSE))</f>
        <v>yes</v>
      </c>
      <c r="H14" s="71" t="str">
        <f>if('source-upstream'!H14="",'schema-yn'!$A$5,vlookup('source-upstream'!H14,RESILIENCE_OPTION_MAP,3,FALSE))</f>
        <v>alternative-supplier</v>
      </c>
      <c r="I14" s="71" t="str">
        <f>if(iserror(vlookup('source-upstream'!I14,'data-cleansing-maps'!N$5:N$10,1,FALSE)),'source-upstream'!I14,"")</f>
        <v/>
      </c>
      <c r="J14" s="87" t="str">
        <f>'source-upstream'!J14</f>
        <v>Alternative suppliers for the provision of glass waste and for the provision of transport services available 
 Sufficiently large amounts of stored glass waste that can be processed without new material coming to site</v>
      </c>
      <c r="K14" s="71" t="str">
        <f>if('source-upstream'!K14="",'schema-yn'!$A$5,vlookup('source-upstream'!K14,YN_MAP,3,FALSE))</f>
        <v>not-provided</v>
      </c>
      <c r="L14" s="87" t="str">
        <f>if('source-upstream'!L14="Not provided","",'source-upstream'!L14)</f>
        <v/>
      </c>
      <c r="M14" s="66" t="str">
        <f>if('source-upstream'!M14="",'schema-rv-services'!$B$26,vlookup(vlookup('source-upstream'!$M14,'analysis-rv-services'!$C:$E,3,FALSE),'schema-rv-services'!$A:$B,2, FALSE))</f>
        <v>transport</v>
      </c>
      <c r="N14" s="71"/>
    </row>
    <row r="15" ht="15.0" customHeight="1">
      <c r="A15" s="86" t="str">
        <f>Substitute(SUBSTITUTE(substitute(substitute(substitute(substitute(substitute(substitute(substitute(lower('source-upstream'!A15)," ","-"),"(",""),")",""),"&gt;",""),"&lt;",""),"---","-"),".","-"),"--","-"),"&amp;","-and-")</f>
        <v>blue-lyrebird</v>
      </c>
      <c r="B15" s="86" t="str">
        <f>Substitute(SUBSTITUTE(substitute(substitute(substitute(substitute(substitute(substitute(substitute(lower('source-upstream'!B15)," ","-"),"(",""),")",""),"&gt;",""),"&lt;",""),"---","-"),".","-"),"--","-"),"&amp;","-and-")</f>
        <v>wild-thorny-devil</v>
      </c>
      <c r="C15" s="71" t="str">
        <f>if('source-upstream'!C15="",'schema-frequency'!$B$11,vlookup('source-upstream'!C15,FREQUENCY_MAP, 3, FALSE))</f>
        <v>not-provided</v>
      </c>
      <c r="D15" s="87" t="str">
        <f>'source-upstream'!D15</f>
        <v>Transport - Glass waste</v>
      </c>
      <c r="E15" s="71" t="str">
        <f>if('source-upstream'!E15="",'schema-yn'!$A$5,vlookup('source-upstream'!E15,YN_MAP,3,FALSE))</f>
        <v>no</v>
      </c>
      <c r="F15" s="71" t="str">
        <f>if('source-upstream'!F15="",'schema-yn'!$A$5,vlookup('source-upstream'!F15,YN_MAP,3,FALSE))</f>
        <v>no</v>
      </c>
      <c r="G15" s="71" t="str">
        <f>if('source-upstream'!G15="",'schema-yn'!$A$5,vlookup('source-upstream'!G15,YN_MAP,3,FALSE))</f>
        <v>yes</v>
      </c>
      <c r="H15" s="71" t="str">
        <f>if('source-upstream'!H15="",'schema-yn'!$A$5,vlookup('source-upstream'!H15,RESILIENCE_OPTION_MAP,3,FALSE))</f>
        <v>alternative-supplier</v>
      </c>
      <c r="I15" s="71" t="str">
        <f>if(iserror(vlookup('source-upstream'!I15,'data-cleansing-maps'!N$5:N$10,1,FALSE)),'source-upstream'!I15,"")</f>
        <v/>
      </c>
      <c r="J15" s="87" t="str">
        <f>'source-upstream'!J15</f>
        <v>Alternative suppliers for the provision of glass waste and for the provision of transport services available 
 Sufficiently large amounts of stored glass waste that can be processed without new material coming to site</v>
      </c>
      <c r="K15" s="71" t="str">
        <f>if('source-upstream'!K15="",'schema-yn'!$A$5,vlookup('source-upstream'!K15,YN_MAP,3,FALSE))</f>
        <v>not-provided</v>
      </c>
      <c r="L15" s="87" t="str">
        <f>if('source-upstream'!L15="Not provided","",'source-upstream'!L15)</f>
        <v/>
      </c>
      <c r="M15" s="66" t="str">
        <f>if('source-upstream'!M15="",'schema-rv-services'!$B$26,vlookup(vlookup('source-upstream'!$M15,'analysis-rv-services'!$C:$E,3,FALSE),'schema-rv-services'!$A:$B,2, FALSE))</f>
        <v>transport</v>
      </c>
      <c r="N15" s="71"/>
    </row>
    <row r="16" ht="15.0" customHeight="1">
      <c r="A16" s="86" t="str">
        <f>Substitute(SUBSTITUTE(substitute(substitute(substitute(substitute(substitute(substitute(substitute(lower('source-upstream'!A16)," ","-"),"(",""),")",""),"&gt;",""),"&lt;",""),"---","-"),".","-"),"--","-"),"&amp;","-and-")</f>
        <v>blue-lyrebird</v>
      </c>
      <c r="B16" s="86" t="str">
        <f>Substitute(SUBSTITUTE(substitute(substitute(substitute(substitute(substitute(substitute(substitute(lower('source-upstream'!B16)," ","-"),"(",""),")",""),"&gt;",""),"&lt;",""),"---","-"),".","-"),"--","-"),"&amp;","-and-")</f>
        <v>giant-thorny-devil</v>
      </c>
      <c r="C16" s="71" t="str">
        <f>if('source-upstream'!C16="",'schema-frequency'!$B$11,vlookup('source-upstream'!C16,FREQUENCY_MAP, 3, FALSE))</f>
        <v>not-provided</v>
      </c>
      <c r="D16" s="87" t="str">
        <f>'source-upstream'!D16</f>
        <v>Transport - Glass waste</v>
      </c>
      <c r="E16" s="71" t="str">
        <f>if('source-upstream'!E16="",'schema-yn'!$A$5,vlookup('source-upstream'!E16,YN_MAP,3,FALSE))</f>
        <v>no</v>
      </c>
      <c r="F16" s="71" t="str">
        <f>if('source-upstream'!F16="",'schema-yn'!$A$5,vlookup('source-upstream'!F16,YN_MAP,3,FALSE))</f>
        <v>no</v>
      </c>
      <c r="G16" s="71" t="str">
        <f>if('source-upstream'!G16="",'schema-yn'!$A$5,vlookup('source-upstream'!G16,YN_MAP,3,FALSE))</f>
        <v>yes</v>
      </c>
      <c r="H16" s="71" t="str">
        <f>if('source-upstream'!H16="",'schema-yn'!$A$5,vlookup('source-upstream'!H16,RESILIENCE_OPTION_MAP,3,FALSE))</f>
        <v>alternative-supplier</v>
      </c>
      <c r="I16" s="71" t="str">
        <f>if(iserror(vlookup('source-upstream'!I16,'data-cleansing-maps'!N$5:N$10,1,FALSE)),'source-upstream'!I16,"")</f>
        <v/>
      </c>
      <c r="J16" s="87" t="str">
        <f>'source-upstream'!J16</f>
        <v>Alternative suppliers for the provision of glass waste and for the provision of transport services available 
 Sufficiently large amounts of stored glass waste that can be processed without new material coming to site</v>
      </c>
      <c r="K16" s="71" t="str">
        <f>if('source-upstream'!K16="",'schema-yn'!$A$5,vlookup('source-upstream'!K16,YN_MAP,3,FALSE))</f>
        <v>not-provided</v>
      </c>
      <c r="L16" s="87" t="str">
        <f>if('source-upstream'!L16="Not provided","",'source-upstream'!L16)</f>
        <v/>
      </c>
      <c r="M16" s="66" t="str">
        <f>if('source-upstream'!M16="",'schema-rv-services'!$B$26,vlookup(vlookup('source-upstream'!$M16,'analysis-rv-services'!$C:$E,3,FALSE),'schema-rv-services'!$A:$B,2, FALSE))</f>
        <v>transport</v>
      </c>
      <c r="N16" s="71"/>
    </row>
    <row r="17" ht="15.0" customHeight="1">
      <c r="A17" s="86" t="str">
        <f>Substitute(SUBSTITUTE(substitute(substitute(substitute(substitute(substitute(substitute(substitute(lower('source-upstream'!A17)," ","-"),"(",""),")",""),"&gt;",""),"&lt;",""),"---","-"),".","-"),"--","-"),"&amp;","-and-")</f>
        <v>blue-lyrebird</v>
      </c>
      <c r="B17" s="86" t="str">
        <f>Substitute(SUBSTITUTE(substitute(substitute(substitute(substitute(substitute(substitute(substitute(lower('source-upstream'!B17)," ","-"),"(",""),")",""),"&gt;",""),"&lt;",""),"---","-"),".","-"),"--","-"),"&amp;","-and-")</f>
        <v>striped-quokka</v>
      </c>
      <c r="C17" s="71" t="str">
        <f>if('source-upstream'!C17="",'schema-frequency'!$B$11,vlookup('source-upstream'!C17,FREQUENCY_MAP, 3, FALSE))</f>
        <v>not-provided</v>
      </c>
      <c r="D17" s="87" t="str">
        <f>'source-upstream'!D17</f>
        <v>Transport - Glass waste</v>
      </c>
      <c r="E17" s="71" t="str">
        <f>if('source-upstream'!E17="",'schema-yn'!$A$5,vlookup('source-upstream'!E17,YN_MAP,3,FALSE))</f>
        <v>no</v>
      </c>
      <c r="F17" s="71" t="str">
        <f>if('source-upstream'!F17="",'schema-yn'!$A$5,vlookup('source-upstream'!F17,YN_MAP,3,FALSE))</f>
        <v>no</v>
      </c>
      <c r="G17" s="71" t="str">
        <f>if('source-upstream'!G17="",'schema-yn'!$A$5,vlookup('source-upstream'!G17,YN_MAP,3,FALSE))</f>
        <v>yes</v>
      </c>
      <c r="H17" s="71" t="str">
        <f>if('source-upstream'!H17="",'schema-yn'!$A$5,vlookup('source-upstream'!H17,RESILIENCE_OPTION_MAP,3,FALSE))</f>
        <v>alternative-supplier</v>
      </c>
      <c r="I17" s="71" t="str">
        <f>if(iserror(vlookup('source-upstream'!I17,'data-cleansing-maps'!N$5:N$10,1,FALSE)),'source-upstream'!I17,"")</f>
        <v/>
      </c>
      <c r="J17" s="87" t="str">
        <f>'source-upstream'!J17</f>
        <v>Alternative suppliers for the provision of glass waste and for the provision of transport services available 
 Sufficiently large amounts of stored glass waste that can be processed without new material coming to site</v>
      </c>
      <c r="K17" s="71" t="str">
        <f>if('source-upstream'!K17="",'schema-yn'!$A$5,vlookup('source-upstream'!K17,YN_MAP,3,FALSE))</f>
        <v>not-provided</v>
      </c>
      <c r="L17" s="87" t="str">
        <f>if('source-upstream'!L17="Not provided","",'source-upstream'!L17)</f>
        <v/>
      </c>
      <c r="M17" s="66" t="str">
        <f>if('source-upstream'!M17="",'schema-rv-services'!$B$26,vlookup(vlookup('source-upstream'!$M17,'analysis-rv-services'!$C:$E,3,FALSE),'schema-rv-services'!$A:$B,2, FALSE))</f>
        <v>transport</v>
      </c>
      <c r="N17" s="71"/>
    </row>
    <row r="18" ht="15.0" customHeight="1">
      <c r="A18" s="86" t="str">
        <f>Substitute(SUBSTITUTE(substitute(substitute(substitute(substitute(substitute(substitute(substitute(lower('source-upstream'!A18)," ","-"),"(",""),")",""),"&gt;",""),"&lt;",""),"---","-"),".","-"),"--","-"),"&amp;","-and-")</f>
        <v>blue-lyrebird</v>
      </c>
      <c r="B18" s="86" t="str">
        <f>Substitute(SUBSTITUTE(substitute(substitute(substitute(substitute(substitute(substitute(substitute(lower('source-upstream'!B18)," ","-"),"(",""),")",""),"&gt;",""),"&lt;",""),"---","-"),".","-"),"--","-"),"&amp;","-and-")</f>
        <v>wild-numbat</v>
      </c>
      <c r="C18" s="71" t="str">
        <f>if('source-upstream'!C18="",'schema-frequency'!$B$11,vlookup('source-upstream'!C18,FREQUENCY_MAP, 3, FALSE))</f>
        <v>not-provided</v>
      </c>
      <c r="D18" s="87" t="str">
        <f>'source-upstream'!D18</f>
        <v>Transport - Glass waste</v>
      </c>
      <c r="E18" s="71" t="str">
        <f>if('source-upstream'!E18="",'schema-yn'!$A$5,vlookup('source-upstream'!E18,YN_MAP,3,FALSE))</f>
        <v>no</v>
      </c>
      <c r="F18" s="71" t="str">
        <f>if('source-upstream'!F18="",'schema-yn'!$A$5,vlookup('source-upstream'!F18,YN_MAP,3,FALSE))</f>
        <v>no</v>
      </c>
      <c r="G18" s="71" t="str">
        <f>if('source-upstream'!G18="",'schema-yn'!$A$5,vlookup('source-upstream'!G18,YN_MAP,3,FALSE))</f>
        <v>yes</v>
      </c>
      <c r="H18" s="71" t="str">
        <f>if('source-upstream'!H18="",'schema-yn'!$A$5,vlookup('source-upstream'!H18,RESILIENCE_OPTION_MAP,3,FALSE))</f>
        <v>alternative-supplier</v>
      </c>
      <c r="I18" s="71" t="str">
        <f>if(iserror(vlookup('source-upstream'!I18,'data-cleansing-maps'!N$5:N$10,1,FALSE)),'source-upstream'!I18,"")</f>
        <v/>
      </c>
      <c r="J18" s="87" t="str">
        <f>'source-upstream'!J18</f>
        <v>Alternative suppliers for the provision of glass waste and for the provision of transport services available 
 Sufficiently large amounts of stored glass waste that can be processed without new material coming to site</v>
      </c>
      <c r="K18" s="71" t="str">
        <f>if('source-upstream'!K18="",'schema-yn'!$A$5,vlookup('source-upstream'!K18,YN_MAP,3,FALSE))</f>
        <v>not-provided</v>
      </c>
      <c r="L18" s="87" t="str">
        <f>if('source-upstream'!L18="Not provided","",'source-upstream'!L18)</f>
        <v/>
      </c>
      <c r="M18" s="66" t="str">
        <f>if('source-upstream'!M18="",'schema-rv-services'!$B$26,vlookup(vlookup('source-upstream'!$M18,'analysis-rv-services'!$C:$E,3,FALSE),'schema-rv-services'!$A:$B,2, FALSE))</f>
        <v>transport</v>
      </c>
      <c r="N18" s="71"/>
    </row>
    <row r="19" ht="15.0" customHeight="1">
      <c r="A19" s="86" t="str">
        <f>Substitute(SUBSTITUTE(substitute(substitute(substitute(substitute(substitute(substitute(substitute(lower('source-upstream'!A19)," ","-"),"(",""),")",""),"&gt;",""),"&lt;",""),"---","-"),".","-"),"--","-"),"&amp;","-and-")</f>
        <v>clever-frilled-neck-lizard</v>
      </c>
      <c r="B19" s="86" t="str">
        <f>Substitute(SUBSTITUTE(substitute(substitute(substitute(substitute(substitute(substitute(substitute(lower('source-upstream'!B19)," ","-"),"(",""),")",""),"&gt;",""),"&lt;",""),"---","-"),".","-"),"--","-"),"&amp;","-and-")</f>
        <v>clever-tree-kangaroo</v>
      </c>
      <c r="C19" s="71" t="str">
        <f>if('source-upstream'!C19="",'schema-frequency'!$B$11,vlookup('source-upstream'!C19,FREQUENCY_MAP, 3, FALSE))</f>
        <v>not-provided</v>
      </c>
      <c r="D19" s="87" t="str">
        <f>'source-upstream'!D19</f>
        <v>Transport</v>
      </c>
      <c r="E19" s="71" t="str">
        <f>if('source-upstream'!E19="",'schema-yn'!$A$5,vlookup('source-upstream'!E19,YN_MAP,3,FALSE))</f>
        <v>yes</v>
      </c>
      <c r="F19" s="71" t="str">
        <f>if('source-upstream'!F19="",'schema-yn'!$A$5,vlookup('source-upstream'!F19,YN_MAP,3,FALSE))</f>
        <v>no</v>
      </c>
      <c r="G19" s="71" t="str">
        <f>if('source-upstream'!G19="",'schema-yn'!$A$5,vlookup('source-upstream'!G19,YN_MAP,3,FALSE))</f>
        <v>yes</v>
      </c>
      <c r="H19" s="71" t="str">
        <f>if('source-upstream'!H19="",'schema-yn'!$A$5,vlookup('source-upstream'!H19,RESILIENCE_OPTION_MAP,3,FALSE))</f>
        <v>stockpiling</v>
      </c>
      <c r="I19" s="71" t="str">
        <f>if(iserror(vlookup('source-upstream'!I19,'data-cleansing-maps'!N$5:N$10,1,FALSE)),'source-upstream'!I19,"")</f>
        <v/>
      </c>
      <c r="J19" s="87" t="str">
        <f>'source-upstream'!J19</f>
        <v>Extensive network of alternative suppliers</v>
      </c>
      <c r="K19" s="71" t="str">
        <f>if('source-upstream'!K19="",'schema-yn'!$A$5,vlookup('source-upstream'!K19,YN_MAP,3,FALSE))</f>
        <v>not-provided</v>
      </c>
      <c r="L19" s="87" t="str">
        <f>if('source-upstream'!L19="Not provided","",'source-upstream'!L19)</f>
        <v/>
      </c>
      <c r="M19" s="66" t="str">
        <f>if('source-upstream'!M19="",'schema-rv-services'!$B$26,vlookup(vlookup('source-upstream'!$M19,'analysis-rv-services'!$C:$E,3,FALSE),'schema-rv-services'!$A:$B,2, FALSE))</f>
        <v>transport</v>
      </c>
      <c r="N19" s="71"/>
    </row>
    <row r="20" ht="15.0" customHeight="1">
      <c r="A20" s="86" t="str">
        <f>Substitute(SUBSTITUTE(substitute(substitute(substitute(substitute(substitute(substitute(substitute(lower('source-upstream'!A20)," ","-"),"(",""),")",""),"&gt;",""),"&lt;",""),"---","-"),".","-"),"--","-"),"&amp;","-and-")</f>
        <v>clever-frilled-neck-lizard</v>
      </c>
      <c r="B20" s="86" t="str">
        <f>Substitute(SUBSTITUTE(substitute(substitute(substitute(substitute(substitute(substitute(substitute(lower('source-upstream'!B20)," ","-"),"(",""),")",""),"&gt;",""),"&lt;",""),"---","-"),".","-"),"--","-"),"&amp;","-and-")</f>
        <v>fuzzy-redback-spider</v>
      </c>
      <c r="C20" s="71" t="str">
        <f>if('source-upstream'!C20="",'schema-frequency'!$B$11,vlookup('source-upstream'!C20,FREQUENCY_MAP, 3, FALSE))</f>
        <v>not-provided</v>
      </c>
      <c r="D20" s="87" t="str">
        <f>'source-upstream'!D20</f>
        <v>Transport</v>
      </c>
      <c r="E20" s="71" t="str">
        <f>if('source-upstream'!E20="",'schema-yn'!$A$5,vlookup('source-upstream'!E20,YN_MAP,3,FALSE))</f>
        <v>yes</v>
      </c>
      <c r="F20" s="71" t="str">
        <f>if('source-upstream'!F20="",'schema-yn'!$A$5,vlookup('source-upstream'!F20,YN_MAP,3,FALSE))</f>
        <v>no</v>
      </c>
      <c r="G20" s="71" t="str">
        <f>if('source-upstream'!G20="",'schema-yn'!$A$5,vlookup('source-upstream'!G20,YN_MAP,3,FALSE))</f>
        <v>yes</v>
      </c>
      <c r="H20" s="71" t="str">
        <f>if('source-upstream'!H20="",'schema-yn'!$A$5,vlookup('source-upstream'!H20,RESILIENCE_OPTION_MAP,3,FALSE))</f>
        <v>stockpiling</v>
      </c>
      <c r="I20" s="71" t="str">
        <f>if(iserror(vlookup('source-upstream'!I20,'data-cleansing-maps'!N$5:N$10,1,FALSE)),'source-upstream'!I20,"")</f>
        <v/>
      </c>
      <c r="J20" s="87" t="str">
        <f>'source-upstream'!J20</f>
        <v>Extensive network of alternative suppliers</v>
      </c>
      <c r="K20" s="71" t="str">
        <f>if('source-upstream'!K20="",'schema-yn'!$A$5,vlookup('source-upstream'!K20,YN_MAP,3,FALSE))</f>
        <v>not-provided</v>
      </c>
      <c r="L20" s="87" t="str">
        <f>if('source-upstream'!L20="Not provided","",'source-upstream'!L20)</f>
        <v/>
      </c>
      <c r="M20" s="66" t="str">
        <f>if('source-upstream'!M20="",'schema-rv-services'!$B$26,vlookup(vlookup('source-upstream'!$M20,'analysis-rv-services'!$C:$E,3,FALSE),'schema-rv-services'!$A:$B,2, FALSE))</f>
        <v>transport</v>
      </c>
      <c r="N20" s="71"/>
    </row>
    <row r="21" ht="15.0" customHeight="1">
      <c r="A21" s="86" t="str">
        <f>Substitute(SUBSTITUTE(substitute(substitute(substitute(substitute(substitute(substitute(substitute(lower('source-upstream'!A21)," ","-"),"(",""),")",""),"&gt;",""),"&lt;",""),"---","-"),".","-"),"--","-"),"&amp;","-and-")</f>
        <v>clever-frilled-neck-lizard</v>
      </c>
      <c r="B21" s="86" t="str">
        <f>Substitute(SUBSTITUTE(substitute(substitute(substitute(substitute(substitute(substitute(substitute(lower('source-upstream'!B21)," ","-"),"(",""),")",""),"&gt;",""),"&lt;",""),"---","-"),".","-"),"--","-"),"&amp;","-and-")</f>
        <v>lazy-tree-kangaroo</v>
      </c>
      <c r="C21" s="71" t="str">
        <f>if('source-upstream'!C21="",'schema-frequency'!$B$11,vlookup('source-upstream'!C21,FREQUENCY_MAP, 3, FALSE))</f>
        <v>not-provided</v>
      </c>
      <c r="D21" s="87" t="str">
        <f>'source-upstream'!D21</f>
        <v>Transport</v>
      </c>
      <c r="E21" s="71" t="str">
        <f>if('source-upstream'!E21="",'schema-yn'!$A$5,vlookup('source-upstream'!E21,YN_MAP,3,FALSE))</f>
        <v>yes</v>
      </c>
      <c r="F21" s="71" t="str">
        <f>if('source-upstream'!F21="",'schema-yn'!$A$5,vlookup('source-upstream'!F21,YN_MAP,3,FALSE))</f>
        <v>no</v>
      </c>
      <c r="G21" s="71" t="str">
        <f>if('source-upstream'!G21="",'schema-yn'!$A$5,vlookup('source-upstream'!G21,YN_MAP,3,FALSE))</f>
        <v>yes</v>
      </c>
      <c r="H21" s="71" t="str">
        <f>if('source-upstream'!H21="",'schema-yn'!$A$5,vlookup('source-upstream'!H21,RESILIENCE_OPTION_MAP,3,FALSE))</f>
        <v>stockpiling</v>
      </c>
      <c r="I21" s="71" t="str">
        <f>if(iserror(vlookup('source-upstream'!I21,'data-cleansing-maps'!N$5:N$10,1,FALSE)),'source-upstream'!I21,"")</f>
        <v/>
      </c>
      <c r="J21" s="87" t="str">
        <f>'source-upstream'!J21</f>
        <v>Extensive network of alternative suppliers</v>
      </c>
      <c r="K21" s="71" t="str">
        <f>if('source-upstream'!K21="",'schema-yn'!$A$5,vlookup('source-upstream'!K21,YN_MAP,3,FALSE))</f>
        <v>not-provided</v>
      </c>
      <c r="L21" s="87" t="str">
        <f>if('source-upstream'!L21="Not provided","",'source-upstream'!L21)</f>
        <v/>
      </c>
      <c r="M21" s="66" t="str">
        <f>if('source-upstream'!M21="",'schema-rv-services'!$B$26,vlookup(vlookup('source-upstream'!$M21,'analysis-rv-services'!$C:$E,3,FALSE),'schema-rv-services'!$A:$B,2, FALSE))</f>
        <v>transport</v>
      </c>
      <c r="N21" s="71"/>
    </row>
    <row r="22" ht="15.0" customHeight="1">
      <c r="A22" s="86" t="str">
        <f>Substitute(SUBSTITUTE(substitute(substitute(substitute(substitute(substitute(substitute(substitute(lower('source-upstream'!A22)," ","-"),"(",""),")",""),"&gt;",""),"&lt;",""),"---","-"),".","-"),"--","-"),"&amp;","-and-")</f>
        <v>clever-frilled-neck-lizard</v>
      </c>
      <c r="B22" s="86" t="str">
        <f>Substitute(SUBSTITUTE(substitute(substitute(substitute(substitute(substitute(substitute(substitute(lower('source-upstream'!B22)," ","-"),"(",""),")",""),"&gt;",""),"&lt;",""),"---","-"),".","-"),"--","-"),"&amp;","-and-")</f>
        <v>yellow-cockatoo</v>
      </c>
      <c r="C22" s="71" t="str">
        <f>if('source-upstream'!C22="",'schema-frequency'!$B$11,vlookup('source-upstream'!C22,FREQUENCY_MAP, 3, FALSE))</f>
        <v>not-provided</v>
      </c>
      <c r="D22" s="87" t="str">
        <f>'source-upstream'!D22</f>
        <v>Transport</v>
      </c>
      <c r="E22" s="71" t="str">
        <f>if('source-upstream'!E22="",'schema-yn'!$A$5,vlookup('source-upstream'!E22,YN_MAP,3,FALSE))</f>
        <v>yes</v>
      </c>
      <c r="F22" s="71" t="str">
        <f>if('source-upstream'!F22="",'schema-yn'!$A$5,vlookup('source-upstream'!F22,YN_MAP,3,FALSE))</f>
        <v>no</v>
      </c>
      <c r="G22" s="71" t="str">
        <f>if('source-upstream'!G22="",'schema-yn'!$A$5,vlookup('source-upstream'!G22,YN_MAP,3,FALSE))</f>
        <v>yes</v>
      </c>
      <c r="H22" s="71" t="str">
        <f>if('source-upstream'!H22="",'schema-yn'!$A$5,vlookup('source-upstream'!H22,RESILIENCE_OPTION_MAP,3,FALSE))</f>
        <v>stockpiling</v>
      </c>
      <c r="I22" s="71" t="str">
        <f>if(iserror(vlookup('source-upstream'!I22,'data-cleansing-maps'!N$5:N$10,1,FALSE)),'source-upstream'!I22,"")</f>
        <v/>
      </c>
      <c r="J22" s="87" t="str">
        <f>'source-upstream'!J22</f>
        <v>Extensive network of alternative suppliers</v>
      </c>
      <c r="K22" s="71" t="str">
        <f>if('source-upstream'!K22="",'schema-yn'!$A$5,vlookup('source-upstream'!K22,YN_MAP,3,FALSE))</f>
        <v>not-provided</v>
      </c>
      <c r="L22" s="87" t="str">
        <f>if('source-upstream'!L22="Not provided","",'source-upstream'!L22)</f>
        <v/>
      </c>
      <c r="M22" s="66" t="str">
        <f>if('source-upstream'!M22="",'schema-rv-services'!$B$26,vlookup(vlookup('source-upstream'!$M22,'analysis-rv-services'!$C:$E,3,FALSE),'schema-rv-services'!$A:$B,2, FALSE))</f>
        <v>transport</v>
      </c>
      <c r="N22" s="71"/>
    </row>
    <row r="23" ht="15.0" customHeight="1">
      <c r="A23" s="86" t="str">
        <f>Substitute(SUBSTITUTE(substitute(substitute(substitute(substitute(substitute(substitute(substitute(lower('source-upstream'!A23)," ","-"),"(",""),")",""),"&gt;",""),"&lt;",""),"---","-"),".","-"),"--","-"),"&amp;","-and-")</f>
        <v>clever-frilled-neck-lizard</v>
      </c>
      <c r="B23" s="86" t="str">
        <f>Substitute(SUBSTITUTE(substitute(substitute(substitute(substitute(substitute(substitute(substitute(lower('source-upstream'!B23)," ","-"),"(",""),")",""),"&gt;",""),"&lt;",""),"---","-"),".","-"),"--","-"),"&amp;","-and-")</f>
        <v>shy-koala</v>
      </c>
      <c r="C23" s="71" t="str">
        <f>if('source-upstream'!C23="",'schema-frequency'!$B$11,vlookup('source-upstream'!C23,FREQUENCY_MAP, 3, FALSE))</f>
        <v>not-provided</v>
      </c>
      <c r="D23" s="87" t="str">
        <f>'source-upstream'!D23</f>
        <v>Transport</v>
      </c>
      <c r="E23" s="71" t="str">
        <f>if('source-upstream'!E23="",'schema-yn'!$A$5,vlookup('source-upstream'!E23,YN_MAP,3,FALSE))</f>
        <v>yes</v>
      </c>
      <c r="F23" s="71" t="str">
        <f>if('source-upstream'!F23="",'schema-yn'!$A$5,vlookup('source-upstream'!F23,YN_MAP,3,FALSE))</f>
        <v>no</v>
      </c>
      <c r="G23" s="71" t="str">
        <f>if('source-upstream'!G23="",'schema-yn'!$A$5,vlookup('source-upstream'!G23,YN_MAP,3,FALSE))</f>
        <v>yes</v>
      </c>
      <c r="H23" s="71" t="str">
        <f>if('source-upstream'!H23="",'schema-yn'!$A$5,vlookup('source-upstream'!H23,RESILIENCE_OPTION_MAP,3,FALSE))</f>
        <v>stockpiling</v>
      </c>
      <c r="I23" s="71" t="str">
        <f>if(iserror(vlookup('source-upstream'!I23,'data-cleansing-maps'!N$5:N$10,1,FALSE)),'source-upstream'!I23,"")</f>
        <v/>
      </c>
      <c r="J23" s="87" t="str">
        <f>'source-upstream'!J23</f>
        <v>Extensive network of alternative suppliers</v>
      </c>
      <c r="K23" s="71" t="str">
        <f>if('source-upstream'!K23="",'schema-yn'!$A$5,vlookup('source-upstream'!K23,YN_MAP,3,FALSE))</f>
        <v>not-provided</v>
      </c>
      <c r="L23" s="87" t="str">
        <f>if('source-upstream'!L23="Not provided","",'source-upstream'!L23)</f>
        <v/>
      </c>
      <c r="M23" s="66" t="str">
        <f>if('source-upstream'!M23="",'schema-rv-services'!$B$26,vlookup(vlookup('source-upstream'!$M23,'analysis-rv-services'!$C:$E,3,FALSE),'schema-rv-services'!$A:$B,2, FALSE))</f>
        <v>transport</v>
      </c>
      <c r="N23" s="71"/>
    </row>
    <row r="24" ht="15.0" customHeight="1">
      <c r="A24" s="86" t="str">
        <f>Substitute(SUBSTITUTE(substitute(substitute(substitute(substitute(substitute(substitute(substitute(lower('source-upstream'!A24)," ","-"),"(",""),")",""),"&gt;",""),"&lt;",""),"---","-"),".","-"),"--","-"),"&amp;","-and-")</f>
        <v>clever-frilled-neck-lizard</v>
      </c>
      <c r="B24" s="86" t="str">
        <f>Substitute(SUBSTITUTE(substitute(substitute(substitute(substitute(substitute(substitute(substitute(lower('source-upstream'!B24)," ","-"),"(",""),")",""),"&gt;",""),"&lt;",""),"---","-"),".","-"),"--","-"),"&amp;","-and-")</f>
        <v>giant-rosella</v>
      </c>
      <c r="C24" s="71" t="str">
        <f>if('source-upstream'!C24="",'schema-frequency'!$B$11,vlookup('source-upstream'!C24,FREQUENCY_MAP, 3, FALSE))</f>
        <v>not-provided</v>
      </c>
      <c r="D24" s="87" t="str">
        <f>'source-upstream'!D24</f>
        <v>Transport</v>
      </c>
      <c r="E24" s="71" t="str">
        <f>if('source-upstream'!E24="",'schema-yn'!$A$5,vlookup('source-upstream'!E24,YN_MAP,3,FALSE))</f>
        <v>yes</v>
      </c>
      <c r="F24" s="71" t="str">
        <f>if('source-upstream'!F24="",'schema-yn'!$A$5,vlookup('source-upstream'!F24,YN_MAP,3,FALSE))</f>
        <v>no</v>
      </c>
      <c r="G24" s="71" t="str">
        <f>if('source-upstream'!G24="",'schema-yn'!$A$5,vlookup('source-upstream'!G24,YN_MAP,3,FALSE))</f>
        <v>yes</v>
      </c>
      <c r="H24" s="71" t="str">
        <f>if('source-upstream'!H24="",'schema-yn'!$A$5,vlookup('source-upstream'!H24,RESILIENCE_OPTION_MAP,3,FALSE))</f>
        <v>stockpiling</v>
      </c>
      <c r="I24" s="71" t="str">
        <f>if(iserror(vlookup('source-upstream'!I24,'data-cleansing-maps'!N$5:N$10,1,FALSE)),'source-upstream'!I24,"")</f>
        <v/>
      </c>
      <c r="J24" s="87" t="str">
        <f>'source-upstream'!J24</f>
        <v>Extensive network of alternative suppliers</v>
      </c>
      <c r="K24" s="71" t="str">
        <f>if('source-upstream'!K24="",'schema-yn'!$A$5,vlookup('source-upstream'!K24,YN_MAP,3,FALSE))</f>
        <v>not-provided</v>
      </c>
      <c r="L24" s="87" t="str">
        <f>if('source-upstream'!L24="Not provided","",'source-upstream'!L24)</f>
        <v/>
      </c>
      <c r="M24" s="66" t="str">
        <f>if('source-upstream'!M24="",'schema-rv-services'!$B$26,vlookup(vlookup('source-upstream'!$M24,'analysis-rv-services'!$C:$E,3,FALSE),'schema-rv-services'!$A:$B,2, FALSE))</f>
        <v>transport</v>
      </c>
      <c r="N24" s="71"/>
    </row>
    <row r="25" ht="15.0" customHeight="1">
      <c r="A25" s="86" t="str">
        <f>Substitute(SUBSTITUTE(substitute(substitute(substitute(substitute(substitute(substitute(substitute(lower('source-upstream'!A25)," ","-"),"(",""),")",""),"&gt;",""),"&lt;",""),"---","-"),".","-"),"--","-"),"&amp;","-and-")</f>
        <v>clever-frilled-neck-lizard</v>
      </c>
      <c r="B25" s="86" t="str">
        <f>Substitute(SUBSTITUTE(substitute(substitute(substitute(substitute(substitute(substitute(substitute(lower('source-upstream'!B25)," ","-"),"(",""),")",""),"&gt;",""),"&lt;",""),"---","-"),".","-"),"--","-"),"&amp;","-and-")</f>
        <v>happy-quokka</v>
      </c>
      <c r="C25" s="71" t="str">
        <f>if('source-upstream'!C25="",'schema-frequency'!$B$11,vlookup('source-upstream'!C25,FREQUENCY_MAP, 3, FALSE))</f>
        <v>not-provided</v>
      </c>
      <c r="D25" s="87" t="str">
        <f>'source-upstream'!D25</f>
        <v>Transport</v>
      </c>
      <c r="E25" s="71" t="str">
        <f>if('source-upstream'!E25="",'schema-yn'!$A$5,vlookup('source-upstream'!E25,YN_MAP,3,FALSE))</f>
        <v>yes</v>
      </c>
      <c r="F25" s="71" t="str">
        <f>if('source-upstream'!F25="",'schema-yn'!$A$5,vlookup('source-upstream'!F25,YN_MAP,3,FALSE))</f>
        <v>no</v>
      </c>
      <c r="G25" s="71" t="str">
        <f>if('source-upstream'!G25="",'schema-yn'!$A$5,vlookup('source-upstream'!G25,YN_MAP,3,FALSE))</f>
        <v>yes</v>
      </c>
      <c r="H25" s="71" t="str">
        <f>if('source-upstream'!H25="",'schema-yn'!$A$5,vlookup('source-upstream'!H25,RESILIENCE_OPTION_MAP,3,FALSE))</f>
        <v>stockpiling</v>
      </c>
      <c r="I25" s="71" t="str">
        <f>if(iserror(vlookup('source-upstream'!I25,'data-cleansing-maps'!N$5:N$10,1,FALSE)),'source-upstream'!I25,"")</f>
        <v/>
      </c>
      <c r="J25" s="87" t="str">
        <f>'source-upstream'!J25</f>
        <v>Extensive network of alternative suppliers</v>
      </c>
      <c r="K25" s="71" t="str">
        <f>if('source-upstream'!K25="",'schema-yn'!$A$5,vlookup('source-upstream'!K25,YN_MAP,3,FALSE))</f>
        <v>not-provided</v>
      </c>
      <c r="L25" s="87" t="str">
        <f>if('source-upstream'!L25="Not provided","",'source-upstream'!L25)</f>
        <v/>
      </c>
      <c r="M25" s="66" t="str">
        <f>if('source-upstream'!M25="",'schema-rv-services'!$B$26,vlookup(vlookup('source-upstream'!$M25,'analysis-rv-services'!$C:$E,3,FALSE),'schema-rv-services'!$A:$B,2, FALSE))</f>
        <v>transport</v>
      </c>
      <c r="N25" s="71"/>
    </row>
    <row r="26" ht="15.0" customHeight="1">
      <c r="A26" s="86" t="str">
        <f>Substitute(SUBSTITUTE(substitute(substitute(substitute(substitute(substitute(substitute(substitute(lower('source-upstream'!A26)," ","-"),"(",""),")",""),"&gt;",""),"&lt;",""),"---","-"),".","-"),"--","-"),"&amp;","-and-")</f>
        <v>clever-frilled-neck-lizard</v>
      </c>
      <c r="B26" s="86" t="str">
        <f>Substitute(SUBSTITUTE(substitute(substitute(substitute(substitute(substitute(substitute(substitute(lower('source-upstream'!B26)," ","-"),"(",""),")",""),"&gt;",""),"&lt;",""),"---","-"),".","-"),"--","-"),"&amp;","-and-")</f>
        <v>lazy-perentie</v>
      </c>
      <c r="C26" s="71" t="str">
        <f>if('source-upstream'!C26="",'schema-frequency'!$B$11,vlookup('source-upstream'!C26,FREQUENCY_MAP, 3, FALSE))</f>
        <v>not-provided</v>
      </c>
      <c r="D26" s="87" t="str">
        <f>'source-upstream'!D26</f>
        <v>Transport</v>
      </c>
      <c r="E26" s="71" t="str">
        <f>if('source-upstream'!E26="",'schema-yn'!$A$5,vlookup('source-upstream'!E26,YN_MAP,3,FALSE))</f>
        <v>yes</v>
      </c>
      <c r="F26" s="71" t="str">
        <f>if('source-upstream'!F26="",'schema-yn'!$A$5,vlookup('source-upstream'!F26,YN_MAP,3,FALSE))</f>
        <v>no</v>
      </c>
      <c r="G26" s="71" t="str">
        <f>if('source-upstream'!G26="",'schema-yn'!$A$5,vlookup('source-upstream'!G26,YN_MAP,3,FALSE))</f>
        <v>yes</v>
      </c>
      <c r="H26" s="71" t="str">
        <f>if('source-upstream'!H26="",'schema-yn'!$A$5,vlookup('source-upstream'!H26,RESILIENCE_OPTION_MAP,3,FALSE))</f>
        <v>stockpiling</v>
      </c>
      <c r="I26" s="71" t="str">
        <f>if(iserror(vlookup('source-upstream'!I26,'data-cleansing-maps'!N$5:N$10,1,FALSE)),'source-upstream'!I26,"")</f>
        <v/>
      </c>
      <c r="J26" s="87" t="str">
        <f>'source-upstream'!J26</f>
        <v>Extensive network of alternative suppliers</v>
      </c>
      <c r="K26" s="71" t="str">
        <f>if('source-upstream'!K26="",'schema-yn'!$A$5,vlookup('source-upstream'!K26,YN_MAP,3,FALSE))</f>
        <v>not-provided</v>
      </c>
      <c r="L26" s="87" t="str">
        <f>if('source-upstream'!L26="Not provided","",'source-upstream'!L26)</f>
        <v/>
      </c>
      <c r="M26" s="66" t="str">
        <f>if('source-upstream'!M26="",'schema-rv-services'!$B$26,vlookup(vlookup('source-upstream'!$M26,'analysis-rv-services'!$C:$E,3,FALSE),'schema-rv-services'!$A:$B,2, FALSE))</f>
        <v>transport</v>
      </c>
      <c r="N26" s="71"/>
    </row>
    <row r="27" ht="15.0" customHeight="1">
      <c r="A27" s="86" t="str">
        <f>Substitute(SUBSTITUTE(substitute(substitute(substitute(substitute(substitute(substitute(substitute(lower('source-upstream'!A27)," ","-"),"(",""),")",""),"&gt;",""),"&lt;",""),"---","-"),".","-"),"--","-"),"&amp;","-and-")</f>
        <v>clever-frilled-neck-lizard</v>
      </c>
      <c r="B27" s="86" t="str">
        <f>Substitute(SUBSTITUTE(substitute(substitute(substitute(substitute(substitute(substitute(substitute(lower('source-upstream'!B27)," ","-"),"(",""),")",""),"&gt;",""),"&lt;",""),"---","-"),".","-"),"--","-"),"&amp;","-and-")</f>
        <v>red-tasmanian-devil</v>
      </c>
      <c r="C27" s="71" t="str">
        <f>if('source-upstream'!C27="",'schema-frequency'!$B$11,vlookup('source-upstream'!C27,FREQUENCY_MAP, 3, FALSE))</f>
        <v>not-provided</v>
      </c>
      <c r="D27" s="87" t="str">
        <f>'source-upstream'!D27</f>
        <v>Transport</v>
      </c>
      <c r="E27" s="71" t="str">
        <f>if('source-upstream'!E27="",'schema-yn'!$A$5,vlookup('source-upstream'!E27,YN_MAP,3,FALSE))</f>
        <v>yes</v>
      </c>
      <c r="F27" s="71" t="str">
        <f>if('source-upstream'!F27="",'schema-yn'!$A$5,vlookup('source-upstream'!F27,YN_MAP,3,FALSE))</f>
        <v>no</v>
      </c>
      <c r="G27" s="71" t="str">
        <f>if('source-upstream'!G27="",'schema-yn'!$A$5,vlookup('source-upstream'!G27,YN_MAP,3,FALSE))</f>
        <v>yes</v>
      </c>
      <c r="H27" s="71" t="str">
        <f>if('source-upstream'!H27="",'schema-yn'!$A$5,vlookup('source-upstream'!H27,RESILIENCE_OPTION_MAP,3,FALSE))</f>
        <v>stockpiling</v>
      </c>
      <c r="I27" s="71" t="str">
        <f>if(iserror(vlookup('source-upstream'!I27,'data-cleansing-maps'!N$5:N$10,1,FALSE)),'source-upstream'!I27,"")</f>
        <v/>
      </c>
      <c r="J27" s="87" t="str">
        <f>'source-upstream'!J27</f>
        <v>Extensive network of alternative suppliers</v>
      </c>
      <c r="K27" s="71" t="str">
        <f>if('source-upstream'!K27="",'schema-yn'!$A$5,vlookup('source-upstream'!K27,YN_MAP,3,FALSE))</f>
        <v>not-provided</v>
      </c>
      <c r="L27" s="87" t="str">
        <f>if('source-upstream'!L27="Not provided","",'source-upstream'!L27)</f>
        <v/>
      </c>
      <c r="M27" s="66" t="str">
        <f>if('source-upstream'!M27="",'schema-rv-services'!$B$26,vlookup(vlookup('source-upstream'!$M27,'analysis-rv-services'!$C:$E,3,FALSE),'schema-rv-services'!$A:$B,2, FALSE))</f>
        <v>transport</v>
      </c>
      <c r="N27" s="71"/>
    </row>
    <row r="28" ht="15.0" customHeight="1">
      <c r="A28" s="86" t="str">
        <f>Substitute(SUBSTITUTE(substitute(substitute(substitute(substitute(substitute(substitute(substitute(lower('source-upstream'!A28)," ","-"),"(",""),")",""),"&gt;",""),"&lt;",""),"---","-"),".","-"),"--","-"),"&amp;","-and-")</f>
        <v>clever-frilled-neck-lizard</v>
      </c>
      <c r="B28" s="86" t="str">
        <f>Substitute(SUBSTITUTE(substitute(substitute(substitute(substitute(substitute(substitute(substitute(lower('source-upstream'!B28)," ","-"),"(",""),")",""),"&gt;",""),"&lt;",""),"---","-"),".","-"),"--","-"),"&amp;","-and-")</f>
        <v>yellow-echidna</v>
      </c>
      <c r="C28" s="71" t="str">
        <f>if('source-upstream'!C28="",'schema-frequency'!$B$11,vlookup('source-upstream'!C28,FREQUENCY_MAP, 3, FALSE))</f>
        <v>not-provided</v>
      </c>
      <c r="D28" s="87" t="str">
        <f>'source-upstream'!D28</f>
        <v>Transport</v>
      </c>
      <c r="E28" s="71" t="str">
        <f>if('source-upstream'!E28="",'schema-yn'!$A$5,vlookup('source-upstream'!E28,YN_MAP,3,FALSE))</f>
        <v>yes</v>
      </c>
      <c r="F28" s="71" t="str">
        <f>if('source-upstream'!F28="",'schema-yn'!$A$5,vlookup('source-upstream'!F28,YN_MAP,3,FALSE))</f>
        <v>no</v>
      </c>
      <c r="G28" s="71" t="str">
        <f>if('source-upstream'!G28="",'schema-yn'!$A$5,vlookup('source-upstream'!G28,YN_MAP,3,FALSE))</f>
        <v>yes</v>
      </c>
      <c r="H28" s="71" t="str">
        <f>if('source-upstream'!H28="",'schema-yn'!$A$5,vlookup('source-upstream'!H28,RESILIENCE_OPTION_MAP,3,FALSE))</f>
        <v>stockpiling</v>
      </c>
      <c r="I28" s="71" t="str">
        <f>if(iserror(vlookup('source-upstream'!I28,'data-cleansing-maps'!N$5:N$10,1,FALSE)),'source-upstream'!I28,"")</f>
        <v/>
      </c>
      <c r="J28" s="87" t="str">
        <f>'source-upstream'!J28</f>
        <v>Extensive network of alternative suppliers</v>
      </c>
      <c r="K28" s="71" t="str">
        <f>if('source-upstream'!K28="",'schema-yn'!$A$5,vlookup('source-upstream'!K28,YN_MAP,3,FALSE))</f>
        <v>not-provided</v>
      </c>
      <c r="L28" s="87" t="str">
        <f>if('source-upstream'!L28="Not provided","",'source-upstream'!L28)</f>
        <v/>
      </c>
      <c r="M28" s="66" t="str">
        <f>if('source-upstream'!M28="",'schema-rv-services'!$B$26,vlookup(vlookup('source-upstream'!$M28,'analysis-rv-services'!$C:$E,3,FALSE),'schema-rv-services'!$A:$B,2, FALSE))</f>
        <v>transport</v>
      </c>
      <c r="N28" s="71"/>
    </row>
    <row r="29" ht="15.0" customHeight="1">
      <c r="A29" s="86" t="str">
        <f>Substitute(SUBSTITUTE(substitute(substitute(substitute(substitute(substitute(substitute(substitute(lower('source-upstream'!A29)," ","-"),"(",""),")",""),"&gt;",""),"&lt;",""),"---","-"),".","-"),"--","-"),"&amp;","-and-")</f>
        <v>clever-frilled-neck-lizard</v>
      </c>
      <c r="B29" s="86" t="str">
        <f>Substitute(SUBSTITUTE(substitute(substitute(substitute(substitute(substitute(substitute(substitute(lower('source-upstream'!B29)," ","-"),"(",""),")",""),"&gt;",""),"&lt;",""),"---","-"),".","-"),"--","-"),"&amp;","-and-")</f>
        <v>happy-rosella</v>
      </c>
      <c r="C29" s="71" t="str">
        <f>if('source-upstream'!C29="",'schema-frequency'!$B$11,vlookup('source-upstream'!C29,FREQUENCY_MAP, 3, FALSE))</f>
        <v>not-provided</v>
      </c>
      <c r="D29" s="87" t="str">
        <f>'source-upstream'!D29</f>
        <v>Transport</v>
      </c>
      <c r="E29" s="71" t="str">
        <f>if('source-upstream'!E29="",'schema-yn'!$A$5,vlookup('source-upstream'!E29,YN_MAP,3,FALSE))</f>
        <v>yes</v>
      </c>
      <c r="F29" s="71" t="str">
        <f>if('source-upstream'!F29="",'schema-yn'!$A$5,vlookup('source-upstream'!F29,YN_MAP,3,FALSE))</f>
        <v>no</v>
      </c>
      <c r="G29" s="71" t="str">
        <f>if('source-upstream'!G29="",'schema-yn'!$A$5,vlookup('source-upstream'!G29,YN_MAP,3,FALSE))</f>
        <v>yes</v>
      </c>
      <c r="H29" s="71" t="str">
        <f>if('source-upstream'!H29="",'schema-yn'!$A$5,vlookup('source-upstream'!H29,RESILIENCE_OPTION_MAP,3,FALSE))</f>
        <v>stockpiling</v>
      </c>
      <c r="I29" s="71" t="str">
        <f>if(iserror(vlookup('source-upstream'!I29,'data-cleansing-maps'!N$5:N$10,1,FALSE)),'source-upstream'!I29,"")</f>
        <v/>
      </c>
      <c r="J29" s="87" t="str">
        <f>'source-upstream'!J29</f>
        <v>Extensive network of alternative suppliers</v>
      </c>
      <c r="K29" s="71" t="str">
        <f>if('source-upstream'!K29="",'schema-yn'!$A$5,vlookup('source-upstream'!K29,YN_MAP,3,FALSE))</f>
        <v>not-provided</v>
      </c>
      <c r="L29" s="87" t="str">
        <f>if('source-upstream'!L29="Not provided","",'source-upstream'!L29)</f>
        <v/>
      </c>
      <c r="M29" s="66" t="str">
        <f>if('source-upstream'!M29="",'schema-rv-services'!$B$26,vlookup(vlookup('source-upstream'!$M29,'analysis-rv-services'!$C:$E,3,FALSE),'schema-rv-services'!$A:$B,2, FALSE))</f>
        <v>transport</v>
      </c>
      <c r="N29" s="71"/>
    </row>
    <row r="30" ht="15.0" customHeight="1">
      <c r="A30" s="86" t="str">
        <f>Substitute(SUBSTITUTE(substitute(substitute(substitute(substitute(substitute(substitute(substitute(lower('source-upstream'!A30)," ","-"),"(",""),")",""),"&gt;",""),"&lt;",""),"---","-"),".","-"),"--","-"),"&amp;","-and-")</f>
        <v>clever-frilled-neck-lizard</v>
      </c>
      <c r="B30" s="86" t="str">
        <f>Substitute(SUBSTITUTE(substitute(substitute(substitute(substitute(substitute(substitute(substitute(lower('source-upstream'!B30)," ","-"),"(",""),")",""),"&gt;",""),"&lt;",""),"---","-"),".","-"),"--","-"),"&amp;","-and-")</f>
        <v>lazy-bilby</v>
      </c>
      <c r="C30" s="71" t="str">
        <f>if('source-upstream'!C30="",'schema-frequency'!$B$11,vlookup('source-upstream'!C30,FREQUENCY_MAP, 3, FALSE))</f>
        <v>not-provided</v>
      </c>
      <c r="D30" s="87" t="str">
        <f>'source-upstream'!D30</f>
        <v>Transport</v>
      </c>
      <c r="E30" s="71" t="str">
        <f>if('source-upstream'!E30="",'schema-yn'!$A$5,vlookup('source-upstream'!E30,YN_MAP,3,FALSE))</f>
        <v>yes</v>
      </c>
      <c r="F30" s="71" t="str">
        <f>if('source-upstream'!F30="",'schema-yn'!$A$5,vlookup('source-upstream'!F30,YN_MAP,3,FALSE))</f>
        <v>no</v>
      </c>
      <c r="G30" s="71" t="str">
        <f>if('source-upstream'!G30="",'schema-yn'!$A$5,vlookup('source-upstream'!G30,YN_MAP,3,FALSE))</f>
        <v>yes</v>
      </c>
      <c r="H30" s="71" t="str">
        <f>if('source-upstream'!H30="",'schema-yn'!$A$5,vlookup('source-upstream'!H30,RESILIENCE_OPTION_MAP,3,FALSE))</f>
        <v>stockpiling</v>
      </c>
      <c r="I30" s="71" t="str">
        <f>if(iserror(vlookup('source-upstream'!I30,'data-cleansing-maps'!N$5:N$10,1,FALSE)),'source-upstream'!I30,"")</f>
        <v/>
      </c>
      <c r="J30" s="87" t="str">
        <f>'source-upstream'!J30</f>
        <v>Extensive network of alternative suppliers</v>
      </c>
      <c r="K30" s="71" t="str">
        <f>if('source-upstream'!K30="",'schema-yn'!$A$5,vlookup('source-upstream'!K30,YN_MAP,3,FALSE))</f>
        <v>not-provided</v>
      </c>
      <c r="L30" s="87" t="str">
        <f>if('source-upstream'!L30="Not provided","",'source-upstream'!L30)</f>
        <v/>
      </c>
      <c r="M30" s="66" t="str">
        <f>if('source-upstream'!M30="",'schema-rv-services'!$B$26,vlookup(vlookup('source-upstream'!$M30,'analysis-rv-services'!$C:$E,3,FALSE),'schema-rv-services'!$A:$B,2, FALSE))</f>
        <v>transport</v>
      </c>
      <c r="N30" s="71"/>
    </row>
    <row r="31" ht="15.0" customHeight="1">
      <c r="A31" s="86" t="str">
        <f>Substitute(SUBSTITUTE(substitute(substitute(substitute(substitute(substitute(substitute(substitute(lower('source-upstream'!A31)," ","-"),"(",""),")",""),"&gt;",""),"&lt;",""),"---","-"),".","-"),"--","-"),"&amp;","-and-")</f>
        <v>clever-frilled-neck-lizard</v>
      </c>
      <c r="B31" s="86" t="str">
        <f>Substitute(SUBSTITUTE(substitute(substitute(substitute(substitute(substitute(substitute(substitute(lower('source-upstream'!B31)," ","-"),"(",""),")",""),"&gt;",""),"&lt;",""),"---","-"),".","-"),"--","-"),"&amp;","-and-")</f>
        <v>spotted-fairy-penguin</v>
      </c>
      <c r="C31" s="71" t="str">
        <f>if('source-upstream'!C31="",'schema-frequency'!$B$11,vlookup('source-upstream'!C31,FREQUENCY_MAP, 3, FALSE))</f>
        <v>not-provided</v>
      </c>
      <c r="D31" s="87" t="str">
        <f>'source-upstream'!D31</f>
        <v>Inventory supply</v>
      </c>
      <c r="E31" s="71" t="str">
        <f>if('source-upstream'!E31="",'schema-yn'!$A$5,vlookup('source-upstream'!E31,YN_MAP,3,FALSE))</f>
        <v>yes</v>
      </c>
      <c r="F31" s="71" t="str">
        <f>if('source-upstream'!F31="",'schema-yn'!$A$5,vlookup('source-upstream'!F31,YN_MAP,3,FALSE))</f>
        <v>no</v>
      </c>
      <c r="G31" s="71" t="str">
        <f>if('source-upstream'!G31="",'schema-yn'!$A$5,vlookup('source-upstream'!G31,YN_MAP,3,FALSE))</f>
        <v>yes</v>
      </c>
      <c r="H31" s="71" t="str">
        <f>if('source-upstream'!H31="",'schema-yn'!$A$5,vlookup('source-upstream'!H31,RESILIENCE_OPTION_MAP,3,FALSE))</f>
        <v>alternative-supplier</v>
      </c>
      <c r="I31" s="71" t="str">
        <f>if(iserror(vlookup('source-upstream'!I31,'data-cleansing-maps'!N$5:N$10,1,FALSE)),'source-upstream'!I31,"")</f>
        <v/>
      </c>
      <c r="J31" s="87" t="str">
        <f>'source-upstream'!J31</f>
        <v>Short term impact to meet customer demand</v>
      </c>
      <c r="K31" s="71" t="str">
        <f>if('source-upstream'!K31="",'schema-yn'!$A$5,vlookup('source-upstream'!K31,YN_MAP,3,FALSE))</f>
        <v>not-provided</v>
      </c>
      <c r="L31" s="87" t="str">
        <f>if('source-upstream'!L31="Not provided","",'source-upstream'!L31)</f>
        <v/>
      </c>
      <c r="M31" s="66" t="str">
        <f>if('source-upstream'!M31="",'schema-rv-services'!$B$26,vlookup(vlookup('source-upstream'!$M31,'analysis-rv-services'!$C:$E,3,FALSE),'schema-rv-services'!$A:$B,2, FALSE))</f>
        <v>components</v>
      </c>
      <c r="N31" s="71"/>
    </row>
    <row r="32" ht="15.0" customHeight="1">
      <c r="A32" s="86" t="str">
        <f>Substitute(SUBSTITUTE(substitute(substitute(substitute(substitute(substitute(substitute(substitute(lower('source-upstream'!A32)," ","-"),"(",""),")",""),"&gt;",""),"&lt;",""),"---","-"),".","-"),"--","-"),"&amp;","-and-")</f>
        <v>clever-frilled-neck-lizard</v>
      </c>
      <c r="B32" s="86" t="str">
        <f>Substitute(SUBSTITUTE(substitute(substitute(substitute(substitute(substitute(substitute(substitute(lower('source-upstream'!B32)," ","-"),"(",""),")",""),"&gt;",""),"&lt;",""),"---","-"),".","-"),"--","-"),"&amp;","-and-")</f>
        <v>yellow-thorny-devil</v>
      </c>
      <c r="C32" s="71" t="str">
        <f>if('source-upstream'!C32="",'schema-frequency'!$B$11,vlookup('source-upstream'!C32,FREQUENCY_MAP, 3, FALSE))</f>
        <v>not-provided</v>
      </c>
      <c r="D32" s="87" t="str">
        <f>'source-upstream'!D32</f>
        <v>Not provided</v>
      </c>
      <c r="E32" s="71" t="str">
        <f>if('source-upstream'!E32="",'schema-yn'!$A$5,vlookup('source-upstream'!E32,YN_MAP,3,FALSE))</f>
        <v>yes</v>
      </c>
      <c r="F32" s="71" t="str">
        <f>if('source-upstream'!F32="",'schema-yn'!$A$5,vlookup('source-upstream'!F32,YN_MAP,3,FALSE))</f>
        <v>no</v>
      </c>
      <c r="G32" s="71" t="str">
        <f>if('source-upstream'!G32="",'schema-yn'!$A$5,vlookup('source-upstream'!G32,YN_MAP,3,FALSE))</f>
        <v>yes</v>
      </c>
      <c r="H32" s="71" t="str">
        <f>if('source-upstream'!H32="",'schema-yn'!$A$5,vlookup('source-upstream'!H32,RESILIENCE_OPTION_MAP,3,FALSE))</f>
        <v>alternative-supplier</v>
      </c>
      <c r="I32" s="71" t="str">
        <f>if(iserror(vlookup('source-upstream'!I32,'data-cleansing-maps'!N$5:N$10,1,FALSE)),'source-upstream'!I32,"")</f>
        <v/>
      </c>
      <c r="J32" s="87" t="str">
        <f>'source-upstream'!J32</f>
        <v>Short term impact to meet customer demand</v>
      </c>
      <c r="K32" s="71" t="str">
        <f>if('source-upstream'!K32="",'schema-yn'!$A$5,vlookup('source-upstream'!K32,YN_MAP,3,FALSE))</f>
        <v>not-provided</v>
      </c>
      <c r="L32" s="87" t="str">
        <f>if('source-upstream'!L32="Not provided","",'source-upstream'!L32)</f>
        <v/>
      </c>
      <c r="M32" s="66" t="str">
        <f>if('source-upstream'!M32="",'schema-rv-services'!$B$26,vlookup(vlookup('source-upstream'!$M32,'analysis-rv-services'!$C:$E,3,FALSE),'schema-rv-services'!$A:$B,2, FALSE))</f>
        <v>components</v>
      </c>
      <c r="N32" s="71"/>
    </row>
    <row r="33" ht="15.0" customHeight="1">
      <c r="A33" s="86" t="str">
        <f>Substitute(SUBSTITUTE(substitute(substitute(substitute(substitute(substitute(substitute(substitute(lower('source-upstream'!A33)," ","-"),"(",""),")",""),"&gt;",""),"&lt;",""),"---","-"),".","-"),"--","-"),"&amp;","-and-")</f>
        <v>clever-frilled-neck-lizard</v>
      </c>
      <c r="B33" s="86" t="str">
        <f>Substitute(SUBSTITUTE(substitute(substitute(substitute(substitute(substitute(substitute(substitute(lower('source-upstream'!B33)," ","-"),"(",""),")",""),"&gt;",""),"&lt;",""),"---","-"),".","-"),"--","-"),"&amp;","-and-")</f>
        <v>noisy-australian-magpie</v>
      </c>
      <c r="C33" s="71" t="str">
        <f>if('source-upstream'!C33="",'schema-frequency'!$B$11,vlookup('source-upstream'!C33,FREQUENCY_MAP, 3, FALSE))</f>
        <v>not-provided</v>
      </c>
      <c r="D33" s="87" t="str">
        <f>'source-upstream'!D33</f>
        <v>Inventory supply</v>
      </c>
      <c r="E33" s="71" t="str">
        <f>if('source-upstream'!E33="",'schema-yn'!$A$5,vlookup('source-upstream'!E33,YN_MAP,3,FALSE))</f>
        <v>yes</v>
      </c>
      <c r="F33" s="71" t="str">
        <f>if('source-upstream'!F33="",'schema-yn'!$A$5,vlookup('source-upstream'!F33,YN_MAP,3,FALSE))</f>
        <v>no</v>
      </c>
      <c r="G33" s="71" t="str">
        <f>if('source-upstream'!G33="",'schema-yn'!$A$5,vlookup('source-upstream'!G33,YN_MAP,3,FALSE))</f>
        <v>yes</v>
      </c>
      <c r="H33" s="71" t="str">
        <f>if('source-upstream'!H33="",'schema-yn'!$A$5,vlookup('source-upstream'!H33,RESILIENCE_OPTION_MAP,3,FALSE))</f>
        <v>alternative-supplier</v>
      </c>
      <c r="I33" s="71" t="str">
        <f>if(iserror(vlookup('source-upstream'!I33,'data-cleansing-maps'!N$5:N$10,1,FALSE)),'source-upstream'!I33,"")</f>
        <v/>
      </c>
      <c r="J33" s="87" t="str">
        <f>'source-upstream'!J33</f>
        <v>Short term impact to meet customer demand</v>
      </c>
      <c r="K33" s="71" t="str">
        <f>if('source-upstream'!K33="",'schema-yn'!$A$5,vlookup('source-upstream'!K33,YN_MAP,3,FALSE))</f>
        <v>not-provided</v>
      </c>
      <c r="L33" s="87" t="str">
        <f>if('source-upstream'!L33="Not provided","",'source-upstream'!L33)</f>
        <v/>
      </c>
      <c r="M33" s="66" t="str">
        <f>if('source-upstream'!M33="",'schema-rv-services'!$B$26,vlookup(vlookup('source-upstream'!$M33,'analysis-rv-services'!$C:$E,3,FALSE),'schema-rv-services'!$A:$B,2, FALSE))</f>
        <v>components</v>
      </c>
      <c r="N33" s="71"/>
    </row>
    <row r="34" ht="15.0" customHeight="1">
      <c r="A34" s="86" t="str">
        <f>Substitute(SUBSTITUTE(substitute(substitute(substitute(substitute(substitute(substitute(substitute(lower('source-upstream'!A34)," ","-"),"(",""),")",""),"&gt;",""),"&lt;",""),"---","-"),".","-"),"--","-"),"&amp;","-and-")</f>
        <v>clever-frilled-neck-lizard</v>
      </c>
      <c r="B34" s="86" t="str">
        <f>Substitute(SUBSTITUTE(substitute(substitute(substitute(substitute(substitute(substitute(substitute(lower('source-upstream'!B34)," ","-"),"(",""),")",""),"&gt;",""),"&lt;",""),"---","-"),".","-"),"--","-"),"&amp;","-and-")</f>
        <v>spotted-sugar-glider</v>
      </c>
      <c r="C34" s="71" t="str">
        <f>if('source-upstream'!C34="",'schema-frequency'!$B$11,vlookup('source-upstream'!C34,FREQUENCY_MAP, 3, FALSE))</f>
        <v>not-provided</v>
      </c>
      <c r="D34" s="87" t="str">
        <f>'source-upstream'!D34</f>
        <v>Inventory supply</v>
      </c>
      <c r="E34" s="71" t="str">
        <f>if('source-upstream'!E34="",'schema-yn'!$A$5,vlookup('source-upstream'!E34,YN_MAP,3,FALSE))</f>
        <v>yes</v>
      </c>
      <c r="F34" s="71" t="str">
        <f>if('source-upstream'!F34="",'schema-yn'!$A$5,vlookup('source-upstream'!F34,YN_MAP,3,FALSE))</f>
        <v>no</v>
      </c>
      <c r="G34" s="71" t="str">
        <f>if('source-upstream'!G34="",'schema-yn'!$A$5,vlookup('source-upstream'!G34,YN_MAP,3,FALSE))</f>
        <v>yes</v>
      </c>
      <c r="H34" s="71" t="str">
        <f>if('source-upstream'!H34="",'schema-yn'!$A$5,vlookup('source-upstream'!H34,RESILIENCE_OPTION_MAP,3,FALSE))</f>
        <v>alternative-supplier</v>
      </c>
      <c r="I34" s="71" t="str">
        <f>if(iserror(vlookup('source-upstream'!I34,'data-cleansing-maps'!N$5:N$10,1,FALSE)),'source-upstream'!I34,"")</f>
        <v/>
      </c>
      <c r="J34" s="87" t="str">
        <f>'source-upstream'!J34</f>
        <v>Short term impact to meet customer demand</v>
      </c>
      <c r="K34" s="71" t="str">
        <f>if('source-upstream'!K34="",'schema-yn'!$A$5,vlookup('source-upstream'!K34,YN_MAP,3,FALSE))</f>
        <v>not-provided</v>
      </c>
      <c r="L34" s="87" t="str">
        <f>if('source-upstream'!L34="Not provided","",'source-upstream'!L34)</f>
        <v/>
      </c>
      <c r="M34" s="66" t="str">
        <f>if('source-upstream'!M34="",'schema-rv-services'!$B$26,vlookup(vlookup('source-upstream'!$M34,'analysis-rv-services'!$C:$E,3,FALSE),'schema-rv-services'!$A:$B,2, FALSE))</f>
        <v>components</v>
      </c>
      <c r="N34" s="71"/>
    </row>
    <row r="35" ht="15.0" customHeight="1">
      <c r="A35" s="86" t="str">
        <f>Substitute(SUBSTITUTE(substitute(substitute(substitute(substitute(substitute(substitute(substitute(lower('source-upstream'!A35)," ","-"),"(",""),")",""),"&gt;",""),"&lt;",""),"---","-"),".","-"),"--","-"),"&amp;","-and-")</f>
        <v>clever-frilled-neck-lizard</v>
      </c>
      <c r="B35" s="86" t="str">
        <f>Substitute(SUBSTITUTE(substitute(substitute(substitute(substitute(substitute(substitute(substitute(lower('source-upstream'!B35)," ","-"),"(",""),")",""),"&gt;",""),"&lt;",""),"---","-"),".","-"),"--","-"),"&amp;","-and-")</f>
        <v>green-rosella</v>
      </c>
      <c r="C35" s="71" t="str">
        <f>if('source-upstream'!C35="",'schema-frequency'!$B$11,vlookup('source-upstream'!C35,FREQUENCY_MAP, 3, FALSE))</f>
        <v>not-provided</v>
      </c>
      <c r="D35" s="87" t="str">
        <f>'source-upstream'!D35</f>
        <v>Inventory supply</v>
      </c>
      <c r="E35" s="71" t="str">
        <f>if('source-upstream'!E35="",'schema-yn'!$A$5,vlookup('source-upstream'!E35,YN_MAP,3,FALSE))</f>
        <v>yes</v>
      </c>
      <c r="F35" s="71" t="str">
        <f>if('source-upstream'!F35="",'schema-yn'!$A$5,vlookup('source-upstream'!F35,YN_MAP,3,FALSE))</f>
        <v>no</v>
      </c>
      <c r="G35" s="71" t="str">
        <f>if('source-upstream'!G35="",'schema-yn'!$A$5,vlookup('source-upstream'!G35,YN_MAP,3,FALSE))</f>
        <v>yes</v>
      </c>
      <c r="H35" s="71" t="str">
        <f>if('source-upstream'!H35="",'schema-yn'!$A$5,vlookup('source-upstream'!H35,RESILIENCE_OPTION_MAP,3,FALSE))</f>
        <v>alternative-supplier</v>
      </c>
      <c r="I35" s="71" t="str">
        <f>if(iserror(vlookup('source-upstream'!I35,'data-cleansing-maps'!N$5:N$10,1,FALSE)),'source-upstream'!I35,"")</f>
        <v/>
      </c>
      <c r="J35" s="87" t="str">
        <f>'source-upstream'!J35</f>
        <v>Short term impact to meet customer demand</v>
      </c>
      <c r="K35" s="71" t="str">
        <f>if('source-upstream'!K35="",'schema-yn'!$A$5,vlookup('source-upstream'!K35,YN_MAP,3,FALSE))</f>
        <v>not-provided</v>
      </c>
      <c r="L35" s="87" t="str">
        <f>if('source-upstream'!L35="Not provided","",'source-upstream'!L35)</f>
        <v/>
      </c>
      <c r="M35" s="66" t="str">
        <f>if('source-upstream'!M35="",'schema-rv-services'!$B$26,vlookup(vlookup('source-upstream'!$M35,'analysis-rv-services'!$C:$E,3,FALSE),'schema-rv-services'!$A:$B,2, FALSE))</f>
        <v>components</v>
      </c>
      <c r="N35" s="71"/>
    </row>
    <row r="36" ht="15.0" customHeight="1">
      <c r="A36" s="86" t="str">
        <f>Substitute(SUBSTITUTE(substitute(substitute(substitute(substitute(substitute(substitute(substitute(lower('source-upstream'!A36)," ","-"),"(",""),")",""),"&gt;",""),"&lt;",""),"---","-"),".","-"),"--","-"),"&amp;","-and-")</f>
        <v>clever-frilled-neck-lizard</v>
      </c>
      <c r="B36" s="86" t="str">
        <f>Substitute(SUBSTITUTE(substitute(substitute(substitute(substitute(substitute(substitute(substitute(lower('source-upstream'!B36)," ","-"),"(",""),")",""),"&gt;",""),"&lt;",""),"---","-"),".","-"),"--","-"),"&amp;","-and-")</f>
        <v>green-platypus</v>
      </c>
      <c r="C36" s="71" t="str">
        <f>if('source-upstream'!C36="",'schema-frequency'!$B$11,vlookup('source-upstream'!C36,FREQUENCY_MAP, 3, FALSE))</f>
        <v>not-provided</v>
      </c>
      <c r="D36" s="87" t="str">
        <f>'source-upstream'!D36</f>
        <v>Inventory supply</v>
      </c>
      <c r="E36" s="71" t="str">
        <f>if('source-upstream'!E36="",'schema-yn'!$A$5,vlookup('source-upstream'!E36,YN_MAP,3,FALSE))</f>
        <v>yes</v>
      </c>
      <c r="F36" s="71" t="str">
        <f>if('source-upstream'!F36="",'schema-yn'!$A$5,vlookup('source-upstream'!F36,YN_MAP,3,FALSE))</f>
        <v>no</v>
      </c>
      <c r="G36" s="71" t="str">
        <f>if('source-upstream'!G36="",'schema-yn'!$A$5,vlookup('source-upstream'!G36,YN_MAP,3,FALSE))</f>
        <v>yes</v>
      </c>
      <c r="H36" s="71" t="str">
        <f>if('source-upstream'!H36="",'schema-yn'!$A$5,vlookup('source-upstream'!H36,RESILIENCE_OPTION_MAP,3,FALSE))</f>
        <v>alternative-supplier</v>
      </c>
      <c r="I36" s="71" t="str">
        <f>if(iserror(vlookup('source-upstream'!I36,'data-cleansing-maps'!N$5:N$10,1,FALSE)),'source-upstream'!I36,"")</f>
        <v/>
      </c>
      <c r="J36" s="87" t="str">
        <f>'source-upstream'!J36</f>
        <v>Short term impact to meet customer demand</v>
      </c>
      <c r="K36" s="71" t="str">
        <f>if('source-upstream'!K36="",'schema-yn'!$A$5,vlookup('source-upstream'!K36,YN_MAP,3,FALSE))</f>
        <v>not-provided</v>
      </c>
      <c r="L36" s="87" t="str">
        <f>if('source-upstream'!L36="Not provided","",'source-upstream'!L36)</f>
        <v/>
      </c>
      <c r="M36" s="66" t="str">
        <f>if('source-upstream'!M36="",'schema-rv-services'!$B$26,vlookup(vlookup('source-upstream'!$M36,'analysis-rv-services'!$C:$E,3,FALSE),'schema-rv-services'!$A:$B,2, FALSE))</f>
        <v>components</v>
      </c>
      <c r="N36" s="71"/>
    </row>
    <row r="37" ht="15.0" customHeight="1">
      <c r="A37" s="86" t="str">
        <f>Substitute(SUBSTITUTE(substitute(substitute(substitute(substitute(substitute(substitute(substitute(lower('source-upstream'!A37)," ","-"),"(",""),")",""),"&gt;",""),"&lt;",""),"---","-"),".","-"),"--","-"),"&amp;","-and-")</f>
        <v>clever-frilled-neck-lizard</v>
      </c>
      <c r="B37" s="86" t="str">
        <f>Substitute(SUBSTITUTE(substitute(substitute(substitute(substitute(substitute(substitute(substitute(lower('source-upstream'!B37)," ","-"),"(",""),")",""),"&gt;",""),"&lt;",""),"---","-"),".","-"),"--","-"),"&amp;","-and-")</f>
        <v>yellow-wombat</v>
      </c>
      <c r="C37" s="71" t="str">
        <f>if('source-upstream'!C37="",'schema-frequency'!$B$11,vlookup('source-upstream'!C37,FREQUENCY_MAP, 3, FALSE))</f>
        <v>not-provided</v>
      </c>
      <c r="D37" s="87" t="str">
        <f>'source-upstream'!D37</f>
        <v>Inventory supply</v>
      </c>
      <c r="E37" s="71" t="str">
        <f>if('source-upstream'!E37="",'schema-yn'!$A$5,vlookup('source-upstream'!E37,YN_MAP,3,FALSE))</f>
        <v>yes</v>
      </c>
      <c r="F37" s="71" t="str">
        <f>if('source-upstream'!F37="",'schema-yn'!$A$5,vlookup('source-upstream'!F37,YN_MAP,3,FALSE))</f>
        <v>no</v>
      </c>
      <c r="G37" s="71" t="str">
        <f>if('source-upstream'!G37="",'schema-yn'!$A$5,vlookup('source-upstream'!G37,YN_MAP,3,FALSE))</f>
        <v>yes</v>
      </c>
      <c r="H37" s="71" t="str">
        <f>if('source-upstream'!H37="",'schema-yn'!$A$5,vlookup('source-upstream'!H37,RESILIENCE_OPTION_MAP,3,FALSE))</f>
        <v>alternative-supplier</v>
      </c>
      <c r="I37" s="71" t="str">
        <f>if(iserror(vlookup('source-upstream'!I37,'data-cleansing-maps'!N$5:N$10,1,FALSE)),'source-upstream'!I37,"")</f>
        <v/>
      </c>
      <c r="J37" s="87" t="str">
        <f>'source-upstream'!J37</f>
        <v>Short term impact to meet customer demand</v>
      </c>
      <c r="K37" s="71" t="str">
        <f>if('source-upstream'!K37="",'schema-yn'!$A$5,vlookup('source-upstream'!K37,YN_MAP,3,FALSE))</f>
        <v>not-provided</v>
      </c>
      <c r="L37" s="87" t="str">
        <f>if('source-upstream'!L37="Not provided","",'source-upstream'!L37)</f>
        <v/>
      </c>
      <c r="M37" s="66" t="str">
        <f>if('source-upstream'!M37="",'schema-rv-services'!$B$26,vlookup(vlookup('source-upstream'!$M37,'analysis-rv-services'!$C:$E,3,FALSE),'schema-rv-services'!$A:$B,2, FALSE))</f>
        <v>components</v>
      </c>
      <c r="N37" s="71"/>
    </row>
    <row r="38" ht="15.0" customHeight="1">
      <c r="A38" s="86" t="str">
        <f>Substitute(SUBSTITUTE(substitute(substitute(substitute(substitute(substitute(substitute(substitute(lower('source-upstream'!A38)," ","-"),"(",""),")",""),"&gt;",""),"&lt;",""),"---","-"),".","-"),"--","-"),"&amp;","-and-")</f>
        <v>clever-frilled-neck-lizard</v>
      </c>
      <c r="B38" s="86" t="str">
        <f>Substitute(SUBSTITUTE(substitute(substitute(substitute(substitute(substitute(substitute(substitute(lower('source-upstream'!B38)," ","-"),"(",""),")",""),"&gt;",""),"&lt;",""),"---","-"),".","-"),"--","-"),"&amp;","-and-")</f>
        <v>noisy-cockatoo</v>
      </c>
      <c r="C38" s="71" t="str">
        <f>if('source-upstream'!C38="",'schema-frequency'!$B$11,vlookup('source-upstream'!C38,FREQUENCY_MAP, 3, FALSE))</f>
        <v>not-provided</v>
      </c>
      <c r="D38" s="87" t="str">
        <f>'source-upstream'!D38</f>
        <v>Inventory supply</v>
      </c>
      <c r="E38" s="71" t="str">
        <f>if('source-upstream'!E38="",'schema-yn'!$A$5,vlookup('source-upstream'!E38,YN_MAP,3,FALSE))</f>
        <v>yes</v>
      </c>
      <c r="F38" s="71" t="str">
        <f>if('source-upstream'!F38="",'schema-yn'!$A$5,vlookup('source-upstream'!F38,YN_MAP,3,FALSE))</f>
        <v>no</v>
      </c>
      <c r="G38" s="71" t="str">
        <f>if('source-upstream'!G38="",'schema-yn'!$A$5,vlookup('source-upstream'!G38,YN_MAP,3,FALSE))</f>
        <v>yes</v>
      </c>
      <c r="H38" s="71" t="str">
        <f>if('source-upstream'!H38="",'schema-yn'!$A$5,vlookup('source-upstream'!H38,RESILIENCE_OPTION_MAP,3,FALSE))</f>
        <v>alternative-supplier</v>
      </c>
      <c r="I38" s="71" t="str">
        <f>if(iserror(vlookup('source-upstream'!I38,'data-cleansing-maps'!N$5:N$10,1,FALSE)),'source-upstream'!I38,"")</f>
        <v/>
      </c>
      <c r="J38" s="87" t="str">
        <f>'source-upstream'!J38</f>
        <v>Short term impact to meet customer demand</v>
      </c>
      <c r="K38" s="71" t="str">
        <f>if('source-upstream'!K38="",'schema-yn'!$A$5,vlookup('source-upstream'!K38,YN_MAP,3,FALSE))</f>
        <v>not-provided</v>
      </c>
      <c r="L38" s="87" t="str">
        <f>if('source-upstream'!L38="Not provided","",'source-upstream'!L38)</f>
        <v/>
      </c>
      <c r="M38" s="66" t="str">
        <f>if('source-upstream'!M38="",'schema-rv-services'!$B$26,vlookup(vlookup('source-upstream'!$M38,'analysis-rv-services'!$C:$E,3,FALSE),'schema-rv-services'!$A:$B,2, FALSE))</f>
        <v>components</v>
      </c>
      <c r="N38" s="71"/>
    </row>
    <row r="39" ht="15.0" customHeight="1">
      <c r="A39" s="86" t="str">
        <f>Substitute(SUBSTITUTE(substitute(substitute(substitute(substitute(substitute(substitute(substitute(lower('source-upstream'!A39)," ","-"),"(",""),")",""),"&gt;",""),"&lt;",""),"---","-"),".","-"),"--","-"),"&amp;","-and-")</f>
        <v>clever-frilled-neck-lizard</v>
      </c>
      <c r="B39" s="86" t="str">
        <f>Substitute(SUBSTITUTE(substitute(substitute(substitute(substitute(substitute(substitute(substitute(lower('source-upstream'!B39)," ","-"),"(",""),")",""),"&gt;",""),"&lt;",""),"---","-"),".","-"),"--","-"),"&amp;","-and-")</f>
        <v>fuzzy-echidna</v>
      </c>
      <c r="C39" s="71" t="str">
        <f>if('source-upstream'!C39="",'schema-frequency'!$B$11,vlookup('source-upstream'!C39,FREQUENCY_MAP, 3, FALSE))</f>
        <v>not-provided</v>
      </c>
      <c r="D39" s="87" t="str">
        <f>'source-upstream'!D39</f>
        <v>Inventory supply</v>
      </c>
      <c r="E39" s="71" t="str">
        <f>if('source-upstream'!E39="",'schema-yn'!$A$5,vlookup('source-upstream'!E39,YN_MAP,3,FALSE))</f>
        <v>yes</v>
      </c>
      <c r="F39" s="71" t="str">
        <f>if('source-upstream'!F39="",'schema-yn'!$A$5,vlookup('source-upstream'!F39,YN_MAP,3,FALSE))</f>
        <v>no</v>
      </c>
      <c r="G39" s="71" t="str">
        <f>if('source-upstream'!G39="",'schema-yn'!$A$5,vlookup('source-upstream'!G39,YN_MAP,3,FALSE))</f>
        <v>yes</v>
      </c>
      <c r="H39" s="71" t="str">
        <f>if('source-upstream'!H39="",'schema-yn'!$A$5,vlookup('source-upstream'!H39,RESILIENCE_OPTION_MAP,3,FALSE))</f>
        <v>alternative-supplier</v>
      </c>
      <c r="I39" s="71" t="str">
        <f>if(iserror(vlookup('source-upstream'!I39,'data-cleansing-maps'!N$5:N$10,1,FALSE)),'source-upstream'!I39,"")</f>
        <v/>
      </c>
      <c r="J39" s="87" t="str">
        <f>'source-upstream'!J39</f>
        <v>Short term impact to meet customer demand</v>
      </c>
      <c r="K39" s="71" t="str">
        <f>if('source-upstream'!K39="",'schema-yn'!$A$5,vlookup('source-upstream'!K39,YN_MAP,3,FALSE))</f>
        <v>not-provided</v>
      </c>
      <c r="L39" s="87" t="str">
        <f>if('source-upstream'!L39="Not provided","",'source-upstream'!L39)</f>
        <v/>
      </c>
      <c r="M39" s="66" t="str">
        <f>if('source-upstream'!M39="",'schema-rv-services'!$B$26,vlookup(vlookup('source-upstream'!$M39,'analysis-rv-services'!$C:$E,3,FALSE),'schema-rv-services'!$A:$B,2, FALSE))</f>
        <v>components</v>
      </c>
      <c r="N39" s="71"/>
    </row>
    <row r="40" ht="15.0" customHeight="1">
      <c r="A40" s="86" t="str">
        <f>Substitute(SUBSTITUTE(substitute(substitute(substitute(substitute(substitute(substitute(substitute(lower('source-upstream'!A40)," ","-"),"(",""),")",""),"&gt;",""),"&lt;",""),"---","-"),".","-"),"--","-"),"&amp;","-and-")</f>
        <v>clever-frilled-neck-lizard</v>
      </c>
      <c r="B40" s="86" t="str">
        <f>Substitute(SUBSTITUTE(substitute(substitute(substitute(substitute(substitute(substitute(substitute(lower('source-upstream'!B40)," ","-"),"(",""),")",""),"&gt;",""),"&lt;",""),"---","-"),".","-"),"--","-"),"&amp;","-and-")</f>
        <v>fuzzy-goanna</v>
      </c>
      <c r="C40" s="71" t="str">
        <f>if('source-upstream'!C40="",'schema-frequency'!$B$11,vlookup('source-upstream'!C40,FREQUENCY_MAP, 3, FALSE))</f>
        <v>not-provided</v>
      </c>
      <c r="D40" s="87" t="str">
        <f>'source-upstream'!D40</f>
        <v>Inventory supply</v>
      </c>
      <c r="E40" s="71" t="str">
        <f>if('source-upstream'!E40="",'schema-yn'!$A$5,vlookup('source-upstream'!E40,YN_MAP,3,FALSE))</f>
        <v>yes</v>
      </c>
      <c r="F40" s="71" t="str">
        <f>if('source-upstream'!F40="",'schema-yn'!$A$5,vlookup('source-upstream'!F40,YN_MAP,3,FALSE))</f>
        <v>no</v>
      </c>
      <c r="G40" s="71" t="str">
        <f>if('source-upstream'!G40="",'schema-yn'!$A$5,vlookup('source-upstream'!G40,YN_MAP,3,FALSE))</f>
        <v>yes</v>
      </c>
      <c r="H40" s="71" t="str">
        <f>if('source-upstream'!H40="",'schema-yn'!$A$5,vlookup('source-upstream'!H40,RESILIENCE_OPTION_MAP,3,FALSE))</f>
        <v>alternative-supplier</v>
      </c>
      <c r="I40" s="71" t="str">
        <f>if(iserror(vlookup('source-upstream'!I40,'data-cleansing-maps'!N$5:N$10,1,FALSE)),'source-upstream'!I40,"")</f>
        <v/>
      </c>
      <c r="J40" s="87" t="str">
        <f>'source-upstream'!J40</f>
        <v>Short term impact to meet customer demand</v>
      </c>
      <c r="K40" s="71" t="str">
        <f>if('source-upstream'!K40="",'schema-yn'!$A$5,vlookup('source-upstream'!K40,YN_MAP,3,FALSE))</f>
        <v>not-provided</v>
      </c>
      <c r="L40" s="87" t="str">
        <f>if('source-upstream'!L40="Not provided","",'source-upstream'!L40)</f>
        <v/>
      </c>
      <c r="M40" s="66" t="str">
        <f>if('source-upstream'!M40="",'schema-rv-services'!$B$26,vlookup(vlookup('source-upstream'!$M40,'analysis-rv-services'!$C:$E,3,FALSE),'schema-rv-services'!$A:$B,2, FALSE))</f>
        <v>components</v>
      </c>
      <c r="N40" s="71"/>
    </row>
    <row r="41" ht="15.0" customHeight="1">
      <c r="A41" s="86" t="str">
        <f>Substitute(SUBSTITUTE(substitute(substitute(substitute(substitute(substitute(substitute(substitute(lower('source-upstream'!A41)," ","-"),"(",""),")",""),"&gt;",""),"&lt;",""),"---","-"),".","-"),"--","-"),"&amp;","-and-")</f>
        <v>clever-frilled-neck-lizard</v>
      </c>
      <c r="B41" s="86" t="str">
        <f>Substitute(SUBSTITUTE(substitute(substitute(substitute(substitute(substitute(substitute(substitute(lower('source-upstream'!B41)," ","-"),"(",""),")",""),"&gt;",""),"&lt;",""),"---","-"),".","-"),"--","-"),"&amp;","-and-")</f>
        <v>red-fairy-penguin</v>
      </c>
      <c r="C41" s="71" t="str">
        <f>if('source-upstream'!C41="",'schema-frequency'!$B$11,vlookup('source-upstream'!C41,FREQUENCY_MAP, 3, FALSE))</f>
        <v>not-provided</v>
      </c>
      <c r="D41" s="87" t="str">
        <f>'source-upstream'!D41</f>
        <v>Inventory supply</v>
      </c>
      <c r="E41" s="71" t="str">
        <f>if('source-upstream'!E41="",'schema-yn'!$A$5,vlookup('source-upstream'!E41,YN_MAP,3,FALSE))</f>
        <v>yes</v>
      </c>
      <c r="F41" s="71" t="str">
        <f>if('source-upstream'!F41="",'schema-yn'!$A$5,vlookup('source-upstream'!F41,YN_MAP,3,FALSE))</f>
        <v>no</v>
      </c>
      <c r="G41" s="71" t="str">
        <f>if('source-upstream'!G41="",'schema-yn'!$A$5,vlookup('source-upstream'!G41,YN_MAP,3,FALSE))</f>
        <v>yes</v>
      </c>
      <c r="H41" s="71" t="str">
        <f>if('source-upstream'!H41="",'schema-yn'!$A$5,vlookup('source-upstream'!H41,RESILIENCE_OPTION_MAP,3,FALSE))</f>
        <v>alternative-supplier</v>
      </c>
      <c r="I41" s="71" t="str">
        <f>if(iserror(vlookup('source-upstream'!I41,'data-cleansing-maps'!N$5:N$10,1,FALSE)),'source-upstream'!I41,"")</f>
        <v/>
      </c>
      <c r="J41" s="87" t="str">
        <f>'source-upstream'!J41</f>
        <v>Short term impact to meet customer demand</v>
      </c>
      <c r="K41" s="71" t="str">
        <f>if('source-upstream'!K41="",'schema-yn'!$A$5,vlookup('source-upstream'!K41,YN_MAP,3,FALSE))</f>
        <v>not-provided</v>
      </c>
      <c r="L41" s="87" t="str">
        <f>if('source-upstream'!L41="Not provided","",'source-upstream'!L41)</f>
        <v/>
      </c>
      <c r="M41" s="66" t="str">
        <f>if('source-upstream'!M41="",'schema-rv-services'!$B$26,vlookup(vlookup('source-upstream'!$M41,'analysis-rv-services'!$C:$E,3,FALSE),'schema-rv-services'!$A:$B,2, FALSE))</f>
        <v>components</v>
      </c>
      <c r="N41" s="71"/>
    </row>
    <row r="42" ht="15.0" customHeight="1">
      <c r="A42" s="86" t="str">
        <f>Substitute(SUBSTITUTE(substitute(substitute(substitute(substitute(substitute(substitute(substitute(lower('source-upstream'!A42)," ","-"),"(",""),")",""),"&gt;",""),"&lt;",""),"---","-"),".","-"),"--","-"),"&amp;","-and-")</f>
        <v>clever-frilled-neck-lizard</v>
      </c>
      <c r="B42" s="86" t="str">
        <f>Substitute(SUBSTITUTE(substitute(substitute(substitute(substitute(substitute(substitute(substitute(lower('source-upstream'!B42)," ","-"),"(",""),")",""),"&gt;",""),"&lt;",""),"---","-"),".","-"),"--","-"),"&amp;","-and-")</f>
        <v>red-numbat</v>
      </c>
      <c r="C42" s="71" t="str">
        <f>if('source-upstream'!C42="",'schema-frequency'!$B$11,vlookup('source-upstream'!C42,FREQUENCY_MAP, 3, FALSE))</f>
        <v>daily</v>
      </c>
      <c r="D42" s="87" t="str">
        <f>'source-upstream'!D42</f>
        <v>FOGO supply</v>
      </c>
      <c r="E42" s="71" t="str">
        <f>if('source-upstream'!E42="",'schema-yn'!$A$5,vlookup('source-upstream'!E42,YN_MAP,3,FALSE))</f>
        <v>not-provided</v>
      </c>
      <c r="F42" s="71" t="str">
        <f>if('source-upstream'!F42="",'schema-yn'!$A$5,vlookup('source-upstream'!F42,YN_MAP,3,FALSE))</f>
        <v>no</v>
      </c>
      <c r="G42" s="71" t="str">
        <f>if('source-upstream'!G42="",'schema-yn'!$A$5,vlookup('source-upstream'!G42,YN_MAP,3,FALSE))</f>
        <v>yes</v>
      </c>
      <c r="H42" s="71" t="str">
        <f>if('source-upstream'!H42="",'schema-yn'!$A$5,vlookup('source-upstream'!H42,RESILIENCE_OPTION_MAP,3,FALSE))</f>
        <v>alternative-supplier</v>
      </c>
      <c r="I42" s="71" t="str">
        <f>if(iserror(vlookup('source-upstream'!I42,'data-cleansing-maps'!N$5:N$10,1,FALSE)),'source-upstream'!I42,"")</f>
        <v/>
      </c>
      <c r="J42" s="87" t="str">
        <f>'source-upstream'!J42</f>
        <v>Short term stockpiling</v>
      </c>
      <c r="K42" s="71" t="str">
        <f>if('source-upstream'!K42="",'schema-yn'!$A$5,vlookup('source-upstream'!K42,YN_MAP,3,FALSE))</f>
        <v>not-provided</v>
      </c>
      <c r="L42" s="87" t="str">
        <f>if('source-upstream'!L42="Not provided","",'source-upstream'!L42)</f>
        <v/>
      </c>
      <c r="M42" s="66" t="str">
        <f>if('source-upstream'!M42="",'schema-rv-services'!$B$26,vlookup(vlookup('source-upstream'!$M42,'analysis-rv-services'!$C:$E,3,FALSE),'schema-rv-services'!$A:$B,2, FALSE))</f>
        <v>feedstock</v>
      </c>
      <c r="N42" s="71"/>
    </row>
    <row r="43" ht="15.0" customHeight="1">
      <c r="A43" s="86" t="str">
        <f>Substitute(SUBSTITUTE(substitute(substitute(substitute(substitute(substitute(substitute(substitute(lower('source-upstream'!A43)," ","-"),"(",""),")",""),"&gt;",""),"&lt;",""),"---","-"),".","-"),"--","-"),"&amp;","-and-")</f>
        <v>clever-frilled-neck-lizard</v>
      </c>
      <c r="B43" s="86" t="str">
        <f>Substitute(SUBSTITUTE(substitute(substitute(substitute(substitute(substitute(substitute(substitute(lower('source-upstream'!B43)," ","-"),"(",""),")",""),"&gt;",""),"&lt;",""),"---","-"),".","-"),"--","-"),"&amp;","-and-")</f>
        <v>red-numbat</v>
      </c>
      <c r="C43" s="71" t="str">
        <f>if('source-upstream'!C43="",'schema-frequency'!$B$11,vlookup('source-upstream'!C43,FREQUENCY_MAP, 3, FALSE))</f>
        <v>daily</v>
      </c>
      <c r="D43" s="87" t="str">
        <f>'source-upstream'!D43</f>
        <v>FOGO supply</v>
      </c>
      <c r="E43" s="71" t="str">
        <f>if('source-upstream'!E43="",'schema-yn'!$A$5,vlookup('source-upstream'!E43,YN_MAP,3,FALSE))</f>
        <v>not-provided</v>
      </c>
      <c r="F43" s="71" t="str">
        <f>if('source-upstream'!F43="",'schema-yn'!$A$5,vlookup('source-upstream'!F43,YN_MAP,3,FALSE))</f>
        <v>no</v>
      </c>
      <c r="G43" s="71" t="str">
        <f>if('source-upstream'!G43="",'schema-yn'!$A$5,vlookup('source-upstream'!G43,YN_MAP,3,FALSE))</f>
        <v>yes</v>
      </c>
      <c r="H43" s="71" t="str">
        <f>if('source-upstream'!H43="",'schema-yn'!$A$5,vlookup('source-upstream'!H43,RESILIENCE_OPTION_MAP,3,FALSE))</f>
        <v>alternative-supplier</v>
      </c>
      <c r="I43" s="71" t="str">
        <f>if(iserror(vlookup('source-upstream'!I43,'data-cleansing-maps'!N$5:N$10,1,FALSE)),'source-upstream'!I43,"")</f>
        <v/>
      </c>
      <c r="J43" s="87" t="str">
        <f>'source-upstream'!J43</f>
        <v>Short term stockpiling</v>
      </c>
      <c r="K43" s="71" t="str">
        <f>if('source-upstream'!K43="",'schema-yn'!$A$5,vlookup('source-upstream'!K43,YN_MAP,3,FALSE))</f>
        <v>not-provided</v>
      </c>
      <c r="L43" s="87" t="str">
        <f>if('source-upstream'!L43="Not provided","",'source-upstream'!L43)</f>
        <v/>
      </c>
      <c r="M43" s="66" t="str">
        <f>if('source-upstream'!M43="",'schema-rv-services'!$B$26,vlookup(vlookup('source-upstream'!$M43,'analysis-rv-services'!$C:$E,3,FALSE),'schema-rv-services'!$A:$B,2, FALSE))</f>
        <v>feedstock</v>
      </c>
      <c r="N43" s="71"/>
    </row>
    <row r="44" ht="15.0" customHeight="1">
      <c r="A44" s="86" t="str">
        <f>Substitute(SUBSTITUTE(substitute(substitute(substitute(substitute(substitute(substitute(substitute(lower('source-upstream'!A44)," ","-"),"(",""),")",""),"&gt;",""),"&lt;",""),"---","-"),".","-"),"--","-"),"&amp;","-and-")</f>
        <v>clever-frilled-neck-lizard</v>
      </c>
      <c r="B44" s="86" t="str">
        <f>Substitute(SUBSTITUTE(substitute(substitute(substitute(substitute(substitute(substitute(substitute(lower('source-upstream'!B44)," ","-"),"(",""),")",""),"&gt;",""),"&lt;",""),"---","-"),".","-"),"--","-"),"&amp;","-and-")</f>
        <v>red-numbat</v>
      </c>
      <c r="C44" s="71" t="str">
        <f>if('source-upstream'!C44="",'schema-frequency'!$B$11,vlookup('source-upstream'!C44,FREQUENCY_MAP, 3, FALSE))</f>
        <v>daily</v>
      </c>
      <c r="D44" s="87" t="str">
        <f>'source-upstream'!D44</f>
        <v>FOGO supply</v>
      </c>
      <c r="E44" s="71" t="str">
        <f>if('source-upstream'!E44="",'schema-yn'!$A$5,vlookup('source-upstream'!E44,YN_MAP,3,FALSE))</f>
        <v>not-provided</v>
      </c>
      <c r="F44" s="71" t="str">
        <f>if('source-upstream'!F44="",'schema-yn'!$A$5,vlookup('source-upstream'!F44,YN_MAP,3,FALSE))</f>
        <v>no</v>
      </c>
      <c r="G44" s="71" t="str">
        <f>if('source-upstream'!G44="",'schema-yn'!$A$5,vlookup('source-upstream'!G44,YN_MAP,3,FALSE))</f>
        <v>yes</v>
      </c>
      <c r="H44" s="71" t="str">
        <f>if('source-upstream'!H44="",'schema-yn'!$A$5,vlookup('source-upstream'!H44,RESILIENCE_OPTION_MAP,3,FALSE))</f>
        <v>alternative-supplier</v>
      </c>
      <c r="I44" s="71" t="str">
        <f>if(iserror(vlookup('source-upstream'!I44,'data-cleansing-maps'!N$5:N$10,1,FALSE)),'source-upstream'!I44,"")</f>
        <v/>
      </c>
      <c r="J44" s="87" t="str">
        <f>'source-upstream'!J44</f>
        <v>Short term stockpiling</v>
      </c>
      <c r="K44" s="71" t="str">
        <f>if('source-upstream'!K44="",'schema-yn'!$A$5,vlookup('source-upstream'!K44,YN_MAP,3,FALSE))</f>
        <v>not-provided</v>
      </c>
      <c r="L44" s="87" t="str">
        <f>if('source-upstream'!L44="Not provided","",'source-upstream'!L44)</f>
        <v/>
      </c>
      <c r="M44" s="66" t="str">
        <f>if('source-upstream'!M44="",'schema-rv-services'!$B$26,vlookup(vlookup('source-upstream'!$M44,'analysis-rv-services'!$C:$E,3,FALSE),'schema-rv-services'!$A:$B,2, FALSE))</f>
        <v>feedstock</v>
      </c>
      <c r="N44" s="71"/>
    </row>
    <row r="45" ht="15.0" customHeight="1">
      <c r="A45" s="86" t="str">
        <f>Substitute(SUBSTITUTE(substitute(substitute(substitute(substitute(substitute(substitute(substitute(lower('source-upstream'!A45)," ","-"),"(",""),")",""),"&gt;",""),"&lt;",""),"---","-"),".","-"),"--","-"),"&amp;","-and-")</f>
        <v>clever-frilled-neck-lizard</v>
      </c>
      <c r="B45" s="86" t="str">
        <f>Substitute(SUBSTITUTE(substitute(substitute(substitute(substitute(substitute(substitute(substitute(lower('source-upstream'!B45)," ","-"),"(",""),")",""),"&gt;",""),"&lt;",""),"---","-"),".","-"),"--","-"),"&amp;","-and-")</f>
        <v>red-numbat</v>
      </c>
      <c r="C45" s="71" t="str">
        <f>if('source-upstream'!C45="",'schema-frequency'!$B$11,vlookup('source-upstream'!C45,FREQUENCY_MAP, 3, FALSE))</f>
        <v>daily</v>
      </c>
      <c r="D45" s="87" t="str">
        <f>'source-upstream'!D45</f>
        <v>FOGO supply</v>
      </c>
      <c r="E45" s="71" t="str">
        <f>if('source-upstream'!E45="",'schema-yn'!$A$5,vlookup('source-upstream'!E45,YN_MAP,3,FALSE))</f>
        <v>not-provided</v>
      </c>
      <c r="F45" s="71" t="str">
        <f>if('source-upstream'!F45="",'schema-yn'!$A$5,vlookup('source-upstream'!F45,YN_MAP,3,FALSE))</f>
        <v>no</v>
      </c>
      <c r="G45" s="71" t="str">
        <f>if('source-upstream'!G45="",'schema-yn'!$A$5,vlookup('source-upstream'!G45,YN_MAP,3,FALSE))</f>
        <v>yes</v>
      </c>
      <c r="H45" s="71" t="str">
        <f>if('source-upstream'!H45="",'schema-yn'!$A$5,vlookup('source-upstream'!H45,RESILIENCE_OPTION_MAP,3,FALSE))</f>
        <v>alternative-supplier</v>
      </c>
      <c r="I45" s="71" t="str">
        <f>if(iserror(vlookup('source-upstream'!I45,'data-cleansing-maps'!N$5:N$10,1,FALSE)),'source-upstream'!I45,"")</f>
        <v/>
      </c>
      <c r="J45" s="87" t="str">
        <f>'source-upstream'!J45</f>
        <v>Short term stockpiling</v>
      </c>
      <c r="K45" s="71" t="str">
        <f>if('source-upstream'!K45="",'schema-yn'!$A$5,vlookup('source-upstream'!K45,YN_MAP,3,FALSE))</f>
        <v>not-provided</v>
      </c>
      <c r="L45" s="87" t="str">
        <f>if('source-upstream'!L45="Not provided","",'source-upstream'!L45)</f>
        <v/>
      </c>
      <c r="M45" s="66" t="str">
        <f>if('source-upstream'!M45="",'schema-rv-services'!$B$26,vlookup(vlookup('source-upstream'!$M45,'analysis-rv-services'!$C:$E,3,FALSE),'schema-rv-services'!$A:$B,2, FALSE))</f>
        <v>feedstock</v>
      </c>
      <c r="N45" s="71"/>
    </row>
    <row r="46" ht="15.0" customHeight="1">
      <c r="A46" s="86" t="str">
        <f>Substitute(SUBSTITUTE(substitute(substitute(substitute(substitute(substitute(substitute(substitute(lower('source-upstream'!A46)," ","-"),"(",""),")",""),"&gt;",""),"&lt;",""),"---","-"),".","-"),"--","-"),"&amp;","-and-")</f>
        <v>clever-frilled-neck-lizard</v>
      </c>
      <c r="B46" s="86" t="str">
        <f>Substitute(SUBSTITUTE(substitute(substitute(substitute(substitute(substitute(substitute(substitute(lower('source-upstream'!B46)," ","-"),"(",""),")",""),"&gt;",""),"&lt;",""),"---","-"),".","-"),"--","-"),"&amp;","-and-")</f>
        <v>red-numbat</v>
      </c>
      <c r="C46" s="71" t="str">
        <f>if('source-upstream'!C46="",'schema-frequency'!$B$11,vlookup('source-upstream'!C46,FREQUENCY_MAP, 3, FALSE))</f>
        <v>daily</v>
      </c>
      <c r="D46" s="87" t="str">
        <f>'source-upstream'!D46</f>
        <v>FOGO supply</v>
      </c>
      <c r="E46" s="71" t="str">
        <f>if('source-upstream'!E46="",'schema-yn'!$A$5,vlookup('source-upstream'!E46,YN_MAP,3,FALSE))</f>
        <v>not-provided</v>
      </c>
      <c r="F46" s="71" t="str">
        <f>if('source-upstream'!F46="",'schema-yn'!$A$5,vlookup('source-upstream'!F46,YN_MAP,3,FALSE))</f>
        <v>no</v>
      </c>
      <c r="G46" s="71" t="str">
        <f>if('source-upstream'!G46="",'schema-yn'!$A$5,vlookup('source-upstream'!G46,YN_MAP,3,FALSE))</f>
        <v>yes</v>
      </c>
      <c r="H46" s="71" t="str">
        <f>if('source-upstream'!H46="",'schema-yn'!$A$5,vlookup('source-upstream'!H46,RESILIENCE_OPTION_MAP,3,FALSE))</f>
        <v>alternative-supplier</v>
      </c>
      <c r="I46" s="71" t="str">
        <f>if(iserror(vlookup('source-upstream'!I46,'data-cleansing-maps'!N$5:N$10,1,FALSE)),'source-upstream'!I46,"")</f>
        <v/>
      </c>
      <c r="J46" s="87" t="str">
        <f>'source-upstream'!J46</f>
        <v>Short term stockpiling</v>
      </c>
      <c r="K46" s="71" t="str">
        <f>if('source-upstream'!K46="",'schema-yn'!$A$5,vlookup('source-upstream'!K46,YN_MAP,3,FALSE))</f>
        <v>not-provided</v>
      </c>
      <c r="L46" s="87" t="str">
        <f>if('source-upstream'!L46="Not provided","",'source-upstream'!L46)</f>
        <v/>
      </c>
      <c r="M46" s="66" t="str">
        <f>if('source-upstream'!M46="",'schema-rv-services'!$B$26,vlookup(vlookup('source-upstream'!$M46,'analysis-rv-services'!$C:$E,3,FALSE),'schema-rv-services'!$A:$B,2, FALSE))</f>
        <v>feedstock</v>
      </c>
      <c r="N46" s="71"/>
    </row>
    <row r="47" ht="15.0" customHeight="1">
      <c r="A47" s="86" t="str">
        <f>Substitute(SUBSTITUTE(substitute(substitute(substitute(substitute(substitute(substitute(substitute(lower('source-upstream'!A47)," ","-"),"(",""),")",""),"&gt;",""),"&lt;",""),"---","-"),".","-"),"--","-"),"&amp;","-and-")</f>
        <v>clever-frilled-neck-lizard</v>
      </c>
      <c r="B47" s="86" t="str">
        <f>Substitute(SUBSTITUTE(substitute(substitute(substitute(substitute(substitute(substitute(substitute(lower('source-upstream'!B47)," ","-"),"(",""),")",""),"&gt;",""),"&lt;",""),"---","-"),".","-"),"--","-"),"&amp;","-and-")</f>
        <v>red-numbat</v>
      </c>
      <c r="C47" s="71" t="str">
        <f>if('source-upstream'!C47="",'schema-frequency'!$B$11,vlookup('source-upstream'!C47,FREQUENCY_MAP, 3, FALSE))</f>
        <v>daily</v>
      </c>
      <c r="D47" s="87" t="str">
        <f>'source-upstream'!D47</f>
        <v>FOGO supply</v>
      </c>
      <c r="E47" s="71" t="str">
        <f>if('source-upstream'!E47="",'schema-yn'!$A$5,vlookup('source-upstream'!E47,YN_MAP,3,FALSE))</f>
        <v>not-provided</v>
      </c>
      <c r="F47" s="71" t="str">
        <f>if('source-upstream'!F47="",'schema-yn'!$A$5,vlookup('source-upstream'!F47,YN_MAP,3,FALSE))</f>
        <v>no</v>
      </c>
      <c r="G47" s="71" t="str">
        <f>if('source-upstream'!G47="",'schema-yn'!$A$5,vlookup('source-upstream'!G47,YN_MAP,3,FALSE))</f>
        <v>yes</v>
      </c>
      <c r="H47" s="71" t="str">
        <f>if('source-upstream'!H47="",'schema-yn'!$A$5,vlookup('source-upstream'!H47,RESILIENCE_OPTION_MAP,3,FALSE))</f>
        <v>alternative-supplier</v>
      </c>
      <c r="I47" s="71" t="str">
        <f>if(iserror(vlookup('source-upstream'!I47,'data-cleansing-maps'!N$5:N$10,1,FALSE)),'source-upstream'!I47,"")</f>
        <v/>
      </c>
      <c r="J47" s="87" t="str">
        <f>'source-upstream'!J47</f>
        <v>Short term stockpiling</v>
      </c>
      <c r="K47" s="71" t="str">
        <f>if('source-upstream'!K47="",'schema-yn'!$A$5,vlookup('source-upstream'!K47,YN_MAP,3,FALSE))</f>
        <v>not-provided</v>
      </c>
      <c r="L47" s="87" t="str">
        <f>if('source-upstream'!L47="Not provided","",'source-upstream'!L47)</f>
        <v/>
      </c>
      <c r="M47" s="66" t="str">
        <f>if('source-upstream'!M47="",'schema-rv-services'!$B$26,vlookup(vlookup('source-upstream'!$M47,'analysis-rv-services'!$C:$E,3,FALSE),'schema-rv-services'!$A:$B,2, FALSE))</f>
        <v>feedstock</v>
      </c>
      <c r="N47" s="71"/>
    </row>
    <row r="48" ht="15.0" customHeight="1">
      <c r="A48" s="86" t="str">
        <f>Substitute(SUBSTITUTE(substitute(substitute(substitute(substitute(substitute(substitute(substitute(lower('source-upstream'!A48)," ","-"),"(",""),")",""),"&gt;",""),"&lt;",""),"---","-"),".","-"),"--","-"),"&amp;","-and-")</f>
        <v>fuzzy-perentie</v>
      </c>
      <c r="B48" s="86" t="str">
        <f>Substitute(SUBSTITUTE(substitute(substitute(substitute(substitute(substitute(substitute(substitute(lower('source-upstream'!B48)," ","-"),"(",""),")",""),"&gt;",""),"&lt;",""),"---","-"),".","-"),"--","-"),"&amp;","-and-")</f>
        <v>lazy-cockatoo</v>
      </c>
      <c r="C48" s="71" t="str">
        <f>if('source-upstream'!C48="",'schema-frequency'!$B$11,vlookup('source-upstream'!C48,FREQUENCY_MAP, 3, FALSE))</f>
        <v>daily</v>
      </c>
      <c r="D48" s="87" t="str">
        <f>'source-upstream'!D48</f>
        <v>Transport</v>
      </c>
      <c r="E48" s="71" t="str">
        <f>if('source-upstream'!E48="",'schema-yn'!$A$5,vlookup('source-upstream'!E48,YN_MAP,3,FALSE))</f>
        <v>not-provided</v>
      </c>
      <c r="F48" s="71" t="str">
        <f>if('source-upstream'!F48="",'schema-yn'!$A$5,vlookup('source-upstream'!F48,YN_MAP,3,FALSE))</f>
        <v>not-provided</v>
      </c>
      <c r="G48" s="71" t="str">
        <f>if('source-upstream'!G48="",'schema-yn'!$A$5,vlookup('source-upstream'!G48,YN_MAP,3,FALSE))</f>
        <v>not-provided</v>
      </c>
      <c r="H48" s="71" t="str">
        <f>if('source-upstream'!H48="",'schema-yn'!$A$5,vlookup('source-upstream'!H48,RESILIENCE_OPTION_MAP,3,FALSE))</f>
        <v>not-provided</v>
      </c>
      <c r="I48" s="71" t="str">
        <f>if(iserror(vlookup('source-upstream'!I48,'data-cleansing-maps'!N$5:N$10,1,FALSE)),'source-upstream'!I48,"")</f>
        <v/>
      </c>
      <c r="J48" s="87" t="str">
        <f>'source-upstream'!J48</f>
        <v>No comments provided</v>
      </c>
      <c r="K48" s="71" t="str">
        <f>if('source-upstream'!K48="",'schema-yn'!$A$5,vlookup('source-upstream'!K48,YN_MAP,3,FALSE))</f>
        <v>not-provided</v>
      </c>
      <c r="L48" s="87" t="str">
        <f>if('source-upstream'!L48="Not provided","",'source-upstream'!L48)</f>
        <v/>
      </c>
      <c r="M48" s="66" t="str">
        <f>if('source-upstream'!M48="",'schema-rv-services'!$B$26,vlookup(vlookup('source-upstream'!$M48,'analysis-rv-services'!$C:$E,3,FALSE),'schema-rv-services'!$A:$B,2, FALSE))</f>
        <v>transport</v>
      </c>
      <c r="N48" s="71"/>
    </row>
    <row r="49" ht="15.0" customHeight="1">
      <c r="A49" s="86" t="str">
        <f>Substitute(SUBSTITUTE(substitute(substitute(substitute(substitute(substitute(substitute(substitute(lower('source-upstream'!A49)," ","-"),"(",""),")",""),"&gt;",""),"&lt;",""),"---","-"),".","-"),"--","-"),"&amp;","-and-")</f>
        <v>fuzzy-perentie</v>
      </c>
      <c r="B49" s="86" t="str">
        <f>Substitute(SUBSTITUTE(substitute(substitute(substitute(substitute(substitute(substitute(substitute(lower('source-upstream'!B49)," ","-"),"(",""),")",""),"&gt;",""),"&lt;",""),"---","-"),".","-"),"--","-"),"&amp;","-and-")</f>
        <v>shy-australian-magpie</v>
      </c>
      <c r="C49" s="71" t="str">
        <f>if('source-upstream'!C49="",'schema-frequency'!$B$11,vlookup('source-upstream'!C49,FREQUENCY_MAP, 3, FALSE))</f>
        <v>ad-hoc</v>
      </c>
      <c r="D49" s="87" t="str">
        <f>'source-upstream'!D49</f>
        <v>Emergency power supply</v>
      </c>
      <c r="E49" s="71" t="str">
        <f>if('source-upstream'!E49="",'schema-yn'!$A$5,vlookup('source-upstream'!E49,YN_MAP,3,FALSE))</f>
        <v>not-provided</v>
      </c>
      <c r="F49" s="71" t="str">
        <f>if('source-upstream'!F49="",'schema-yn'!$A$5,vlookup('source-upstream'!F49,YN_MAP,3,FALSE))</f>
        <v>not-provided</v>
      </c>
      <c r="G49" s="71" t="str">
        <f>if('source-upstream'!G49="",'schema-yn'!$A$5,vlookup('source-upstream'!G49,YN_MAP,3,FALSE))</f>
        <v>not-provided</v>
      </c>
      <c r="H49" s="71" t="str">
        <f>if('source-upstream'!H49="",'schema-yn'!$A$5,vlookup('source-upstream'!H49,RESILIENCE_OPTION_MAP,3,FALSE))</f>
        <v>not-provided</v>
      </c>
      <c r="I49" s="71" t="str">
        <f>if(iserror(vlookup('source-upstream'!I49,'data-cleansing-maps'!N$5:N$10,1,FALSE)),'source-upstream'!I49,"")</f>
        <v/>
      </c>
      <c r="J49" s="87" t="str">
        <f>'source-upstream'!J49</f>
        <v>No comments provided</v>
      </c>
      <c r="K49" s="71" t="str">
        <f>if('source-upstream'!K49="",'schema-yn'!$A$5,vlookup('source-upstream'!K49,YN_MAP,3,FALSE))</f>
        <v>not-provided</v>
      </c>
      <c r="L49" s="87" t="str">
        <f>if('source-upstream'!L49="Not provided","",'source-upstream'!L49)</f>
        <v/>
      </c>
      <c r="M49" s="66" t="str">
        <f>if('source-upstream'!M49="",'schema-rv-services'!$B$26,vlookup(vlookup('source-upstream'!$M49,'analysis-rv-services'!$C:$E,3,FALSE),'schema-rv-services'!$A:$B,2, FALSE))</f>
        <v>plant-and-equipment</v>
      </c>
      <c r="N49" s="71"/>
    </row>
    <row r="50" ht="15.0" customHeight="1">
      <c r="A50" s="86" t="str">
        <f>Substitute(SUBSTITUTE(substitute(substitute(substitute(substitute(substitute(substitute(substitute(lower('source-upstream'!A50)," ","-"),"(",""),")",""),"&gt;",""),"&lt;",""),"---","-"),".","-"),"--","-"),"&amp;","-and-")</f>
        <v>fuzzy-perentie</v>
      </c>
      <c r="B50" s="86" t="str">
        <f>Substitute(SUBSTITUTE(substitute(substitute(substitute(substitute(substitute(substitute(substitute(lower('source-upstream'!B50)," ","-"),"(",""),")",""),"&gt;",""),"&lt;",""),"---","-"),".","-"),"--","-"),"&amp;","-and-")</f>
        <v>sleepy-lyrebird</v>
      </c>
      <c r="C50" s="71" t="str">
        <f>if('source-upstream'!C50="",'schema-frequency'!$B$11,vlookup('source-upstream'!C50,FREQUENCY_MAP, 3, FALSE))</f>
        <v>ad-hoc</v>
      </c>
      <c r="D50" s="87" t="str">
        <f>'source-upstream'!D50</f>
        <v>Temporary crushing plant</v>
      </c>
      <c r="E50" s="71" t="str">
        <f>if('source-upstream'!E50="",'schema-yn'!$A$5,vlookup('source-upstream'!E50,YN_MAP,3,FALSE))</f>
        <v>not-provided</v>
      </c>
      <c r="F50" s="71" t="str">
        <f>if('source-upstream'!F50="",'schema-yn'!$A$5,vlookup('source-upstream'!F50,YN_MAP,3,FALSE))</f>
        <v>not-provided</v>
      </c>
      <c r="G50" s="71" t="str">
        <f>if('source-upstream'!G50="",'schema-yn'!$A$5,vlookup('source-upstream'!G50,YN_MAP,3,FALSE))</f>
        <v>not-provided</v>
      </c>
      <c r="H50" s="71" t="str">
        <f>if('source-upstream'!H50="",'schema-yn'!$A$5,vlookup('source-upstream'!H50,RESILIENCE_OPTION_MAP,3,FALSE))</f>
        <v>not-provided</v>
      </c>
      <c r="I50" s="71" t="str">
        <f>if(iserror(vlookup('source-upstream'!I50,'data-cleansing-maps'!N$5:N$10,1,FALSE)),'source-upstream'!I50,"")</f>
        <v/>
      </c>
      <c r="J50" s="87" t="str">
        <f>'source-upstream'!J50</f>
        <v>No comments provided</v>
      </c>
      <c r="K50" s="71" t="str">
        <f>if('source-upstream'!K50="",'schema-yn'!$A$5,vlookup('source-upstream'!K50,YN_MAP,3,FALSE))</f>
        <v>not-provided</v>
      </c>
      <c r="L50" s="87" t="str">
        <f>if('source-upstream'!L50="Not provided","",'source-upstream'!L50)</f>
        <v/>
      </c>
      <c r="M50" s="66" t="str">
        <f>if('source-upstream'!M50="",'schema-rv-services'!$B$26,vlookup(vlookup('source-upstream'!$M50,'analysis-rv-services'!$C:$E,3,FALSE),'schema-rv-services'!$A:$B,2, FALSE))</f>
        <v>plant-and-equipment</v>
      </c>
      <c r="N50" s="71"/>
    </row>
    <row r="51" ht="15.0" customHeight="1">
      <c r="A51" s="86" t="str">
        <f>Substitute(SUBSTITUTE(substitute(substitute(substitute(substitute(substitute(substitute(substitute(lower('source-upstream'!A51)," ","-"),"(",""),")",""),"&gt;",""),"&lt;",""),"---","-"),".","-"),"--","-"),"&amp;","-and-")</f>
        <v>fuzzy-perentie</v>
      </c>
      <c r="B51" s="86" t="str">
        <f>Substitute(SUBSTITUTE(substitute(substitute(substitute(substitute(substitute(substitute(substitute(lower('source-upstream'!B51)," ","-"),"(",""),")",""),"&gt;",""),"&lt;",""),"---","-"),".","-"),"--","-"),"&amp;","-and-")</f>
        <v>silent-sugar-glider</v>
      </c>
      <c r="C51" s="71" t="str">
        <f>if('source-upstream'!C51="",'schema-frequency'!$B$11,vlookup('source-upstream'!C51,FREQUENCY_MAP, 3, FALSE))</f>
        <v>ad-hoc</v>
      </c>
      <c r="D51" s="87" t="str">
        <f>'source-upstream'!D51</f>
        <v>Temporary crushing plant</v>
      </c>
      <c r="E51" s="71" t="str">
        <f>if('source-upstream'!E51="",'schema-yn'!$A$5,vlookup('source-upstream'!E51,YN_MAP,3,FALSE))</f>
        <v>not-provided</v>
      </c>
      <c r="F51" s="71" t="str">
        <f>if('source-upstream'!F51="",'schema-yn'!$A$5,vlookup('source-upstream'!F51,YN_MAP,3,FALSE))</f>
        <v>not-provided</v>
      </c>
      <c r="G51" s="71" t="str">
        <f>if('source-upstream'!G51="",'schema-yn'!$A$5,vlookup('source-upstream'!G51,YN_MAP,3,FALSE))</f>
        <v>not-provided</v>
      </c>
      <c r="H51" s="71" t="str">
        <f>if('source-upstream'!H51="",'schema-yn'!$A$5,vlookup('source-upstream'!H51,RESILIENCE_OPTION_MAP,3,FALSE))</f>
        <v>not-provided</v>
      </c>
      <c r="I51" s="71" t="str">
        <f>if(iserror(vlookup('source-upstream'!I51,'data-cleansing-maps'!N$5:N$10,1,FALSE)),'source-upstream'!I51,"")</f>
        <v/>
      </c>
      <c r="J51" s="87" t="str">
        <f>'source-upstream'!J51</f>
        <v>No comments provided</v>
      </c>
      <c r="K51" s="71" t="str">
        <f>if('source-upstream'!K51="",'schema-yn'!$A$5,vlookup('source-upstream'!K51,YN_MAP,3,FALSE))</f>
        <v>not-provided</v>
      </c>
      <c r="L51" s="87" t="str">
        <f>if('source-upstream'!L51="Not provided","",'source-upstream'!L51)</f>
        <v/>
      </c>
      <c r="M51" s="66" t="str">
        <f>if('source-upstream'!M51="",'schema-rv-services'!$B$26,vlookup(vlookup('source-upstream'!$M51,'analysis-rv-services'!$C:$E,3,FALSE),'schema-rv-services'!$A:$B,2, FALSE))</f>
        <v>plant-and-equipment</v>
      </c>
      <c r="N51" s="71"/>
    </row>
    <row r="52" ht="15.0" customHeight="1">
      <c r="A52" s="86" t="str">
        <f>Substitute(SUBSTITUTE(substitute(substitute(substitute(substitute(substitute(substitute(substitute(lower('source-upstream'!A52)," ","-"),"(",""),")",""),"&gt;",""),"&lt;",""),"---","-"),".","-"),"--","-"),"&amp;","-and-")</f>
        <v>fuzzy-perentie</v>
      </c>
      <c r="B52" s="86" t="str">
        <f>Substitute(SUBSTITUTE(substitute(substitute(substitute(substitute(substitute(substitute(substitute(lower('source-upstream'!B52)," ","-"),"(",""),")",""),"&gt;",""),"&lt;",""),"---","-"),".","-"),"--","-"),"&amp;","-and-")</f>
        <v>shy-possum</v>
      </c>
      <c r="C52" s="71" t="str">
        <f>if('source-upstream'!C52="",'schema-frequency'!$B$11,vlookup('source-upstream'!C52,FREQUENCY_MAP, 3, FALSE))</f>
        <v>ad-hoc</v>
      </c>
      <c r="D52" s="87" t="str">
        <f>'source-upstream'!D52</f>
        <v>Emergency repairs</v>
      </c>
      <c r="E52" s="71" t="str">
        <f>if('source-upstream'!E52="",'schema-yn'!$A$5,vlookup('source-upstream'!E52,YN_MAP,3,FALSE))</f>
        <v>not-provided</v>
      </c>
      <c r="F52" s="71" t="str">
        <f>if('source-upstream'!F52="",'schema-yn'!$A$5,vlookup('source-upstream'!F52,YN_MAP,3,FALSE))</f>
        <v>not-provided</v>
      </c>
      <c r="G52" s="71" t="str">
        <f>if('source-upstream'!G52="",'schema-yn'!$A$5,vlookup('source-upstream'!G52,YN_MAP,3,FALSE))</f>
        <v>not-provided</v>
      </c>
      <c r="H52" s="71" t="str">
        <f>if('source-upstream'!H52="",'schema-yn'!$A$5,vlookup('source-upstream'!H52,RESILIENCE_OPTION_MAP,3,FALSE))</f>
        <v>not-provided</v>
      </c>
      <c r="I52" s="71" t="str">
        <f>if(iserror(vlookup('source-upstream'!I52,'data-cleansing-maps'!N$5:N$10,1,FALSE)),'source-upstream'!I52,"")</f>
        <v/>
      </c>
      <c r="J52" s="87" t="str">
        <f>'source-upstream'!J52</f>
        <v>No comments provided</v>
      </c>
      <c r="K52" s="71" t="str">
        <f>if('source-upstream'!K52="",'schema-yn'!$A$5,vlookup('source-upstream'!K52,YN_MAP,3,FALSE))</f>
        <v>not-provided</v>
      </c>
      <c r="L52" s="87" t="str">
        <f>if('source-upstream'!L52="Not provided","",'source-upstream'!L52)</f>
        <v/>
      </c>
      <c r="M52" s="66" t="str">
        <f>if('source-upstream'!M52="",'schema-rv-services'!$B$26,vlookup(vlookup('source-upstream'!$M52,'analysis-rv-services'!$C:$E,3,FALSE),'schema-rv-services'!$A:$B,2, FALSE))</f>
        <v>repairs-and-maintenance</v>
      </c>
      <c r="N52" s="71"/>
    </row>
    <row r="53" ht="15.0" customHeight="1">
      <c r="A53" s="86" t="str">
        <f>Substitute(SUBSTITUTE(substitute(substitute(substitute(substitute(substitute(substitute(substitute(lower('source-upstream'!A53)," ","-"),"(",""),")",""),"&gt;",""),"&lt;",""),"---","-"),".","-"),"--","-"),"&amp;","-and-")</f>
        <v>fuzzy-perentie</v>
      </c>
      <c r="B53" s="86" t="str">
        <f>Substitute(SUBSTITUTE(substitute(substitute(substitute(substitute(substitute(substitute(substitute(lower('source-upstream'!B53)," ","-"),"(",""),")",""),"&gt;",""),"&lt;",""),"---","-"),".","-"),"--","-"),"&amp;","-and-")</f>
        <v>golden-australian-magpie</v>
      </c>
      <c r="C53" s="71" t="str">
        <f>if('source-upstream'!C53="",'schema-frequency'!$B$11,vlookup('source-upstream'!C53,FREQUENCY_MAP, 3, FALSE))</f>
        <v>ad-hoc</v>
      </c>
      <c r="D53" s="87" t="str">
        <f>'source-upstream'!D53</f>
        <v>Emergency repairs</v>
      </c>
      <c r="E53" s="71" t="str">
        <f>if('source-upstream'!E53="",'schema-yn'!$A$5,vlookup('source-upstream'!E53,YN_MAP,3,FALSE))</f>
        <v>not-provided</v>
      </c>
      <c r="F53" s="71" t="str">
        <f>if('source-upstream'!F53="",'schema-yn'!$A$5,vlookup('source-upstream'!F53,YN_MAP,3,FALSE))</f>
        <v>not-provided</v>
      </c>
      <c r="G53" s="71" t="str">
        <f>if('source-upstream'!G53="",'schema-yn'!$A$5,vlookup('source-upstream'!G53,YN_MAP,3,FALSE))</f>
        <v>not-provided</v>
      </c>
      <c r="H53" s="71" t="str">
        <f>if('source-upstream'!H53="",'schema-yn'!$A$5,vlookup('source-upstream'!H53,RESILIENCE_OPTION_MAP,3,FALSE))</f>
        <v>not-provided</v>
      </c>
      <c r="I53" s="71" t="str">
        <f>if(iserror(vlookup('source-upstream'!I53,'data-cleansing-maps'!N$5:N$10,1,FALSE)),'source-upstream'!I53,"")</f>
        <v/>
      </c>
      <c r="J53" s="87" t="str">
        <f>'source-upstream'!J53</f>
        <v>No comments provided</v>
      </c>
      <c r="K53" s="71" t="str">
        <f>if('source-upstream'!K53="",'schema-yn'!$A$5,vlookup('source-upstream'!K53,YN_MAP,3,FALSE))</f>
        <v>not-provided</v>
      </c>
      <c r="L53" s="87" t="str">
        <f>if('source-upstream'!L53="Not provided","",'source-upstream'!L53)</f>
        <v/>
      </c>
      <c r="M53" s="66" t="str">
        <f>if('source-upstream'!M53="",'schema-rv-services'!$B$26,vlookup(vlookup('source-upstream'!$M53,'analysis-rv-services'!$C:$E,3,FALSE),'schema-rv-services'!$A:$B,2, FALSE))</f>
        <v>repairs-and-maintenance</v>
      </c>
      <c r="N53" s="71"/>
    </row>
    <row r="54" ht="15.0" customHeight="1">
      <c r="A54" s="86" t="str">
        <f>Substitute(SUBSTITUTE(substitute(substitute(substitute(substitute(substitute(substitute(substitute(lower('source-upstream'!A54)," ","-"),"(",""),")",""),"&gt;",""),"&lt;",""),"---","-"),".","-"),"--","-"),"&amp;","-and-")</f>
        <v>fuzzy-perentie</v>
      </c>
      <c r="B54" s="86" t="str">
        <f>Substitute(SUBSTITUTE(substitute(substitute(substitute(substitute(substitute(substitute(substitute(lower('source-upstream'!B54)," ","-"),"(",""),")",""),"&gt;",""),"&lt;",""),"---","-"),".","-"),"--","-"),"&amp;","-and-")</f>
        <v>sleepy-sugar-glider</v>
      </c>
      <c r="C54" s="71" t="str">
        <f>if('source-upstream'!C54="",'schema-frequency'!$B$11,vlookup('source-upstream'!C54,FREQUENCY_MAP, 3, FALSE))</f>
        <v>ad-hoc</v>
      </c>
      <c r="D54" s="87" t="str">
        <f>'source-upstream'!D54</f>
        <v>Asbestos removal</v>
      </c>
      <c r="E54" s="71" t="str">
        <f>if('source-upstream'!E54="",'schema-yn'!$A$5,vlookup('source-upstream'!E54,YN_MAP,3,FALSE))</f>
        <v>not-provided</v>
      </c>
      <c r="F54" s="71" t="str">
        <f>if('source-upstream'!F54="",'schema-yn'!$A$5,vlookup('source-upstream'!F54,YN_MAP,3,FALSE))</f>
        <v>not-provided</v>
      </c>
      <c r="G54" s="71" t="str">
        <f>if('source-upstream'!G54="",'schema-yn'!$A$5,vlookup('source-upstream'!G54,YN_MAP,3,FALSE))</f>
        <v>not-provided</v>
      </c>
      <c r="H54" s="71" t="str">
        <f>if('source-upstream'!H54="",'schema-yn'!$A$5,vlookup('source-upstream'!H54,RESILIENCE_OPTION_MAP,3,FALSE))</f>
        <v>not-provided</v>
      </c>
      <c r="I54" s="71" t="str">
        <f>if(iserror(vlookup('source-upstream'!I54,'data-cleansing-maps'!N$5:N$10,1,FALSE)),'source-upstream'!I54,"")</f>
        <v/>
      </c>
      <c r="J54" s="87" t="str">
        <f>'source-upstream'!J54</f>
        <v>No comments provided</v>
      </c>
      <c r="K54" s="71" t="str">
        <f>if('source-upstream'!K54="",'schema-yn'!$A$5,vlookup('source-upstream'!K54,YN_MAP,3,FALSE))</f>
        <v>not-provided</v>
      </c>
      <c r="L54" s="87" t="str">
        <f>if('source-upstream'!L54="Not provided","",'source-upstream'!L54)</f>
        <v/>
      </c>
      <c r="M54" s="66" t="str">
        <f>if('source-upstream'!M54="",'schema-rv-services'!$B$26,vlookup(vlookup('source-upstream'!$M54,'analysis-rv-services'!$C:$E,3,FALSE),'schema-rv-services'!$A:$B,2, FALSE))</f>
        <v>asbestos</v>
      </c>
      <c r="N54" s="71"/>
    </row>
    <row r="55" ht="15.0" customHeight="1">
      <c r="A55" s="86" t="str">
        <f>Substitute(SUBSTITUTE(substitute(substitute(substitute(substitute(substitute(substitute(substitute(lower('source-upstream'!A55)," ","-"),"(",""),")",""),"&gt;",""),"&lt;",""),"---","-"),".","-"),"--","-"),"&amp;","-and-")</f>
        <v>fuzzy-perentie</v>
      </c>
      <c r="B55" s="86" t="str">
        <f>Substitute(SUBSTITUTE(substitute(substitute(substitute(substitute(substitute(substitute(substitute(lower('source-upstream'!B55)," ","-"),"(",""),")",""),"&gt;",""),"&lt;",""),"---","-"),".","-"),"--","-"),"&amp;","-and-")</f>
        <v>shy-cockatoo</v>
      </c>
      <c r="C55" s="71" t="str">
        <f>if('source-upstream'!C55="",'schema-frequency'!$B$11,vlookup('source-upstream'!C55,FREQUENCY_MAP, 3, FALSE))</f>
        <v>ad-hoc</v>
      </c>
      <c r="D55" s="87" t="str">
        <f>'source-upstream'!D55</f>
        <v>Emergency repairs</v>
      </c>
      <c r="E55" s="71" t="str">
        <f>if('source-upstream'!E55="",'schema-yn'!$A$5,vlookup('source-upstream'!E55,YN_MAP,3,FALSE))</f>
        <v>not-provided</v>
      </c>
      <c r="F55" s="71" t="str">
        <f>if('source-upstream'!F55="",'schema-yn'!$A$5,vlookup('source-upstream'!F55,YN_MAP,3,FALSE))</f>
        <v>not-provided</v>
      </c>
      <c r="G55" s="71" t="str">
        <f>if('source-upstream'!G55="",'schema-yn'!$A$5,vlookup('source-upstream'!G55,YN_MAP,3,FALSE))</f>
        <v>not-provided</v>
      </c>
      <c r="H55" s="71" t="str">
        <f>if('source-upstream'!H55="",'schema-yn'!$A$5,vlookup('source-upstream'!H55,RESILIENCE_OPTION_MAP,3,FALSE))</f>
        <v>not-provided</v>
      </c>
      <c r="I55" s="71" t="str">
        <f>if(iserror(vlookup('source-upstream'!I55,'data-cleansing-maps'!N$5:N$10,1,FALSE)),'source-upstream'!I55,"")</f>
        <v/>
      </c>
      <c r="J55" s="87" t="str">
        <f>'source-upstream'!J55</f>
        <v>No comments provided</v>
      </c>
      <c r="K55" s="71" t="str">
        <f>if('source-upstream'!K55="",'schema-yn'!$A$5,vlookup('source-upstream'!K55,YN_MAP,3,FALSE))</f>
        <v>not-provided</v>
      </c>
      <c r="L55" s="87" t="str">
        <f>if('source-upstream'!L55="Not provided","",'source-upstream'!L55)</f>
        <v/>
      </c>
      <c r="M55" s="66" t="str">
        <f>if('source-upstream'!M55="",'schema-rv-services'!$B$26,vlookup(vlookup('source-upstream'!$M55,'analysis-rv-services'!$C:$E,3,FALSE),'schema-rv-services'!$A:$B,2, FALSE))</f>
        <v>plant-and-equipment</v>
      </c>
      <c r="N55" s="71"/>
    </row>
    <row r="56" ht="15.0" customHeight="1">
      <c r="A56" s="86" t="str">
        <f>Substitute(SUBSTITUTE(substitute(substitute(substitute(substitute(substitute(substitute(substitute(lower('source-upstream'!A56)," ","-"),"(",""),")",""),"&gt;",""),"&lt;",""),"---","-"),".","-"),"--","-"),"&amp;","-and-")</f>
        <v>fuzzy-perentie</v>
      </c>
      <c r="B56" s="86" t="str">
        <f>Substitute(SUBSTITUTE(substitute(substitute(substitute(substitute(substitute(substitute(substitute(lower('source-upstream'!B56)," ","-"),"(",""),")",""),"&gt;",""),"&lt;",""),"---","-"),".","-"),"--","-"),"&amp;","-and-")</f>
        <v>striped-tasmanian-devil</v>
      </c>
      <c r="C56" s="71" t="str">
        <f>if('source-upstream'!C56="",'schema-frequency'!$B$11,vlookup('source-upstream'!C56,FREQUENCY_MAP, 3, FALSE))</f>
        <v>ad-hoc</v>
      </c>
      <c r="D56" s="87" t="str">
        <f>'source-upstream'!D56</f>
        <v>Emergency repairs</v>
      </c>
      <c r="E56" s="71" t="str">
        <f>if('source-upstream'!E56="",'schema-yn'!$A$5,vlookup('source-upstream'!E56,YN_MAP,3,FALSE))</f>
        <v>not-provided</v>
      </c>
      <c r="F56" s="71" t="str">
        <f>if('source-upstream'!F56="",'schema-yn'!$A$5,vlookup('source-upstream'!F56,YN_MAP,3,FALSE))</f>
        <v>not-provided</v>
      </c>
      <c r="G56" s="71" t="str">
        <f>if('source-upstream'!G56="",'schema-yn'!$A$5,vlookup('source-upstream'!G56,YN_MAP,3,FALSE))</f>
        <v>not-provided</v>
      </c>
      <c r="H56" s="71" t="str">
        <f>if('source-upstream'!H56="",'schema-yn'!$A$5,vlookup('source-upstream'!H56,RESILIENCE_OPTION_MAP,3,FALSE))</f>
        <v>not-provided</v>
      </c>
      <c r="I56" s="71" t="str">
        <f>if(iserror(vlookup('source-upstream'!I56,'data-cleansing-maps'!N$5:N$10,1,FALSE)),'source-upstream'!I56,"")</f>
        <v/>
      </c>
      <c r="J56" s="87" t="str">
        <f>'source-upstream'!J56</f>
        <v>No comments provided</v>
      </c>
      <c r="K56" s="71" t="str">
        <f>if('source-upstream'!K56="",'schema-yn'!$A$5,vlookup('source-upstream'!K56,YN_MAP,3,FALSE))</f>
        <v>not-provided</v>
      </c>
      <c r="L56" s="87" t="str">
        <f>if('source-upstream'!L56="Not provided","",'source-upstream'!L56)</f>
        <v/>
      </c>
      <c r="M56" s="66" t="str">
        <f>if('source-upstream'!M56="",'schema-rv-services'!$B$26,vlookup(vlookup('source-upstream'!$M56,'analysis-rv-services'!$C:$E,3,FALSE),'schema-rv-services'!$A:$B,2, FALSE))</f>
        <v>plant-and-equipment</v>
      </c>
      <c r="N56" s="71"/>
    </row>
    <row r="57" ht="15.0" customHeight="1">
      <c r="A57" s="86" t="str">
        <f>Substitute(SUBSTITUTE(substitute(substitute(substitute(substitute(substitute(substitute(substitute(lower('source-upstream'!A57)," ","-"),"(",""),")",""),"&gt;",""),"&lt;",""),"---","-"),".","-"),"--","-"),"&amp;","-and-")</f>
        <v>fuzzy-perentie</v>
      </c>
      <c r="B57" s="86" t="str">
        <f>Substitute(SUBSTITUTE(substitute(substitute(substitute(substitute(substitute(substitute(substitute(lower('source-upstream'!B57)," ","-"),"(",""),")",""),"&gt;",""),"&lt;",""),"---","-"),".","-"),"--","-"),"&amp;","-and-")</f>
        <v>lazy-blue-tongue-skink</v>
      </c>
      <c r="C57" s="71" t="str">
        <f>if('source-upstream'!C57="",'schema-frequency'!$B$11,vlookup('source-upstream'!C57,FREQUENCY_MAP, 3, FALSE))</f>
        <v>daily</v>
      </c>
      <c r="D57" s="87" t="str">
        <f>'source-upstream'!D57</f>
        <v>Water supply</v>
      </c>
      <c r="E57" s="71" t="str">
        <f>if('source-upstream'!E57="",'schema-yn'!$A$5,vlookup('source-upstream'!E57,YN_MAP,3,FALSE))</f>
        <v>not-provided</v>
      </c>
      <c r="F57" s="71" t="str">
        <f>if('source-upstream'!F57="",'schema-yn'!$A$5,vlookup('source-upstream'!F57,YN_MAP,3,FALSE))</f>
        <v>not-provided</v>
      </c>
      <c r="G57" s="71" t="str">
        <f>if('source-upstream'!G57="",'schema-yn'!$A$5,vlookup('source-upstream'!G57,YN_MAP,3,FALSE))</f>
        <v>not-provided</v>
      </c>
      <c r="H57" s="71" t="str">
        <f>if('source-upstream'!H57="",'schema-yn'!$A$5,vlookup('source-upstream'!H57,RESILIENCE_OPTION_MAP,3,FALSE))</f>
        <v>not-provided</v>
      </c>
      <c r="I57" s="71" t="str">
        <f>if(iserror(vlookup('source-upstream'!I57,'data-cleansing-maps'!N$5:N$10,1,FALSE)),'source-upstream'!I57,"")</f>
        <v/>
      </c>
      <c r="J57" s="87" t="str">
        <f>'source-upstream'!J57</f>
        <v>No comments provided</v>
      </c>
      <c r="K57" s="71" t="str">
        <f>if('source-upstream'!K57="",'schema-yn'!$A$5,vlookup('source-upstream'!K57,YN_MAP,3,FALSE))</f>
        <v>not-provided</v>
      </c>
      <c r="L57" s="87" t="str">
        <f>if('source-upstream'!L57="Not provided","",'source-upstream'!L57)</f>
        <v/>
      </c>
      <c r="M57" s="66" t="str">
        <f>if('source-upstream'!M57="",'schema-rv-services'!$B$26,vlookup(vlookup('source-upstream'!$M57,'analysis-rv-services'!$C:$E,3,FALSE),'schema-rv-services'!$A:$B,2, FALSE))</f>
        <v>water</v>
      </c>
      <c r="N57" s="71"/>
    </row>
    <row r="58" ht="15.0" customHeight="1">
      <c r="A58" s="86" t="str">
        <f>Substitute(SUBSTITUTE(substitute(substitute(substitute(substitute(substitute(substitute(substitute(lower('source-upstream'!A58)," ","-"),"(",""),")",""),"&gt;",""),"&lt;",""),"---","-"),".","-"),"--","-"),"&amp;","-and-")</f>
        <v>fuzzy-perentie</v>
      </c>
      <c r="B58" s="86" t="str">
        <f>Substitute(SUBSTITUTE(substitute(substitute(substitute(substitute(substitute(substitute(substitute(lower('source-upstream'!B58)," ","-"),"(",""),")",""),"&gt;",""),"&lt;",""),"---","-"),".","-"),"--","-"),"&amp;","-and-")</f>
        <v>sleepy-cassowary</v>
      </c>
      <c r="C58" s="71" t="str">
        <f>if('source-upstream'!C58="",'schema-frequency'!$B$11,vlookup('source-upstream'!C58,FREQUENCY_MAP, 3, FALSE))</f>
        <v>daily</v>
      </c>
      <c r="D58" s="87" t="str">
        <f>'source-upstream'!D58</f>
        <v>Electricity</v>
      </c>
      <c r="E58" s="71" t="str">
        <f>if('source-upstream'!E58="",'schema-yn'!$A$5,vlookup('source-upstream'!E58,YN_MAP,3,FALSE))</f>
        <v>not-provided</v>
      </c>
      <c r="F58" s="71" t="str">
        <f>if('source-upstream'!F58="",'schema-yn'!$A$5,vlookup('source-upstream'!F58,YN_MAP,3,FALSE))</f>
        <v>not-provided</v>
      </c>
      <c r="G58" s="71" t="str">
        <f>if('source-upstream'!G58="",'schema-yn'!$A$5,vlookup('source-upstream'!G58,YN_MAP,3,FALSE))</f>
        <v>not-provided</v>
      </c>
      <c r="H58" s="71" t="str">
        <f>if('source-upstream'!H58="",'schema-yn'!$A$5,vlookup('source-upstream'!H58,RESILIENCE_OPTION_MAP,3,FALSE))</f>
        <v>not-provided</v>
      </c>
      <c r="I58" s="71" t="str">
        <f>if(iserror(vlookup('source-upstream'!I58,'data-cleansing-maps'!N$5:N$10,1,FALSE)),'source-upstream'!I58,"")</f>
        <v/>
      </c>
      <c r="J58" s="87" t="str">
        <f>'source-upstream'!J58</f>
        <v>No comments provided</v>
      </c>
      <c r="K58" s="71" t="str">
        <f>if('source-upstream'!K58="",'schema-yn'!$A$5,vlookup('source-upstream'!K58,YN_MAP,3,FALSE))</f>
        <v>not-provided</v>
      </c>
      <c r="L58" s="87" t="str">
        <f>if('source-upstream'!L58="Not provided","",'source-upstream'!L58)</f>
        <v/>
      </c>
      <c r="M58" s="66" t="str">
        <f>if('source-upstream'!M58="",'schema-rv-services'!$B$26,vlookup(vlookup('source-upstream'!$M58,'analysis-rv-services'!$C:$E,3,FALSE),'schema-rv-services'!$A:$B,2, FALSE))</f>
        <v>power</v>
      </c>
      <c r="N58" s="71"/>
    </row>
    <row r="59" ht="15.0" customHeight="1">
      <c r="A59" s="86" t="str">
        <f>Substitute(SUBSTITUTE(substitute(substitute(substitute(substitute(substitute(substitute(substitute(lower('source-upstream'!A59)," ","-"),"(",""),")",""),"&gt;",""),"&lt;",""),"---","-"),".","-"),"--","-"),"&amp;","-and-")</f>
        <v>fuzzy-perentie</v>
      </c>
      <c r="B59" s="86" t="str">
        <f>Substitute(SUBSTITUTE(substitute(substitute(substitute(substitute(substitute(substitute(substitute(lower('source-upstream'!B59)," ","-"),"(",""),")",""),"&gt;",""),"&lt;",""),"---","-"),".","-"),"--","-"),"&amp;","-and-")</f>
        <v>swift-bush-stone-curlew</v>
      </c>
      <c r="C59" s="71" t="str">
        <f>if('source-upstream'!C59="",'schema-frequency'!$B$11,vlookup('source-upstream'!C59,FREQUENCY_MAP, 3, FALSE))</f>
        <v>daily</v>
      </c>
      <c r="D59" s="87" t="str">
        <f>'source-upstream'!D59</f>
        <v>Water supply</v>
      </c>
      <c r="E59" s="71" t="str">
        <f>if('source-upstream'!E59="",'schema-yn'!$A$5,vlookup('source-upstream'!E59,YN_MAP,3,FALSE))</f>
        <v>not-provided</v>
      </c>
      <c r="F59" s="71" t="str">
        <f>if('source-upstream'!F59="",'schema-yn'!$A$5,vlookup('source-upstream'!F59,YN_MAP,3,FALSE))</f>
        <v>not-provided</v>
      </c>
      <c r="G59" s="71" t="str">
        <f>if('source-upstream'!G59="",'schema-yn'!$A$5,vlookup('source-upstream'!G59,YN_MAP,3,FALSE))</f>
        <v>not-provided</v>
      </c>
      <c r="H59" s="71" t="str">
        <f>if('source-upstream'!H59="",'schema-yn'!$A$5,vlookup('source-upstream'!H59,RESILIENCE_OPTION_MAP,3,FALSE))</f>
        <v>not-provided</v>
      </c>
      <c r="I59" s="71" t="str">
        <f>if(iserror(vlookup('source-upstream'!I59,'data-cleansing-maps'!N$5:N$10,1,FALSE)),'source-upstream'!I59,"")</f>
        <v/>
      </c>
      <c r="J59" s="87" t="str">
        <f>'source-upstream'!J59</f>
        <v>No comments provided</v>
      </c>
      <c r="K59" s="71" t="str">
        <f>if('source-upstream'!K59="",'schema-yn'!$A$5,vlookup('source-upstream'!K59,YN_MAP,3,FALSE))</f>
        <v>not-provided</v>
      </c>
      <c r="L59" s="87" t="str">
        <f>if('source-upstream'!L59="Not provided","",'source-upstream'!L59)</f>
        <v/>
      </c>
      <c r="M59" s="66" t="str">
        <f>if('source-upstream'!M59="",'schema-rv-services'!$B$26,vlookup(vlookup('source-upstream'!$M59,'analysis-rv-services'!$C:$E,3,FALSE),'schema-rv-services'!$A:$B,2, FALSE))</f>
        <v>water</v>
      </c>
      <c r="N59" s="71"/>
    </row>
    <row r="60" ht="15.0" customHeight="1">
      <c r="A60" s="86" t="str">
        <f>Substitute(SUBSTITUTE(substitute(substitute(substitute(substitute(substitute(substitute(substitute(lower('source-upstream'!A60)," ","-"),"(",""),")",""),"&gt;",""),"&lt;",""),"---","-"),".","-"),"--","-"),"&amp;","-and-")</f>
        <v>fuzzy-perentie</v>
      </c>
      <c r="B60" s="86" t="str">
        <f>Substitute(SUBSTITUTE(substitute(substitute(substitute(substitute(substitute(substitute(substitute(lower('source-upstream'!B60)," ","-"),"(",""),")",""),"&gt;",""),"&lt;",""),"---","-"),".","-"),"--","-"),"&amp;","-and-")</f>
        <v>fuzzy-lyrebird</v>
      </c>
      <c r="C60" s="71" t="str">
        <f>if('source-upstream'!C60="",'schema-frequency'!$B$11,vlookup('source-upstream'!C60,FREQUENCY_MAP, 3, FALSE))</f>
        <v>daily</v>
      </c>
      <c r="D60" s="87" t="str">
        <f>'source-upstream'!D60</f>
        <v>Disposal of masonry, brick, concrete, steel and asphalt materials</v>
      </c>
      <c r="E60" s="71" t="str">
        <f>if('source-upstream'!E60="",'schema-yn'!$A$5,vlookup('source-upstream'!E60,YN_MAP,3,FALSE))</f>
        <v>not-provided</v>
      </c>
      <c r="F60" s="71" t="str">
        <f>if('source-upstream'!F60="",'schema-yn'!$A$5,vlookup('source-upstream'!F60,YN_MAP,3,FALSE))</f>
        <v>not-provided</v>
      </c>
      <c r="G60" s="71" t="str">
        <f>if('source-upstream'!G60="",'schema-yn'!$A$5,vlookup('source-upstream'!G60,YN_MAP,3,FALSE))</f>
        <v>not-provided</v>
      </c>
      <c r="H60" s="71" t="str">
        <f>if('source-upstream'!H60="",'schema-yn'!$A$5,vlookup('source-upstream'!H60,RESILIENCE_OPTION_MAP,3,FALSE))</f>
        <v>not-provided</v>
      </c>
      <c r="I60" s="71" t="str">
        <f>if(iserror(vlookup('source-upstream'!I60,'data-cleansing-maps'!N$5:N$10,1,FALSE)),'source-upstream'!I60,"")</f>
        <v/>
      </c>
      <c r="J60" s="87" t="str">
        <f>'source-upstream'!J60</f>
        <v>No comments provided</v>
      </c>
      <c r="K60" s="71" t="str">
        <f>if('source-upstream'!K60="",'schema-yn'!$A$5,vlookup('source-upstream'!K60,YN_MAP,3,FALSE))</f>
        <v>not-provided</v>
      </c>
      <c r="L60" s="87" t="str">
        <f>if('source-upstream'!L60="Not provided","",'source-upstream'!L60)</f>
        <v/>
      </c>
      <c r="M60" s="66" t="str">
        <f>if('source-upstream'!M60="",'schema-rv-services'!$B$26,vlookup(vlookup('source-upstream'!$M60,'analysis-rv-services'!$C:$E,3,FALSE),'schema-rv-services'!$A:$B,2, FALSE))</f>
        <v>feedstock</v>
      </c>
      <c r="N60" s="71"/>
    </row>
    <row r="61" ht="15.0" customHeight="1">
      <c r="A61" s="86" t="str">
        <f>Substitute(SUBSTITUTE(substitute(substitute(substitute(substitute(substitute(substitute(substitute(lower('source-upstream'!A61)," ","-"),"(",""),")",""),"&gt;",""),"&lt;",""),"---","-"),".","-"),"--","-"),"&amp;","-and-")</f>
        <v>fuzzy-sugar-glider</v>
      </c>
      <c r="B61" s="86" t="str">
        <f>Substitute(SUBSTITUTE(substitute(substitute(substitute(substitute(substitute(substitute(substitute(lower('source-upstream'!B61)," ","-"),"(",""),")",""),"&gt;",""),"&lt;",""),"---","-"),".","-"),"--","-"),"&amp;","-and-")</f>
        <v>shy-quokka</v>
      </c>
      <c r="C61" s="71" t="str">
        <f>if('source-upstream'!C61="",'schema-frequency'!$B$11,vlookup('source-upstream'!C61,FREQUENCY_MAP, 3, FALSE))</f>
        <v>unknown</v>
      </c>
      <c r="D61" s="87" t="str">
        <f>'source-upstream'!D61</f>
        <v>Not Provided</v>
      </c>
      <c r="E61" s="71" t="str">
        <f>if('source-upstream'!E61="",'schema-yn'!$A$5,vlookup('source-upstream'!E61,YN_MAP,3,FALSE))</f>
        <v>not-provided</v>
      </c>
      <c r="F61" s="71" t="str">
        <f>if('source-upstream'!F61="",'schema-yn'!$A$5,vlookup('source-upstream'!F61,YN_MAP,3,FALSE))</f>
        <v>not-provided</v>
      </c>
      <c r="G61" s="71" t="str">
        <f>if('source-upstream'!G61="",'schema-yn'!$A$5,vlookup('source-upstream'!G61,YN_MAP,3,FALSE))</f>
        <v>not-provided</v>
      </c>
      <c r="H61" s="71" t="str">
        <f>if('source-upstream'!H61="",'schema-yn'!$A$5,vlookup('source-upstream'!H61,RESILIENCE_OPTION_MAP,3,FALSE))</f>
        <v>not-provided</v>
      </c>
      <c r="I61" s="71" t="str">
        <f>if(iserror(vlookup('source-upstream'!I61,'data-cleansing-maps'!N$5:N$10,1,FALSE)),'source-upstream'!I61,"")</f>
        <v/>
      </c>
      <c r="J61" s="87" t="str">
        <f>'source-upstream'!J61</f>
        <v/>
      </c>
      <c r="K61" s="71" t="str">
        <f>if('source-upstream'!K61="",'schema-yn'!$A$5,vlookup('source-upstream'!K61,YN_MAP,3,FALSE))</f>
        <v>not-provided</v>
      </c>
      <c r="L61" s="87" t="str">
        <f>if('source-upstream'!L61="Not provided","",'source-upstream'!L61)</f>
        <v/>
      </c>
      <c r="M61" s="66" t="str">
        <f>if('source-upstream'!M61="",'schema-rv-services'!$B$26,vlookup(vlookup('source-upstream'!$M61,'analysis-rv-services'!$C:$E,3,FALSE),'schema-rv-services'!$A:$B,2, FALSE))</f>
        <v>not-provided</v>
      </c>
      <c r="N61" s="71"/>
    </row>
    <row r="62" ht="15.0" customHeight="1">
      <c r="A62" s="86" t="str">
        <f>Substitute(SUBSTITUTE(substitute(substitute(substitute(substitute(substitute(substitute(substitute(lower('source-upstream'!A62)," ","-"),"(",""),")",""),"&gt;",""),"&lt;",""),"---","-"),".","-"),"--","-"),"&amp;","-and-")</f>
        <v>golden-possum</v>
      </c>
      <c r="B62" s="86" t="str">
        <f>Substitute(SUBSTITUTE(substitute(substitute(substitute(substitute(substitute(substitute(substitute(lower('source-upstream'!B62)," ","-"),"(",""),")",""),"&gt;",""),"&lt;",""),"---","-"),".","-"),"--","-"),"&amp;","-and-")</f>
        <v>yellow-fairy-penguin</v>
      </c>
      <c r="C62" s="71" t="str">
        <f>if('source-upstream'!C62="",'schema-frequency'!$B$11,vlookup('source-upstream'!C62,FREQUENCY_MAP, 3, FALSE))</f>
        <v>not-provided</v>
      </c>
      <c r="D62" s="87" t="str">
        <f>'source-upstream'!D62</f>
        <v>Public drop off location</v>
      </c>
      <c r="E62" s="71" t="str">
        <f>if('source-upstream'!E62="",'schema-yn'!$A$5,vlookup('source-upstream'!E62,YN_MAP,3,FALSE))</f>
        <v>no</v>
      </c>
      <c r="F62" s="71" t="str">
        <f>if('source-upstream'!F62="",'schema-yn'!$A$5,vlookup('source-upstream'!F62,YN_MAP,3,FALSE))</f>
        <v>no</v>
      </c>
      <c r="G62" s="71" t="str">
        <f>if('source-upstream'!G62="",'schema-yn'!$A$5,vlookup('source-upstream'!G62,YN_MAP,3,FALSE))</f>
        <v>yes</v>
      </c>
      <c r="H62" s="71" t="str">
        <f>if('source-upstream'!H62="",'schema-yn'!$A$5,vlookup('source-upstream'!H62,RESILIENCE_OPTION_MAP,3,FALSE))</f>
        <v>alternative-supplier</v>
      </c>
      <c r="I62" s="71" t="str">
        <f>if(iserror(vlookup('source-upstream'!I62,'data-cleansing-maps'!N$5:N$10,1,FALSE)),'source-upstream'!I62,"")</f>
        <v/>
      </c>
      <c r="J62" s="87" t="str">
        <f>'source-upstream'!J62</f>
        <v>Possible short term down time. Alternative business processes until supply is resumed</v>
      </c>
      <c r="K62" s="71" t="str">
        <f>if('source-upstream'!K62="",'schema-yn'!$A$5,vlookup('source-upstream'!K62,YN_MAP,3,FALSE))</f>
        <v>not-provided</v>
      </c>
      <c r="L62" s="87" t="str">
        <f>if('source-upstream'!L62="Not provided","",'source-upstream'!L62)</f>
        <v/>
      </c>
      <c r="M62" s="66" t="str">
        <f>if('source-upstream'!M62="",'schema-rv-services'!$B$26,vlookup(vlookup('source-upstream'!$M62,'analysis-rv-services'!$C:$E,3,FALSE),'schema-rv-services'!$A:$B,2, FALSE))</f>
        <v>feedstock</v>
      </c>
      <c r="N62" s="71"/>
    </row>
    <row r="63" ht="15.0" customHeight="1">
      <c r="A63" s="86" t="str">
        <f>Substitute(SUBSTITUTE(substitute(substitute(substitute(substitute(substitute(substitute(substitute(lower('source-upstream'!A63)," ","-"),"(",""),")",""),"&gt;",""),"&lt;",""),"---","-"),".","-"),"--","-"),"&amp;","-and-")</f>
        <v>golden-possum</v>
      </c>
      <c r="B63" s="86" t="str">
        <f>Substitute(SUBSTITUTE(substitute(substitute(substitute(substitute(substitute(substitute(substitute(lower('source-upstream'!B63)," ","-"),"(",""),")",""),"&gt;",""),"&lt;",""),"---","-"),".","-"),"--","-"),"&amp;","-and-")</f>
        <v>fuzzy-wombat</v>
      </c>
      <c r="C63" s="71" t="str">
        <f>if('source-upstream'!C63="",'schema-frequency'!$B$11,vlookup('source-upstream'!C63,FREQUENCY_MAP, 3, FALSE))</f>
        <v>not-provided</v>
      </c>
      <c r="D63" s="87" t="str">
        <f>'source-upstream'!D63</f>
        <v>Public drop off location</v>
      </c>
      <c r="E63" s="71" t="str">
        <f>if('source-upstream'!E63="",'schema-yn'!$A$5,vlookup('source-upstream'!E63,YN_MAP,3,FALSE))</f>
        <v>no</v>
      </c>
      <c r="F63" s="71" t="str">
        <f>if('source-upstream'!F63="",'schema-yn'!$A$5,vlookup('source-upstream'!F63,YN_MAP,3,FALSE))</f>
        <v>no</v>
      </c>
      <c r="G63" s="71" t="str">
        <f>if('source-upstream'!G63="",'schema-yn'!$A$5,vlookup('source-upstream'!G63,YN_MAP,3,FALSE))</f>
        <v>yes</v>
      </c>
      <c r="H63" s="71" t="str">
        <f>if('source-upstream'!H63="",'schema-yn'!$A$5,vlookup('source-upstream'!H63,RESILIENCE_OPTION_MAP,3,FALSE))</f>
        <v>alternative-supplier</v>
      </c>
      <c r="I63" s="71" t="str">
        <f>if(iserror(vlookup('source-upstream'!I63,'data-cleansing-maps'!N$5:N$10,1,FALSE)),'source-upstream'!I63,"")</f>
        <v/>
      </c>
      <c r="J63" s="87" t="str">
        <f>'source-upstream'!J63</f>
        <v>Possible short term down time. Alternative business processes until supply is resumed</v>
      </c>
      <c r="K63" s="71" t="str">
        <f>if('source-upstream'!K63="",'schema-yn'!$A$5,vlookup('source-upstream'!K63,YN_MAP,3,FALSE))</f>
        <v>not-provided</v>
      </c>
      <c r="L63" s="87" t="str">
        <f>if('source-upstream'!L63="Not provided","",'source-upstream'!L63)</f>
        <v/>
      </c>
      <c r="M63" s="66" t="str">
        <f>if('source-upstream'!M63="",'schema-rv-services'!$B$26,vlookup(vlookup('source-upstream'!$M63,'analysis-rv-services'!$C:$E,3,FALSE),'schema-rv-services'!$A:$B,2, FALSE))</f>
        <v>feedstock</v>
      </c>
      <c r="N63" s="71"/>
    </row>
    <row r="64" ht="15.0" customHeight="1">
      <c r="A64" s="86" t="str">
        <f>Substitute(SUBSTITUTE(substitute(substitute(substitute(substitute(substitute(substitute(substitute(lower('source-upstream'!A64)," ","-"),"(",""),")",""),"&gt;",""),"&lt;",""),"---","-"),".","-"),"--","-"),"&amp;","-and-")</f>
        <v>golden-possum</v>
      </c>
      <c r="B64" s="86" t="str">
        <f>Substitute(SUBSTITUTE(substitute(substitute(substitute(substitute(substitute(substitute(substitute(lower('source-upstream'!B64)," ","-"),"(",""),")",""),"&gt;",""),"&lt;",""),"---","-"),".","-"),"--","-"),"&amp;","-and-")</f>
        <v>noisy-bilby</v>
      </c>
      <c r="C64" s="71" t="str">
        <f>if('source-upstream'!C64="",'schema-frequency'!$B$11,vlookup('source-upstream'!C64,FREQUENCY_MAP, 3, FALSE))</f>
        <v>not-provided</v>
      </c>
      <c r="D64" s="87" t="str">
        <f>'source-upstream'!D64</f>
        <v>Public drop off location</v>
      </c>
      <c r="E64" s="71" t="str">
        <f>if('source-upstream'!E64="",'schema-yn'!$A$5,vlookup('source-upstream'!E64,YN_MAP,3,FALSE))</f>
        <v>no</v>
      </c>
      <c r="F64" s="71" t="str">
        <f>if('source-upstream'!F64="",'schema-yn'!$A$5,vlookup('source-upstream'!F64,YN_MAP,3,FALSE))</f>
        <v>no</v>
      </c>
      <c r="G64" s="71" t="str">
        <f>if('source-upstream'!G64="",'schema-yn'!$A$5,vlookup('source-upstream'!G64,YN_MAP,3,FALSE))</f>
        <v>yes</v>
      </c>
      <c r="H64" s="71" t="str">
        <f>if('source-upstream'!H64="",'schema-yn'!$A$5,vlookup('source-upstream'!H64,RESILIENCE_OPTION_MAP,3,FALSE))</f>
        <v>alternative-supplier</v>
      </c>
      <c r="I64" s="71" t="str">
        <f>if(iserror(vlookup('source-upstream'!I64,'data-cleansing-maps'!N$5:N$10,1,FALSE)),'source-upstream'!I64,"")</f>
        <v/>
      </c>
      <c r="J64" s="87" t="str">
        <f>'source-upstream'!J64</f>
        <v>Possible short term down time. Alternative business processes until supply is resumed</v>
      </c>
      <c r="K64" s="71" t="str">
        <f>if('source-upstream'!K64="",'schema-yn'!$A$5,vlookup('source-upstream'!K64,YN_MAP,3,FALSE))</f>
        <v>not-provided</v>
      </c>
      <c r="L64" s="87" t="str">
        <f>if('source-upstream'!L64="Not provided","",'source-upstream'!L64)</f>
        <v/>
      </c>
      <c r="M64" s="66" t="str">
        <f>if('source-upstream'!M64="",'schema-rv-services'!$B$26,vlookup(vlookup('source-upstream'!$M64,'analysis-rv-services'!$C:$E,3,FALSE),'schema-rv-services'!$A:$B,2, FALSE))</f>
        <v>feedstock</v>
      </c>
      <c r="N64" s="71"/>
    </row>
    <row r="65" ht="15.0" customHeight="1">
      <c r="A65" s="86" t="str">
        <f>Substitute(SUBSTITUTE(substitute(substitute(substitute(substitute(substitute(substitute(substitute(lower('source-upstream'!A65)," ","-"),"(",""),")",""),"&gt;",""),"&lt;",""),"---","-"),".","-"),"--","-"),"&amp;","-and-")</f>
        <v>golden-possum</v>
      </c>
      <c r="B65" s="86" t="str">
        <f>Substitute(SUBSTITUTE(substitute(substitute(substitute(substitute(substitute(substitute(substitute(lower('source-upstream'!B65)," ","-"),"(",""),")",""),"&gt;",""),"&lt;",""),"---","-"),".","-"),"--","-"),"&amp;","-and-")</f>
        <v>clever-sugar-glider</v>
      </c>
      <c r="C65" s="71" t="str">
        <f>if('source-upstream'!C65="",'schema-frequency'!$B$11,vlookup('source-upstream'!C65,FREQUENCY_MAP, 3, FALSE))</f>
        <v>not-provided</v>
      </c>
      <c r="D65" s="87" t="str">
        <f>'source-upstream'!D65</f>
        <v>Public drop off location</v>
      </c>
      <c r="E65" s="71" t="str">
        <f>if('source-upstream'!E65="",'schema-yn'!$A$5,vlookup('source-upstream'!E65,YN_MAP,3,FALSE))</f>
        <v>no</v>
      </c>
      <c r="F65" s="71" t="str">
        <f>if('source-upstream'!F65="",'schema-yn'!$A$5,vlookup('source-upstream'!F65,YN_MAP,3,FALSE))</f>
        <v>no</v>
      </c>
      <c r="G65" s="71" t="str">
        <f>if('source-upstream'!G65="",'schema-yn'!$A$5,vlookup('source-upstream'!G65,YN_MAP,3,FALSE))</f>
        <v>yes</v>
      </c>
      <c r="H65" s="71" t="str">
        <f>if('source-upstream'!H65="",'schema-yn'!$A$5,vlookup('source-upstream'!H65,RESILIENCE_OPTION_MAP,3,FALSE))</f>
        <v>alternative-supplier</v>
      </c>
      <c r="I65" s="71" t="str">
        <f>if(iserror(vlookup('source-upstream'!I65,'data-cleansing-maps'!N$5:N$10,1,FALSE)),'source-upstream'!I65,"")</f>
        <v/>
      </c>
      <c r="J65" s="87" t="str">
        <f>'source-upstream'!J65</f>
        <v>Possible short term down time. Alternative business processes until supply is resumed</v>
      </c>
      <c r="K65" s="71" t="str">
        <f>if('source-upstream'!K65="",'schema-yn'!$A$5,vlookup('source-upstream'!K65,YN_MAP,3,FALSE))</f>
        <v>not-provided</v>
      </c>
      <c r="L65" s="87" t="str">
        <f>if('source-upstream'!L65="Not provided","",'source-upstream'!L65)</f>
        <v/>
      </c>
      <c r="M65" s="66" t="str">
        <f>if('source-upstream'!M65="",'schema-rv-services'!$B$26,vlookup(vlookup('source-upstream'!$M65,'analysis-rv-services'!$C:$E,3,FALSE),'schema-rv-services'!$A:$B,2, FALSE))</f>
        <v>feedstock</v>
      </c>
      <c r="N65" s="71"/>
    </row>
    <row r="66" ht="15.0" customHeight="1">
      <c r="A66" s="86" t="str">
        <f>Substitute(SUBSTITUTE(substitute(substitute(substitute(substitute(substitute(substitute(substitute(lower('source-upstream'!A66)," ","-"),"(",""),")",""),"&gt;",""),"&lt;",""),"---","-"),".","-"),"--","-"),"&amp;","-and-")</f>
        <v>golden-possum</v>
      </c>
      <c r="B66" s="86" t="str">
        <f>Substitute(SUBSTITUTE(substitute(substitute(substitute(substitute(substitute(substitute(substitute(lower('source-upstream'!B66)," ","-"),"(",""),")",""),"&gt;",""),"&lt;",""),"---","-"),".","-"),"--","-"),"&amp;","-and-")</f>
        <v>tiny-numbat</v>
      </c>
      <c r="C66" s="71" t="str">
        <f>if('source-upstream'!C66="",'schema-frequency'!$B$11,vlookup('source-upstream'!C66,FREQUENCY_MAP, 3, FALSE))</f>
        <v>not-provided</v>
      </c>
      <c r="D66" s="87" t="str">
        <f>'source-upstream'!D66</f>
        <v>Public drop off location</v>
      </c>
      <c r="E66" s="71" t="str">
        <f>if('source-upstream'!E66="",'schema-yn'!$A$5,vlookup('source-upstream'!E66,YN_MAP,3,FALSE))</f>
        <v>no</v>
      </c>
      <c r="F66" s="71" t="str">
        <f>if('source-upstream'!F66="",'schema-yn'!$A$5,vlookup('source-upstream'!F66,YN_MAP,3,FALSE))</f>
        <v>no</v>
      </c>
      <c r="G66" s="71" t="str">
        <f>if('source-upstream'!G66="",'schema-yn'!$A$5,vlookup('source-upstream'!G66,YN_MAP,3,FALSE))</f>
        <v>yes</v>
      </c>
      <c r="H66" s="71" t="str">
        <f>if('source-upstream'!H66="",'schema-yn'!$A$5,vlookup('source-upstream'!H66,RESILIENCE_OPTION_MAP,3,FALSE))</f>
        <v>alternative-supplier</v>
      </c>
      <c r="I66" s="71" t="str">
        <f>if(iserror(vlookup('source-upstream'!I66,'data-cleansing-maps'!N$5:N$10,1,FALSE)),'source-upstream'!I66,"")</f>
        <v/>
      </c>
      <c r="J66" s="87" t="str">
        <f>'source-upstream'!J66</f>
        <v>Possible short term down time. Alternative business processes until supply is resumed</v>
      </c>
      <c r="K66" s="71" t="str">
        <f>if('source-upstream'!K66="",'schema-yn'!$A$5,vlookup('source-upstream'!K66,YN_MAP,3,FALSE))</f>
        <v>not-provided</v>
      </c>
      <c r="L66" s="87" t="str">
        <f>if('source-upstream'!L66="Not provided","",'source-upstream'!L66)</f>
        <v/>
      </c>
      <c r="M66" s="66" t="str">
        <f>if('source-upstream'!M66="",'schema-rv-services'!$B$26,vlookup(vlookup('source-upstream'!$M66,'analysis-rv-services'!$C:$E,3,FALSE),'schema-rv-services'!$A:$B,2, FALSE))</f>
        <v>feedstock</v>
      </c>
      <c r="N66" s="71"/>
    </row>
    <row r="67" ht="15.0" customHeight="1">
      <c r="A67" s="86" t="str">
        <f>Substitute(SUBSTITUTE(substitute(substitute(substitute(substitute(substitute(substitute(substitute(lower('source-upstream'!A67)," ","-"),"(",""),")",""),"&gt;",""),"&lt;",""),"---","-"),".","-"),"--","-"),"&amp;","-and-")</f>
        <v>golden-possum</v>
      </c>
      <c r="B67" s="86" t="str">
        <f>Substitute(SUBSTITUTE(substitute(substitute(substitute(substitute(substitute(substitute(substitute(lower('source-upstream'!B67)," ","-"),"(",""),")",""),"&gt;",""),"&lt;",""),"---","-"),".","-"),"--","-"),"&amp;","-and-")</f>
        <v>noisy-perentie</v>
      </c>
      <c r="C67" s="71" t="str">
        <f>if('source-upstream'!C67="",'schema-frequency'!$B$11,vlookup('source-upstream'!C67,FREQUENCY_MAP, 3, FALSE))</f>
        <v>not-provided</v>
      </c>
      <c r="D67" s="87" t="str">
        <f>'source-upstream'!D67</f>
        <v>Public drop off location</v>
      </c>
      <c r="E67" s="71" t="str">
        <f>if('source-upstream'!E67="",'schema-yn'!$A$5,vlookup('source-upstream'!E67,YN_MAP,3,FALSE))</f>
        <v>no</v>
      </c>
      <c r="F67" s="71" t="str">
        <f>if('source-upstream'!F67="",'schema-yn'!$A$5,vlookup('source-upstream'!F67,YN_MAP,3,FALSE))</f>
        <v>no</v>
      </c>
      <c r="G67" s="71" t="str">
        <f>if('source-upstream'!G67="",'schema-yn'!$A$5,vlookup('source-upstream'!G67,YN_MAP,3,FALSE))</f>
        <v>yes</v>
      </c>
      <c r="H67" s="71" t="str">
        <f>if('source-upstream'!H67="",'schema-yn'!$A$5,vlookup('source-upstream'!H67,RESILIENCE_OPTION_MAP,3,FALSE))</f>
        <v>alternative-supplier</v>
      </c>
      <c r="I67" s="71" t="str">
        <f>if(iserror(vlookup('source-upstream'!I67,'data-cleansing-maps'!N$5:N$10,1,FALSE)),'source-upstream'!I67,"")</f>
        <v/>
      </c>
      <c r="J67" s="87" t="str">
        <f>'source-upstream'!J67</f>
        <v>Possible short term down time. Alternative business processes until supply is resumed</v>
      </c>
      <c r="K67" s="71" t="str">
        <f>if('source-upstream'!K67="",'schema-yn'!$A$5,vlookup('source-upstream'!K67,YN_MAP,3,FALSE))</f>
        <v>not-provided</v>
      </c>
      <c r="L67" s="87" t="str">
        <f>if('source-upstream'!L67="Not provided","",'source-upstream'!L67)</f>
        <v/>
      </c>
      <c r="M67" s="66" t="str">
        <f>if('source-upstream'!M67="",'schema-rv-services'!$B$26,vlookup(vlookup('source-upstream'!$M67,'analysis-rv-services'!$C:$E,3,FALSE),'schema-rv-services'!$A:$B,2, FALSE))</f>
        <v>feedstock</v>
      </c>
      <c r="N67" s="71"/>
    </row>
    <row r="68" ht="15.0" customHeight="1">
      <c r="A68" s="86" t="str">
        <f>Substitute(SUBSTITUTE(substitute(substitute(substitute(substitute(substitute(substitute(substitute(lower('source-upstream'!A68)," ","-"),"(",""),")",""),"&gt;",""),"&lt;",""),"---","-"),".","-"),"--","-"),"&amp;","-and-")</f>
        <v>golden-possum</v>
      </c>
      <c r="B68" s="86" t="str">
        <f>Substitute(SUBSTITUTE(substitute(substitute(substitute(substitute(substitute(substitute(substitute(lower('source-upstream'!B68)," ","-"),"(",""),")",""),"&gt;",""),"&lt;",""),"---","-"),".","-"),"--","-"),"&amp;","-and-")</f>
        <v>blue-koala</v>
      </c>
      <c r="C68" s="71" t="str">
        <f>if('source-upstream'!C68="",'schema-frequency'!$B$11,vlookup('source-upstream'!C68,FREQUENCY_MAP, 3, FALSE))</f>
        <v>not-provided</v>
      </c>
      <c r="D68" s="87" t="str">
        <f>'source-upstream'!D68</f>
        <v>Public drop off location</v>
      </c>
      <c r="E68" s="71" t="str">
        <f>if('source-upstream'!E68="",'schema-yn'!$A$5,vlookup('source-upstream'!E68,YN_MAP,3,FALSE))</f>
        <v>no</v>
      </c>
      <c r="F68" s="71" t="str">
        <f>if('source-upstream'!F68="",'schema-yn'!$A$5,vlookup('source-upstream'!F68,YN_MAP,3,FALSE))</f>
        <v>no</v>
      </c>
      <c r="G68" s="71" t="str">
        <f>if('source-upstream'!G68="",'schema-yn'!$A$5,vlookup('source-upstream'!G68,YN_MAP,3,FALSE))</f>
        <v>yes</v>
      </c>
      <c r="H68" s="71" t="str">
        <f>if('source-upstream'!H68="",'schema-yn'!$A$5,vlookup('source-upstream'!H68,RESILIENCE_OPTION_MAP,3,FALSE))</f>
        <v>alternative-supplier</v>
      </c>
      <c r="I68" s="71" t="str">
        <f>if(iserror(vlookup('source-upstream'!I68,'data-cleansing-maps'!N$5:N$10,1,FALSE)),'source-upstream'!I68,"")</f>
        <v/>
      </c>
      <c r="J68" s="87" t="str">
        <f>'source-upstream'!J68</f>
        <v>Possible short term down time. Alternative business processes until supply is resumed</v>
      </c>
      <c r="K68" s="71" t="str">
        <f>if('source-upstream'!K68="",'schema-yn'!$A$5,vlookup('source-upstream'!K68,YN_MAP,3,FALSE))</f>
        <v>not-provided</v>
      </c>
      <c r="L68" s="87" t="str">
        <f>if('source-upstream'!L68="Not provided","",'source-upstream'!L68)</f>
        <v/>
      </c>
      <c r="M68" s="66" t="str">
        <f>if('source-upstream'!M68="",'schema-rv-services'!$B$26,vlookup(vlookup('source-upstream'!$M68,'analysis-rv-services'!$C:$E,3,FALSE),'schema-rv-services'!$A:$B,2, FALSE))</f>
        <v>feedstock</v>
      </c>
      <c r="N68" s="71"/>
    </row>
    <row r="69" ht="15.0" customHeight="1">
      <c r="A69" s="86" t="str">
        <f>Substitute(SUBSTITUTE(substitute(substitute(substitute(substitute(substitute(substitute(substitute(lower('source-upstream'!A69)," ","-"),"(",""),")",""),"&gt;",""),"&lt;",""),"---","-"),".","-"),"--","-"),"&amp;","-and-")</f>
        <v>golden-possum</v>
      </c>
      <c r="B69" s="86" t="str">
        <f>Substitute(SUBSTITUTE(substitute(substitute(substitute(substitute(substitute(substitute(substitute(lower('source-upstream'!B69)," ","-"),"(",""),")",""),"&gt;",""),"&lt;",""),"---","-"),".","-"),"--","-"),"&amp;","-and-")</f>
        <v>clever-blue-tongue-skink</v>
      </c>
      <c r="C69" s="71" t="str">
        <f>if('source-upstream'!C69="",'schema-frequency'!$B$11,vlookup('source-upstream'!C69,FREQUENCY_MAP, 3, FALSE))</f>
        <v>not-provided</v>
      </c>
      <c r="D69" s="87" t="str">
        <f>'source-upstream'!D69</f>
        <v>Public drop off location</v>
      </c>
      <c r="E69" s="71" t="str">
        <f>if('source-upstream'!E69="",'schema-yn'!$A$5,vlookup('source-upstream'!E69,YN_MAP,3,FALSE))</f>
        <v>no</v>
      </c>
      <c r="F69" s="71" t="str">
        <f>if('source-upstream'!F69="",'schema-yn'!$A$5,vlookup('source-upstream'!F69,YN_MAP,3,FALSE))</f>
        <v>no</v>
      </c>
      <c r="G69" s="71" t="str">
        <f>if('source-upstream'!G69="",'schema-yn'!$A$5,vlookup('source-upstream'!G69,YN_MAP,3,FALSE))</f>
        <v>yes</v>
      </c>
      <c r="H69" s="71" t="str">
        <f>if('source-upstream'!H69="",'schema-yn'!$A$5,vlookup('source-upstream'!H69,RESILIENCE_OPTION_MAP,3,FALSE))</f>
        <v>alternative-supplier</v>
      </c>
      <c r="I69" s="71" t="str">
        <f>if(iserror(vlookup('source-upstream'!I69,'data-cleansing-maps'!N$5:N$10,1,FALSE)),'source-upstream'!I69,"")</f>
        <v/>
      </c>
      <c r="J69" s="87" t="str">
        <f>'source-upstream'!J69</f>
        <v>Possible short term down time. Alternative business processes until supply is resumed</v>
      </c>
      <c r="K69" s="71" t="str">
        <f>if('source-upstream'!K69="",'schema-yn'!$A$5,vlookup('source-upstream'!K69,YN_MAP,3,FALSE))</f>
        <v>not-provided</v>
      </c>
      <c r="L69" s="87" t="str">
        <f>if('source-upstream'!L69="Not provided","",'source-upstream'!L69)</f>
        <v/>
      </c>
      <c r="M69" s="66" t="str">
        <f>if('source-upstream'!M69="",'schema-rv-services'!$B$26,vlookup(vlookup('source-upstream'!$M69,'analysis-rv-services'!$C:$E,3,FALSE),'schema-rv-services'!$A:$B,2, FALSE))</f>
        <v>feedstock</v>
      </c>
      <c r="N69" s="71"/>
    </row>
    <row r="70" ht="15.0" customHeight="1">
      <c r="A70" s="86" t="str">
        <f>Substitute(SUBSTITUTE(substitute(substitute(substitute(substitute(substitute(substitute(substitute(lower('source-upstream'!A70)," ","-"),"(",""),")",""),"&gt;",""),"&lt;",""),"---","-"),".","-"),"--","-"),"&amp;","-and-")</f>
        <v>golden-possum</v>
      </c>
      <c r="B70" s="86" t="str">
        <f>Substitute(SUBSTITUTE(substitute(substitute(substitute(substitute(substitute(substitute(substitute(lower('source-upstream'!B70)," ","-"),"(",""),")",""),"&gt;",""),"&lt;",""),"---","-"),".","-"),"--","-"),"&amp;","-and-")</f>
        <v>red-numbat</v>
      </c>
      <c r="C70" s="71" t="str">
        <f>if('source-upstream'!C70="",'schema-frequency'!$B$11,vlookup('source-upstream'!C70,FREQUENCY_MAP, 3, FALSE))</f>
        <v>not-provided</v>
      </c>
      <c r="D70" s="87" t="str">
        <f>'source-upstream'!D70</f>
        <v>Public drop off location</v>
      </c>
      <c r="E70" s="71" t="str">
        <f>if('source-upstream'!E70="",'schema-yn'!$A$5,vlookup('source-upstream'!E70,YN_MAP,3,FALSE))</f>
        <v>no</v>
      </c>
      <c r="F70" s="71" t="str">
        <f>if('source-upstream'!F70="",'schema-yn'!$A$5,vlookup('source-upstream'!F70,YN_MAP,3,FALSE))</f>
        <v>no</v>
      </c>
      <c r="G70" s="71" t="str">
        <f>if('source-upstream'!G70="",'schema-yn'!$A$5,vlookup('source-upstream'!G70,YN_MAP,3,FALSE))</f>
        <v>yes</v>
      </c>
      <c r="H70" s="71" t="str">
        <f>if('source-upstream'!H70="",'schema-yn'!$A$5,vlookup('source-upstream'!H70,RESILIENCE_OPTION_MAP,3,FALSE))</f>
        <v>alternative-supplier</v>
      </c>
      <c r="I70" s="71" t="str">
        <f>if(iserror(vlookup('source-upstream'!I70,'data-cleansing-maps'!N$5:N$10,1,FALSE)),'source-upstream'!I70,"")</f>
        <v/>
      </c>
      <c r="J70" s="87" t="str">
        <f>'source-upstream'!J70</f>
        <v>Possible short term down time. Alternative business processes until supply is resumed</v>
      </c>
      <c r="K70" s="71" t="str">
        <f>if('source-upstream'!K70="",'schema-yn'!$A$5,vlookup('source-upstream'!K70,YN_MAP,3,FALSE))</f>
        <v>not-provided</v>
      </c>
      <c r="L70" s="87" t="str">
        <f>if('source-upstream'!L70="Not provided","",'source-upstream'!L70)</f>
        <v/>
      </c>
      <c r="M70" s="66" t="str">
        <f>if('source-upstream'!M70="",'schema-rv-services'!$B$26,vlookup(vlookup('source-upstream'!$M70,'analysis-rv-services'!$C:$E,3,FALSE),'schema-rv-services'!$A:$B,2, FALSE))</f>
        <v>feedstock</v>
      </c>
      <c r="N70" s="71"/>
    </row>
    <row r="71" ht="15.0" customHeight="1">
      <c r="A71" s="86" t="str">
        <f>Substitute(SUBSTITUTE(substitute(substitute(substitute(substitute(substitute(substitute(substitute(lower('source-upstream'!A71)," ","-"),"(",""),")",""),"&gt;",""),"&lt;",""),"---","-"),".","-"),"--","-"),"&amp;","-and-")</f>
        <v>golden-possum</v>
      </c>
      <c r="B71" s="86" t="str">
        <f>Substitute(SUBSTITUTE(substitute(substitute(substitute(substitute(substitute(substitute(substitute(lower('source-upstream'!B71)," ","-"),"(",""),")",""),"&gt;",""),"&lt;",""),"---","-"),".","-"),"--","-"),"&amp;","-and-")</f>
        <v>red-numbat</v>
      </c>
      <c r="C71" s="71" t="str">
        <f>if('source-upstream'!C71="",'schema-frequency'!$B$11,vlookup('source-upstream'!C71,FREQUENCY_MAP, 3, FALSE))</f>
        <v>not-provided</v>
      </c>
      <c r="D71" s="87" t="str">
        <f>'source-upstream'!D71</f>
        <v>Public drop off location</v>
      </c>
      <c r="E71" s="71" t="str">
        <f>if('source-upstream'!E71="",'schema-yn'!$A$5,vlookup('source-upstream'!E71,YN_MAP,3,FALSE))</f>
        <v>no</v>
      </c>
      <c r="F71" s="71" t="str">
        <f>if('source-upstream'!F71="",'schema-yn'!$A$5,vlookup('source-upstream'!F71,YN_MAP,3,FALSE))</f>
        <v>no</v>
      </c>
      <c r="G71" s="71" t="str">
        <f>if('source-upstream'!G71="",'schema-yn'!$A$5,vlookup('source-upstream'!G71,YN_MAP,3,FALSE))</f>
        <v>yes</v>
      </c>
      <c r="H71" s="71" t="str">
        <f>if('source-upstream'!H71="",'schema-yn'!$A$5,vlookup('source-upstream'!H71,RESILIENCE_OPTION_MAP,3,FALSE))</f>
        <v>alternative-supplier</v>
      </c>
      <c r="I71" s="71" t="str">
        <f>if(iserror(vlookup('source-upstream'!I71,'data-cleansing-maps'!N$5:N$10,1,FALSE)),'source-upstream'!I71,"")</f>
        <v/>
      </c>
      <c r="J71" s="87" t="str">
        <f>'source-upstream'!J71</f>
        <v>Possible short term down time. Alternative business processes until supply is resumed</v>
      </c>
      <c r="K71" s="71" t="str">
        <f>if('source-upstream'!K71="",'schema-yn'!$A$5,vlookup('source-upstream'!K71,YN_MAP,3,FALSE))</f>
        <v>not-provided</v>
      </c>
      <c r="L71" s="87" t="str">
        <f>if('source-upstream'!L71="Not provided","",'source-upstream'!L71)</f>
        <v/>
      </c>
      <c r="M71" s="66" t="str">
        <f>if('source-upstream'!M71="",'schema-rv-services'!$B$26,vlookup(vlookup('source-upstream'!$M71,'analysis-rv-services'!$C:$E,3,FALSE),'schema-rv-services'!$A:$B,2, FALSE))</f>
        <v>feedstock</v>
      </c>
      <c r="N71" s="71"/>
    </row>
    <row r="72" ht="15.0" customHeight="1">
      <c r="A72" s="86" t="str">
        <f>Substitute(SUBSTITUTE(substitute(substitute(substitute(substitute(substitute(substitute(substitute(lower('source-upstream'!A72)," ","-"),"(",""),")",""),"&gt;",""),"&lt;",""),"---","-"),".","-"),"--","-"),"&amp;","-and-")</f>
        <v>golden-possum</v>
      </c>
      <c r="B72" s="86" t="str">
        <f>Substitute(SUBSTITUTE(substitute(substitute(substitute(substitute(substitute(substitute(substitute(lower('source-upstream'!B72)," ","-"),"(",""),")",""),"&gt;",""),"&lt;",""),"---","-"),".","-"),"--","-"),"&amp;","-and-")</f>
        <v>red-numbat</v>
      </c>
      <c r="C72" s="71" t="str">
        <f>if('source-upstream'!C72="",'schema-frequency'!$B$11,vlookup('source-upstream'!C72,FREQUENCY_MAP, 3, FALSE))</f>
        <v>not-provided</v>
      </c>
      <c r="D72" s="87" t="str">
        <f>'source-upstream'!D72</f>
        <v>Public drop off location</v>
      </c>
      <c r="E72" s="71" t="str">
        <f>if('source-upstream'!E72="",'schema-yn'!$A$5,vlookup('source-upstream'!E72,YN_MAP,3,FALSE))</f>
        <v>no</v>
      </c>
      <c r="F72" s="71" t="str">
        <f>if('source-upstream'!F72="",'schema-yn'!$A$5,vlookup('source-upstream'!F72,YN_MAP,3,FALSE))</f>
        <v>no</v>
      </c>
      <c r="G72" s="71" t="str">
        <f>if('source-upstream'!G72="",'schema-yn'!$A$5,vlookup('source-upstream'!G72,YN_MAP,3,FALSE))</f>
        <v>yes</v>
      </c>
      <c r="H72" s="71" t="str">
        <f>if('source-upstream'!H72="",'schema-yn'!$A$5,vlookup('source-upstream'!H72,RESILIENCE_OPTION_MAP,3,FALSE))</f>
        <v>alternative-supplier</v>
      </c>
      <c r="I72" s="71" t="str">
        <f>if(iserror(vlookup('source-upstream'!I72,'data-cleansing-maps'!N$5:N$10,1,FALSE)),'source-upstream'!I72,"")</f>
        <v/>
      </c>
      <c r="J72" s="87" t="str">
        <f>'source-upstream'!J72</f>
        <v>Possible short term down time. Alternative business processes until supply is resumed</v>
      </c>
      <c r="K72" s="71" t="str">
        <f>if('source-upstream'!K72="",'schema-yn'!$A$5,vlookup('source-upstream'!K72,YN_MAP,3,FALSE))</f>
        <v>not-provided</v>
      </c>
      <c r="L72" s="87" t="str">
        <f>if('source-upstream'!L72="Not provided","",'source-upstream'!L72)</f>
        <v/>
      </c>
      <c r="M72" s="66" t="str">
        <f>if('source-upstream'!M72="",'schema-rv-services'!$B$26,vlookup(vlookup('source-upstream'!$M72,'analysis-rv-services'!$C:$E,3,FALSE),'schema-rv-services'!$A:$B,2, FALSE))</f>
        <v>feedstock</v>
      </c>
      <c r="N72" s="71"/>
    </row>
    <row r="73" ht="15.0" customHeight="1">
      <c r="A73" s="86" t="str">
        <f>Substitute(SUBSTITUTE(substitute(substitute(substitute(substitute(substitute(substitute(substitute(lower('source-upstream'!A73)," ","-"),"(",""),")",""),"&gt;",""),"&lt;",""),"---","-"),".","-"),"--","-"),"&amp;","-and-")</f>
        <v>golden-possum</v>
      </c>
      <c r="B73" s="86" t="str">
        <f>Substitute(SUBSTITUTE(substitute(substitute(substitute(substitute(substitute(substitute(substitute(lower('source-upstream'!B73)," ","-"),"(",""),")",""),"&gt;",""),"&lt;",""),"---","-"),".","-"),"--","-"),"&amp;","-and-")</f>
        <v>red-numbat</v>
      </c>
      <c r="C73" s="71" t="str">
        <f>if('source-upstream'!C73="",'schema-frequency'!$B$11,vlookup('source-upstream'!C73,FREQUENCY_MAP, 3, FALSE))</f>
        <v>not-provided</v>
      </c>
      <c r="D73" s="87" t="str">
        <f>'source-upstream'!D73</f>
        <v>Public drop off location</v>
      </c>
      <c r="E73" s="71" t="str">
        <f>if('source-upstream'!E73="",'schema-yn'!$A$5,vlookup('source-upstream'!E73,YN_MAP,3,FALSE))</f>
        <v>no</v>
      </c>
      <c r="F73" s="71" t="str">
        <f>if('source-upstream'!F73="",'schema-yn'!$A$5,vlookup('source-upstream'!F73,YN_MAP,3,FALSE))</f>
        <v>no</v>
      </c>
      <c r="G73" s="71" t="str">
        <f>if('source-upstream'!G73="",'schema-yn'!$A$5,vlookup('source-upstream'!G73,YN_MAP,3,FALSE))</f>
        <v>yes</v>
      </c>
      <c r="H73" s="71" t="str">
        <f>if('source-upstream'!H73="",'schema-yn'!$A$5,vlookup('source-upstream'!H73,RESILIENCE_OPTION_MAP,3,FALSE))</f>
        <v>alternative-supplier</v>
      </c>
      <c r="I73" s="71" t="str">
        <f>if(iserror(vlookup('source-upstream'!I73,'data-cleansing-maps'!N$5:N$10,1,FALSE)),'source-upstream'!I73,"")</f>
        <v/>
      </c>
      <c r="J73" s="87" t="str">
        <f>'source-upstream'!J73</f>
        <v>Possible short term down time. Alternative business processes until supply is resumed</v>
      </c>
      <c r="K73" s="71" t="str">
        <f>if('source-upstream'!K73="",'schema-yn'!$A$5,vlookup('source-upstream'!K73,YN_MAP,3,FALSE))</f>
        <v>not-provided</v>
      </c>
      <c r="L73" s="87" t="str">
        <f>if('source-upstream'!L73="Not provided","",'source-upstream'!L73)</f>
        <v/>
      </c>
      <c r="M73" s="66" t="str">
        <f>if('source-upstream'!M73="",'schema-rv-services'!$B$26,vlookup(vlookup('source-upstream'!$M73,'analysis-rv-services'!$C:$E,3,FALSE),'schema-rv-services'!$A:$B,2, FALSE))</f>
        <v>feedstock</v>
      </c>
      <c r="N73" s="71"/>
    </row>
    <row r="74" ht="15.0" customHeight="1">
      <c r="A74" s="86" t="str">
        <f>Substitute(SUBSTITUTE(substitute(substitute(substitute(substitute(substitute(substitute(substitute(lower('source-upstream'!A74)," ","-"),"(",""),")",""),"&gt;",""),"&lt;",""),"---","-"),".","-"),"--","-"),"&amp;","-and-")</f>
        <v>golden-possum</v>
      </c>
      <c r="B74" s="86" t="str">
        <f>Substitute(SUBSTITUTE(substitute(substitute(substitute(substitute(substitute(substitute(substitute(lower('source-upstream'!B74)," ","-"),"(",""),")",""),"&gt;",""),"&lt;",""),"---","-"),".","-"),"--","-"),"&amp;","-and-")</f>
        <v>red-numbat</v>
      </c>
      <c r="C74" s="71" t="str">
        <f>if('source-upstream'!C74="",'schema-frequency'!$B$11,vlookup('source-upstream'!C74,FREQUENCY_MAP, 3, FALSE))</f>
        <v>not-provided</v>
      </c>
      <c r="D74" s="87" t="str">
        <f>'source-upstream'!D74</f>
        <v>Public drop off location</v>
      </c>
      <c r="E74" s="71" t="str">
        <f>if('source-upstream'!E74="",'schema-yn'!$A$5,vlookup('source-upstream'!E74,YN_MAP,3,FALSE))</f>
        <v>no</v>
      </c>
      <c r="F74" s="71" t="str">
        <f>if('source-upstream'!F74="",'schema-yn'!$A$5,vlookup('source-upstream'!F74,YN_MAP,3,FALSE))</f>
        <v>no</v>
      </c>
      <c r="G74" s="71" t="str">
        <f>if('source-upstream'!G74="",'schema-yn'!$A$5,vlookup('source-upstream'!G74,YN_MAP,3,FALSE))</f>
        <v>yes</v>
      </c>
      <c r="H74" s="71" t="str">
        <f>if('source-upstream'!H74="",'schema-yn'!$A$5,vlookup('source-upstream'!H74,RESILIENCE_OPTION_MAP,3,FALSE))</f>
        <v>alternative-supplier</v>
      </c>
      <c r="I74" s="71" t="str">
        <f>if(iserror(vlookup('source-upstream'!I74,'data-cleansing-maps'!N$5:N$10,1,FALSE)),'source-upstream'!I74,"")</f>
        <v/>
      </c>
      <c r="J74" s="87" t="str">
        <f>'source-upstream'!J74</f>
        <v>Possible short term down time. Alternative business processes until supply is resumed</v>
      </c>
      <c r="K74" s="71" t="str">
        <f>if('source-upstream'!K74="",'schema-yn'!$A$5,vlookup('source-upstream'!K74,YN_MAP,3,FALSE))</f>
        <v>not-provided</v>
      </c>
      <c r="L74" s="87" t="str">
        <f>if('source-upstream'!L74="Not provided","",'source-upstream'!L74)</f>
        <v/>
      </c>
      <c r="M74" s="66" t="str">
        <f>if('source-upstream'!M74="",'schema-rv-services'!$B$26,vlookup(vlookup('source-upstream'!$M74,'analysis-rv-services'!$C:$E,3,FALSE),'schema-rv-services'!$A:$B,2, FALSE))</f>
        <v>feedstock</v>
      </c>
      <c r="N74" s="71"/>
    </row>
    <row r="75" ht="15.0" customHeight="1">
      <c r="A75" s="86" t="str">
        <f>Substitute(SUBSTITUTE(substitute(substitute(substitute(substitute(substitute(substitute(substitute(lower('source-upstream'!A75)," ","-"),"(",""),")",""),"&gt;",""),"&lt;",""),"---","-"),".","-"),"--","-"),"&amp;","-and-")</f>
        <v>golden-possum</v>
      </c>
      <c r="B75" s="86" t="str">
        <f>Substitute(SUBSTITUTE(substitute(substitute(substitute(substitute(substitute(substitute(substitute(lower('source-upstream'!B75)," ","-"),"(",""),")",""),"&gt;",""),"&lt;",""),"---","-"),".","-"),"--","-"),"&amp;","-and-")</f>
        <v>red-numbat</v>
      </c>
      <c r="C75" s="71" t="str">
        <f>if('source-upstream'!C75="",'schema-frequency'!$B$11,vlookup('source-upstream'!C75,FREQUENCY_MAP, 3, FALSE))</f>
        <v>not-provided</v>
      </c>
      <c r="D75" s="87" t="str">
        <f>'source-upstream'!D75</f>
        <v>Public drop off location</v>
      </c>
      <c r="E75" s="71" t="str">
        <f>if('source-upstream'!E75="",'schema-yn'!$A$5,vlookup('source-upstream'!E75,YN_MAP,3,FALSE))</f>
        <v>no</v>
      </c>
      <c r="F75" s="71" t="str">
        <f>if('source-upstream'!F75="",'schema-yn'!$A$5,vlookup('source-upstream'!F75,YN_MAP,3,FALSE))</f>
        <v>no</v>
      </c>
      <c r="G75" s="71" t="str">
        <f>if('source-upstream'!G75="",'schema-yn'!$A$5,vlookup('source-upstream'!G75,YN_MAP,3,FALSE))</f>
        <v>yes</v>
      </c>
      <c r="H75" s="71" t="str">
        <f>if('source-upstream'!H75="",'schema-yn'!$A$5,vlookup('source-upstream'!H75,RESILIENCE_OPTION_MAP,3,FALSE))</f>
        <v>alternative-supplier</v>
      </c>
      <c r="I75" s="71" t="str">
        <f>if(iserror(vlookup('source-upstream'!I75,'data-cleansing-maps'!N$5:N$10,1,FALSE)),'source-upstream'!I75,"")</f>
        <v/>
      </c>
      <c r="J75" s="87" t="str">
        <f>'source-upstream'!J75</f>
        <v>Possible short term down time. Alternative business processes until supply is resumed</v>
      </c>
      <c r="K75" s="71" t="str">
        <f>if('source-upstream'!K75="",'schema-yn'!$A$5,vlookup('source-upstream'!K75,YN_MAP,3,FALSE))</f>
        <v>not-provided</v>
      </c>
      <c r="L75" s="87" t="str">
        <f>if('source-upstream'!L75="Not provided","",'source-upstream'!L75)</f>
        <v/>
      </c>
      <c r="M75" s="66" t="str">
        <f>if('source-upstream'!M75="",'schema-rv-services'!$B$26,vlookup(vlookup('source-upstream'!$M75,'analysis-rv-services'!$C:$E,3,FALSE),'schema-rv-services'!$A:$B,2, FALSE))</f>
        <v>feedstock</v>
      </c>
      <c r="N75" s="71"/>
    </row>
    <row r="76" ht="15.0" customHeight="1">
      <c r="A76" s="86" t="str">
        <f>Substitute(SUBSTITUTE(substitute(substitute(substitute(substitute(substitute(substitute(substitute(lower('source-upstream'!A76)," ","-"),"(",""),")",""),"&gt;",""),"&lt;",""),"---","-"),".","-"),"--","-"),"&amp;","-and-")</f>
        <v>golden-possum</v>
      </c>
      <c r="B76" s="86" t="str">
        <f>Substitute(SUBSTITUTE(substitute(substitute(substitute(substitute(substitute(substitute(substitute(lower('source-upstream'!B76)," ","-"),"(",""),")",""),"&gt;",""),"&lt;",""),"---","-"),".","-"),"--","-"),"&amp;","-and-")</f>
        <v>red-numbat</v>
      </c>
      <c r="C76" s="71" t="str">
        <f>if('source-upstream'!C76="",'schema-frequency'!$B$11,vlookup('source-upstream'!C76,FREQUENCY_MAP, 3, FALSE))</f>
        <v>not-provided</v>
      </c>
      <c r="D76" s="87" t="str">
        <f>'source-upstream'!D76</f>
        <v>Public drop off location</v>
      </c>
      <c r="E76" s="71" t="str">
        <f>if('source-upstream'!E76="",'schema-yn'!$A$5,vlookup('source-upstream'!E76,YN_MAP,3,FALSE))</f>
        <v>no</v>
      </c>
      <c r="F76" s="71" t="str">
        <f>if('source-upstream'!F76="",'schema-yn'!$A$5,vlookup('source-upstream'!F76,YN_MAP,3,FALSE))</f>
        <v>no</v>
      </c>
      <c r="G76" s="71" t="str">
        <f>if('source-upstream'!G76="",'schema-yn'!$A$5,vlookup('source-upstream'!G76,YN_MAP,3,FALSE))</f>
        <v>yes</v>
      </c>
      <c r="H76" s="71" t="str">
        <f>if('source-upstream'!H76="",'schema-yn'!$A$5,vlookup('source-upstream'!H76,RESILIENCE_OPTION_MAP,3,FALSE))</f>
        <v>alternative-supplier</v>
      </c>
      <c r="I76" s="71" t="str">
        <f>if(iserror(vlookup('source-upstream'!I76,'data-cleansing-maps'!N$5:N$10,1,FALSE)),'source-upstream'!I76,"")</f>
        <v/>
      </c>
      <c r="J76" s="87" t="str">
        <f>'source-upstream'!J76</f>
        <v>Possible short term down time. Alternative business processes until supply is resumed</v>
      </c>
      <c r="K76" s="71" t="str">
        <f>if('source-upstream'!K76="",'schema-yn'!$A$5,vlookup('source-upstream'!K76,YN_MAP,3,FALSE))</f>
        <v>not-provided</v>
      </c>
      <c r="L76" s="87" t="str">
        <f>if('source-upstream'!L76="Not provided","",'source-upstream'!L76)</f>
        <v/>
      </c>
      <c r="M76" s="66" t="str">
        <f>if('source-upstream'!M76="",'schema-rv-services'!$B$26,vlookup(vlookup('source-upstream'!$M76,'analysis-rv-services'!$C:$E,3,FALSE),'schema-rv-services'!$A:$B,2, FALSE))</f>
        <v>feedstock</v>
      </c>
      <c r="N76" s="71"/>
    </row>
    <row r="77" ht="15.0" customHeight="1">
      <c r="A77" s="86" t="str">
        <f>Substitute(SUBSTITUTE(substitute(substitute(substitute(substitute(substitute(substitute(substitute(lower('source-upstream'!A77)," ","-"),"(",""),")",""),"&gt;",""),"&lt;",""),"---","-"),".","-"),"--","-"),"&amp;","-and-")</f>
        <v>golden-possum</v>
      </c>
      <c r="B77" s="86" t="str">
        <f>Substitute(SUBSTITUTE(substitute(substitute(substitute(substitute(substitute(substitute(substitute(lower('source-upstream'!B77)," ","-"),"(",""),")",""),"&gt;",""),"&lt;",""),"---","-"),".","-"),"--","-"),"&amp;","-and-")</f>
        <v>red-numbat</v>
      </c>
      <c r="C77" s="71" t="str">
        <f>if('source-upstream'!C77="",'schema-frequency'!$B$11,vlookup('source-upstream'!C77,FREQUENCY_MAP, 3, FALSE))</f>
        <v>not-provided</v>
      </c>
      <c r="D77" s="87" t="str">
        <f>'source-upstream'!D77</f>
        <v>Public drop off location</v>
      </c>
      <c r="E77" s="71" t="str">
        <f>if('source-upstream'!E77="",'schema-yn'!$A$5,vlookup('source-upstream'!E77,YN_MAP,3,FALSE))</f>
        <v>no</v>
      </c>
      <c r="F77" s="71" t="str">
        <f>if('source-upstream'!F77="",'schema-yn'!$A$5,vlookup('source-upstream'!F77,YN_MAP,3,FALSE))</f>
        <v>no</v>
      </c>
      <c r="G77" s="71" t="str">
        <f>if('source-upstream'!G77="",'schema-yn'!$A$5,vlookup('source-upstream'!G77,YN_MAP,3,FALSE))</f>
        <v>yes</v>
      </c>
      <c r="H77" s="71" t="str">
        <f>if('source-upstream'!H77="",'schema-yn'!$A$5,vlookup('source-upstream'!H77,RESILIENCE_OPTION_MAP,3,FALSE))</f>
        <v>alternative-supplier</v>
      </c>
      <c r="I77" s="71" t="str">
        <f>if(iserror(vlookup('source-upstream'!I77,'data-cleansing-maps'!N$5:N$10,1,FALSE)),'source-upstream'!I77,"")</f>
        <v/>
      </c>
      <c r="J77" s="87" t="str">
        <f>'source-upstream'!J77</f>
        <v>Possible short term down time. Alternative business processes until supply is resumed</v>
      </c>
      <c r="K77" s="71" t="str">
        <f>if('source-upstream'!K77="",'schema-yn'!$A$5,vlookup('source-upstream'!K77,YN_MAP,3,FALSE))</f>
        <v>not-provided</v>
      </c>
      <c r="L77" s="87" t="str">
        <f>if('source-upstream'!L77="Not provided","",'source-upstream'!L77)</f>
        <v/>
      </c>
      <c r="M77" s="66" t="str">
        <f>if('source-upstream'!M77="",'schema-rv-services'!$B$26,vlookup(vlookup('source-upstream'!$M77,'analysis-rv-services'!$C:$E,3,FALSE),'schema-rv-services'!$A:$B,2, FALSE))</f>
        <v>feedstock</v>
      </c>
      <c r="N77" s="71"/>
    </row>
    <row r="78" ht="15.0" customHeight="1">
      <c r="A78" s="86" t="str">
        <f>Substitute(SUBSTITUTE(substitute(substitute(substitute(substitute(substitute(substitute(substitute(lower('source-upstream'!A78)," ","-"),"(",""),")",""),"&gt;",""),"&lt;",""),"---","-"),".","-"),"--","-"),"&amp;","-and-")</f>
        <v>golden-possum</v>
      </c>
      <c r="B78" s="86" t="str">
        <f>Substitute(SUBSTITUTE(substitute(substitute(substitute(substitute(substitute(substitute(substitute(lower('source-upstream'!B78)," ","-"),"(",""),")",""),"&gt;",""),"&lt;",""),"---","-"),".","-"),"--","-"),"&amp;","-and-")</f>
        <v>red-numbat</v>
      </c>
      <c r="C78" s="71" t="str">
        <f>if('source-upstream'!C78="",'schema-frequency'!$B$11,vlookup('source-upstream'!C78,FREQUENCY_MAP, 3, FALSE))</f>
        <v>not-provided</v>
      </c>
      <c r="D78" s="87" t="str">
        <f>'source-upstream'!D78</f>
        <v>Public drop off location</v>
      </c>
      <c r="E78" s="71" t="str">
        <f>if('source-upstream'!E78="",'schema-yn'!$A$5,vlookup('source-upstream'!E78,YN_MAP,3,FALSE))</f>
        <v>no</v>
      </c>
      <c r="F78" s="71" t="str">
        <f>if('source-upstream'!F78="",'schema-yn'!$A$5,vlookup('source-upstream'!F78,YN_MAP,3,FALSE))</f>
        <v>no</v>
      </c>
      <c r="G78" s="71" t="str">
        <f>if('source-upstream'!G78="",'schema-yn'!$A$5,vlookup('source-upstream'!G78,YN_MAP,3,FALSE))</f>
        <v>yes</v>
      </c>
      <c r="H78" s="71" t="str">
        <f>if('source-upstream'!H78="",'schema-yn'!$A$5,vlookup('source-upstream'!H78,RESILIENCE_OPTION_MAP,3,FALSE))</f>
        <v>alternative-supplier</v>
      </c>
      <c r="I78" s="71" t="str">
        <f>if(iserror(vlookup('source-upstream'!I78,'data-cleansing-maps'!N$5:N$10,1,FALSE)),'source-upstream'!I78,"")</f>
        <v/>
      </c>
      <c r="J78" s="87" t="str">
        <f>'source-upstream'!J78</f>
        <v>Possible short term down time. Alternative business processes until supply is resumed</v>
      </c>
      <c r="K78" s="71" t="str">
        <f>if('source-upstream'!K78="",'schema-yn'!$A$5,vlookup('source-upstream'!K78,YN_MAP,3,FALSE))</f>
        <v>not-provided</v>
      </c>
      <c r="L78" s="87" t="str">
        <f>if('source-upstream'!L78="Not provided","",'source-upstream'!L78)</f>
        <v/>
      </c>
      <c r="M78" s="66" t="str">
        <f>if('source-upstream'!M78="",'schema-rv-services'!$B$26,vlookup(vlookup('source-upstream'!$M78,'analysis-rv-services'!$C:$E,3,FALSE),'schema-rv-services'!$A:$B,2, FALSE))</f>
        <v>feedstock</v>
      </c>
      <c r="N78" s="71"/>
    </row>
    <row r="79" ht="15.0" customHeight="1">
      <c r="A79" s="86" t="str">
        <f>Substitute(SUBSTITUTE(substitute(substitute(substitute(substitute(substitute(substitute(substitute(lower('source-upstream'!A79)," ","-"),"(",""),")",""),"&gt;",""),"&lt;",""),"---","-"),".","-"),"--","-"),"&amp;","-and-")</f>
        <v>golden-possum</v>
      </c>
      <c r="B79" s="86" t="str">
        <f>Substitute(SUBSTITUTE(substitute(substitute(substitute(substitute(substitute(substitute(substitute(lower('source-upstream'!B79)," ","-"),"(",""),")",""),"&gt;",""),"&lt;",""),"---","-"),".","-"),"--","-"),"&amp;","-and-")</f>
        <v>red-numbat</v>
      </c>
      <c r="C79" s="71" t="str">
        <f>if('source-upstream'!C79="",'schema-frequency'!$B$11,vlookup('source-upstream'!C79,FREQUENCY_MAP, 3, FALSE))</f>
        <v>not-provided</v>
      </c>
      <c r="D79" s="87" t="str">
        <f>'source-upstream'!D79</f>
        <v>Public drop off location</v>
      </c>
      <c r="E79" s="71" t="str">
        <f>if('source-upstream'!E79="",'schema-yn'!$A$5,vlookup('source-upstream'!E79,YN_MAP,3,FALSE))</f>
        <v>no</v>
      </c>
      <c r="F79" s="71" t="str">
        <f>if('source-upstream'!F79="",'schema-yn'!$A$5,vlookup('source-upstream'!F79,YN_MAP,3,FALSE))</f>
        <v>no</v>
      </c>
      <c r="G79" s="71" t="str">
        <f>if('source-upstream'!G79="",'schema-yn'!$A$5,vlookup('source-upstream'!G79,YN_MAP,3,FALSE))</f>
        <v>yes</v>
      </c>
      <c r="H79" s="71" t="str">
        <f>if('source-upstream'!H79="",'schema-yn'!$A$5,vlookup('source-upstream'!H79,RESILIENCE_OPTION_MAP,3,FALSE))</f>
        <v>alternative-supplier</v>
      </c>
      <c r="I79" s="71" t="str">
        <f>if(iserror(vlookup('source-upstream'!I79,'data-cleansing-maps'!N$5:N$10,1,FALSE)),'source-upstream'!I79,"")</f>
        <v/>
      </c>
      <c r="J79" s="87" t="str">
        <f>'source-upstream'!J79</f>
        <v>Possible short term down time. Alternative business processes until supply is resumed</v>
      </c>
      <c r="K79" s="71" t="str">
        <f>if('source-upstream'!K79="",'schema-yn'!$A$5,vlookup('source-upstream'!K79,YN_MAP,3,FALSE))</f>
        <v>not-provided</v>
      </c>
      <c r="L79" s="87" t="str">
        <f>if('source-upstream'!L79="Not provided","",'source-upstream'!L79)</f>
        <v/>
      </c>
      <c r="M79" s="66" t="str">
        <f>if('source-upstream'!M79="",'schema-rv-services'!$B$26,vlookup(vlookup('source-upstream'!$M79,'analysis-rv-services'!$C:$E,3,FALSE),'schema-rv-services'!$A:$B,2, FALSE))</f>
        <v>feedstock</v>
      </c>
      <c r="N79" s="71"/>
    </row>
    <row r="80" ht="15.0" customHeight="1">
      <c r="A80" s="86" t="str">
        <f>Substitute(SUBSTITUTE(substitute(substitute(substitute(substitute(substitute(substitute(substitute(lower('source-upstream'!A80)," ","-"),"(",""),")",""),"&gt;",""),"&lt;",""),"---","-"),".","-"),"--","-"),"&amp;","-and-")</f>
        <v>golden-possum</v>
      </c>
      <c r="B80" s="86" t="str">
        <f>Substitute(SUBSTITUTE(substitute(substitute(substitute(substitute(substitute(substitute(substitute(lower('source-upstream'!B80)," ","-"),"(",""),")",""),"&gt;",""),"&lt;",""),"---","-"),".","-"),"--","-"),"&amp;","-and-")</f>
        <v>red-numbat</v>
      </c>
      <c r="C80" s="71" t="str">
        <f>if('source-upstream'!C80="",'schema-frequency'!$B$11,vlookup('source-upstream'!C80,FREQUENCY_MAP, 3, FALSE))</f>
        <v>not-provided</v>
      </c>
      <c r="D80" s="87" t="str">
        <f>'source-upstream'!D80</f>
        <v>Public drop off location</v>
      </c>
      <c r="E80" s="71" t="str">
        <f>if('source-upstream'!E80="",'schema-yn'!$A$5,vlookup('source-upstream'!E80,YN_MAP,3,FALSE))</f>
        <v>no</v>
      </c>
      <c r="F80" s="71" t="str">
        <f>if('source-upstream'!F80="",'schema-yn'!$A$5,vlookup('source-upstream'!F80,YN_MAP,3,FALSE))</f>
        <v>no</v>
      </c>
      <c r="G80" s="71" t="str">
        <f>if('source-upstream'!G80="",'schema-yn'!$A$5,vlookup('source-upstream'!G80,YN_MAP,3,FALSE))</f>
        <v>yes</v>
      </c>
      <c r="H80" s="71" t="str">
        <f>if('source-upstream'!H80="",'schema-yn'!$A$5,vlookup('source-upstream'!H80,RESILIENCE_OPTION_MAP,3,FALSE))</f>
        <v>alternative-supplier</v>
      </c>
      <c r="I80" s="71" t="str">
        <f>if(iserror(vlookup('source-upstream'!I80,'data-cleansing-maps'!N$5:N$10,1,FALSE)),'source-upstream'!I80,"")</f>
        <v/>
      </c>
      <c r="J80" s="87" t="str">
        <f>'source-upstream'!J80</f>
        <v>Possible short term down time. Alternative business processes until supply is resumed</v>
      </c>
      <c r="K80" s="71" t="str">
        <f>if('source-upstream'!K80="",'schema-yn'!$A$5,vlookup('source-upstream'!K80,YN_MAP,3,FALSE))</f>
        <v>not-provided</v>
      </c>
      <c r="L80" s="87" t="str">
        <f>if('source-upstream'!L80="Not provided","",'source-upstream'!L80)</f>
        <v/>
      </c>
      <c r="M80" s="66" t="str">
        <f>if('source-upstream'!M80="",'schema-rv-services'!$B$26,vlookup(vlookup('source-upstream'!$M80,'analysis-rv-services'!$C:$E,3,FALSE),'schema-rv-services'!$A:$B,2, FALSE))</f>
        <v>feedstock</v>
      </c>
      <c r="N80" s="71"/>
    </row>
    <row r="81" ht="15.0" customHeight="1">
      <c r="A81" s="86" t="str">
        <f>Substitute(SUBSTITUTE(substitute(substitute(substitute(substitute(substitute(substitute(substitute(lower('source-upstream'!A81)," ","-"),"(",""),")",""),"&gt;",""),"&lt;",""),"---","-"),".","-"),"--","-"),"&amp;","-and-")</f>
        <v>golden-possum</v>
      </c>
      <c r="B81" s="86" t="str">
        <f>Substitute(SUBSTITUTE(substitute(substitute(substitute(substitute(substitute(substitute(substitute(lower('source-upstream'!B81)," ","-"),"(",""),")",""),"&gt;",""),"&lt;",""),"---","-"),".","-"),"--","-"),"&amp;","-and-")</f>
        <v>red-numbat</v>
      </c>
      <c r="C81" s="71" t="str">
        <f>if('source-upstream'!C81="",'schema-frequency'!$B$11,vlookup('source-upstream'!C81,FREQUENCY_MAP, 3, FALSE))</f>
        <v>not-provided</v>
      </c>
      <c r="D81" s="87" t="str">
        <f>'source-upstream'!D81</f>
        <v>Public drop off location</v>
      </c>
      <c r="E81" s="71" t="str">
        <f>if('source-upstream'!E81="",'schema-yn'!$A$5,vlookup('source-upstream'!E81,YN_MAP,3,FALSE))</f>
        <v>no</v>
      </c>
      <c r="F81" s="71" t="str">
        <f>if('source-upstream'!F81="",'schema-yn'!$A$5,vlookup('source-upstream'!F81,YN_MAP,3,FALSE))</f>
        <v>no</v>
      </c>
      <c r="G81" s="71" t="str">
        <f>if('source-upstream'!G81="",'schema-yn'!$A$5,vlookup('source-upstream'!G81,YN_MAP,3,FALSE))</f>
        <v>yes</v>
      </c>
      <c r="H81" s="71" t="str">
        <f>if('source-upstream'!H81="",'schema-yn'!$A$5,vlookup('source-upstream'!H81,RESILIENCE_OPTION_MAP,3,FALSE))</f>
        <v>alternative-supplier</v>
      </c>
      <c r="I81" s="71" t="str">
        <f>if(iserror(vlookup('source-upstream'!I81,'data-cleansing-maps'!N$5:N$10,1,FALSE)),'source-upstream'!I81,"")</f>
        <v/>
      </c>
      <c r="J81" s="87" t="str">
        <f>'source-upstream'!J81</f>
        <v>Possible short term down time. Alternative business processes until supply is resumed</v>
      </c>
      <c r="K81" s="71" t="str">
        <f>if('source-upstream'!K81="",'schema-yn'!$A$5,vlookup('source-upstream'!K81,YN_MAP,3,FALSE))</f>
        <v>not-provided</v>
      </c>
      <c r="L81" s="87" t="str">
        <f>if('source-upstream'!L81="Not provided","",'source-upstream'!L81)</f>
        <v/>
      </c>
      <c r="M81" s="66" t="str">
        <f>if('source-upstream'!M81="",'schema-rv-services'!$B$26,vlookup(vlookup('source-upstream'!$M81,'analysis-rv-services'!$C:$E,3,FALSE),'schema-rv-services'!$A:$B,2, FALSE))</f>
        <v>feedstock</v>
      </c>
      <c r="N81" s="71"/>
    </row>
    <row r="82" ht="15.0" customHeight="1">
      <c r="A82" s="86" t="str">
        <f>Substitute(SUBSTITUTE(substitute(substitute(substitute(substitute(substitute(substitute(substitute(lower('source-upstream'!A82)," ","-"),"(",""),")",""),"&gt;",""),"&lt;",""),"---","-"),".","-"),"--","-"),"&amp;","-and-")</f>
        <v>lazy-lyrebird</v>
      </c>
      <c r="B82" s="86" t="str">
        <f>Substitute(SUBSTITUTE(substitute(substitute(substitute(substitute(substitute(substitute(substitute(lower('source-upstream'!B82)," ","-"),"(",""),")",""),"&gt;",""),"&lt;",""),"---","-"),".","-"),"--","-"),"&amp;","-and-")</f>
        <v>spotted-possum</v>
      </c>
      <c r="C82" s="71" t="str">
        <f>if('source-upstream'!C82="",'schema-frequency'!$B$11,vlookup('source-upstream'!C82,FREQUENCY_MAP, 3, FALSE))</f>
        <v>daily</v>
      </c>
      <c r="D82" s="87" t="str">
        <f>'source-upstream'!D82</f>
        <v>Transport - feedstock</v>
      </c>
      <c r="E82" s="71" t="str">
        <f>if('source-upstream'!E82="",'schema-yn'!$A$5,vlookup('source-upstream'!E82,YN_MAP,3,FALSE))</f>
        <v>not-provided</v>
      </c>
      <c r="F82" s="71" t="str">
        <f>if('source-upstream'!F82="",'schema-yn'!$A$5,vlookup('source-upstream'!F82,YN_MAP,3,FALSE))</f>
        <v>not-provided</v>
      </c>
      <c r="G82" s="71" t="str">
        <f>if('source-upstream'!G82="",'schema-yn'!$A$5,vlookup('source-upstream'!G82,YN_MAP,3,FALSE))</f>
        <v>not-provided</v>
      </c>
      <c r="H82" s="71" t="str">
        <f>if('source-upstream'!H82="",'schema-yn'!$A$5,vlookup('source-upstream'!H82,RESILIENCE_OPTION_MAP,3,FALSE))</f>
        <v>not-provided</v>
      </c>
      <c r="I82" s="71" t="str">
        <f>if(iserror(vlookup('source-upstream'!I82,'data-cleansing-maps'!N$5:N$10,1,FALSE)),'source-upstream'!I82,"")</f>
        <v/>
      </c>
      <c r="J82" s="87" t="str">
        <f>'source-upstream'!J82</f>
        <v>Impact of disruption - Materials cannot be received on site</v>
      </c>
      <c r="K82" s="71" t="str">
        <f>if('source-upstream'!K82="",'schema-yn'!$A$5,vlookup('source-upstream'!K82,YN_MAP,3,FALSE))</f>
        <v>not-provided</v>
      </c>
      <c r="L82" s="87" t="str">
        <f>if('source-upstream'!L82="Not provided","",'source-upstream'!L82)</f>
        <v/>
      </c>
      <c r="M82" s="66" t="str">
        <f>if('source-upstream'!M82="",'schema-rv-services'!$B$26,vlookup(vlookup('source-upstream'!$M82,'analysis-rv-services'!$C:$E,3,FALSE),'schema-rv-services'!$A:$B,2, FALSE))</f>
        <v>transport</v>
      </c>
      <c r="N82" s="71"/>
    </row>
    <row r="83" ht="15.0" customHeight="1">
      <c r="A83" s="86" t="str">
        <f>Substitute(SUBSTITUTE(substitute(substitute(substitute(substitute(substitute(substitute(substitute(lower('source-upstream'!A83)," ","-"),"(",""),")",""),"&gt;",""),"&lt;",""),"---","-"),".","-"),"--","-"),"&amp;","-and-")</f>
        <v>lazy-lyrebird</v>
      </c>
      <c r="B83" s="86" t="str">
        <f>Substitute(SUBSTITUTE(substitute(substitute(substitute(substitute(substitute(substitute(substitute(lower('source-upstream'!B83)," ","-"),"(",""),")",""),"&gt;",""),"&lt;",""),"---","-"),".","-"),"--","-"),"&amp;","-and-")</f>
        <v>golden-kookaburra</v>
      </c>
      <c r="C83" s="71" t="str">
        <f>if('source-upstream'!C83="",'schema-frequency'!$B$11,vlookup('source-upstream'!C83,FREQUENCY_MAP, 3, FALSE))</f>
        <v>daily</v>
      </c>
      <c r="D83" s="87" t="str">
        <f>'source-upstream'!D83</f>
        <v>Transport - feedstock</v>
      </c>
      <c r="E83" s="71" t="str">
        <f>if('source-upstream'!E83="",'schema-yn'!$A$5,vlookup('source-upstream'!E83,YN_MAP,3,FALSE))</f>
        <v>not-provided</v>
      </c>
      <c r="F83" s="71" t="str">
        <f>if('source-upstream'!F83="",'schema-yn'!$A$5,vlookup('source-upstream'!F83,YN_MAP,3,FALSE))</f>
        <v>not-provided</v>
      </c>
      <c r="G83" s="71" t="str">
        <f>if('source-upstream'!G83="",'schema-yn'!$A$5,vlookup('source-upstream'!G83,YN_MAP,3,FALSE))</f>
        <v>not-provided</v>
      </c>
      <c r="H83" s="71" t="str">
        <f>if('source-upstream'!H83="",'schema-yn'!$A$5,vlookup('source-upstream'!H83,RESILIENCE_OPTION_MAP,3,FALSE))</f>
        <v>not-provided</v>
      </c>
      <c r="I83" s="71" t="str">
        <f>if(iserror(vlookup('source-upstream'!I83,'data-cleansing-maps'!N$5:N$10,1,FALSE)),'source-upstream'!I83,"")</f>
        <v/>
      </c>
      <c r="J83" s="87" t="str">
        <f>'source-upstream'!J83</f>
        <v>Impact of disruption - Materials cannot be received on site</v>
      </c>
      <c r="K83" s="71" t="str">
        <f>if('source-upstream'!K83="",'schema-yn'!$A$5,vlookup('source-upstream'!K83,YN_MAP,3,FALSE))</f>
        <v>not-provided</v>
      </c>
      <c r="L83" s="87" t="str">
        <f>if('source-upstream'!L83="Not provided","",'source-upstream'!L83)</f>
        <v/>
      </c>
      <c r="M83" s="66" t="str">
        <f>if('source-upstream'!M83="",'schema-rv-services'!$B$26,vlookup(vlookup('source-upstream'!$M83,'analysis-rv-services'!$C:$E,3,FALSE),'schema-rv-services'!$A:$B,2, FALSE))</f>
        <v>transport</v>
      </c>
      <c r="N83" s="71"/>
    </row>
    <row r="84" ht="15.0" customHeight="1">
      <c r="A84" s="86" t="str">
        <f>Substitute(SUBSTITUTE(substitute(substitute(substitute(substitute(substitute(substitute(substitute(lower('source-upstream'!A84)," ","-"),"(",""),")",""),"&gt;",""),"&lt;",""),"---","-"),".","-"),"--","-"),"&amp;","-and-")</f>
        <v>lazy-lyrebird</v>
      </c>
      <c r="B84" s="86" t="str">
        <f>Substitute(SUBSTITUTE(substitute(substitute(substitute(substitute(substitute(substitute(substitute(lower('source-upstream'!B84)," ","-"),"(",""),")",""),"&gt;",""),"&lt;",""),"---","-"),".","-"),"--","-"),"&amp;","-and-")</f>
        <v>sleepy-tree-kangaroo</v>
      </c>
      <c r="C84" s="71" t="str">
        <f>if('source-upstream'!C84="",'schema-frequency'!$B$11,vlookup('source-upstream'!C84,FREQUENCY_MAP, 3, FALSE))</f>
        <v>daily</v>
      </c>
      <c r="D84" s="87" t="str">
        <f>'source-upstream'!D84</f>
        <v>Transport - feedstock</v>
      </c>
      <c r="E84" s="71" t="str">
        <f>if('source-upstream'!E84="",'schema-yn'!$A$5,vlookup('source-upstream'!E84,YN_MAP,3,FALSE))</f>
        <v>not-provided</v>
      </c>
      <c r="F84" s="71" t="str">
        <f>if('source-upstream'!F84="",'schema-yn'!$A$5,vlookup('source-upstream'!F84,YN_MAP,3,FALSE))</f>
        <v>not-provided</v>
      </c>
      <c r="G84" s="71" t="str">
        <f>if('source-upstream'!G84="",'schema-yn'!$A$5,vlookup('source-upstream'!G84,YN_MAP,3,FALSE))</f>
        <v>not-provided</v>
      </c>
      <c r="H84" s="71" t="str">
        <f>if('source-upstream'!H84="",'schema-yn'!$A$5,vlookup('source-upstream'!H84,RESILIENCE_OPTION_MAP,3,FALSE))</f>
        <v>not-provided</v>
      </c>
      <c r="I84" s="71" t="str">
        <f>if(iserror(vlookup('source-upstream'!I84,'data-cleansing-maps'!N$5:N$10,1,FALSE)),'source-upstream'!I84,"")</f>
        <v/>
      </c>
      <c r="J84" s="87" t="str">
        <f>'source-upstream'!J84</f>
        <v>Impact of disruption - Materials cannot be received on site</v>
      </c>
      <c r="K84" s="71" t="str">
        <f>if('source-upstream'!K84="",'schema-yn'!$A$5,vlookup('source-upstream'!K84,YN_MAP,3,FALSE))</f>
        <v>not-provided</v>
      </c>
      <c r="L84" s="87" t="str">
        <f>if('source-upstream'!L84="Not provided","",'source-upstream'!L84)</f>
        <v/>
      </c>
      <c r="M84" s="66" t="str">
        <f>if('source-upstream'!M84="",'schema-rv-services'!$B$26,vlookup(vlookup('source-upstream'!$M84,'analysis-rv-services'!$C:$E,3,FALSE),'schema-rv-services'!$A:$B,2, FALSE))</f>
        <v>transport</v>
      </c>
      <c r="N84" s="71"/>
    </row>
    <row r="85" ht="15.0" customHeight="1">
      <c r="A85" s="86" t="str">
        <f>Substitute(SUBSTITUTE(substitute(substitute(substitute(substitute(substitute(substitute(substitute(lower('source-upstream'!A85)," ","-"),"(",""),")",""),"&gt;",""),"&lt;",""),"---","-"),".","-"),"--","-"),"&amp;","-and-")</f>
        <v>lazy-lyrebird</v>
      </c>
      <c r="B85" s="86" t="str">
        <f>Substitute(SUBSTITUTE(substitute(substitute(substitute(substitute(substitute(substitute(substitute(lower('source-upstream'!B85)," ","-"),"(",""),")",""),"&gt;",""),"&lt;",""),"---","-"),".","-"),"--","-"),"&amp;","-and-")</f>
        <v>swift-lyrebird</v>
      </c>
      <c r="C85" s="71" t="str">
        <f>if('source-upstream'!C85="",'schema-frequency'!$B$11,vlookup('source-upstream'!C85,FREQUENCY_MAP, 3, FALSE))</f>
        <v>daily</v>
      </c>
      <c r="D85" s="87" t="str">
        <f>'source-upstream'!D85</f>
        <v>Transport - feedstock</v>
      </c>
      <c r="E85" s="71" t="str">
        <f>if('source-upstream'!E85="",'schema-yn'!$A$5,vlookup('source-upstream'!E85,YN_MAP,3,FALSE))</f>
        <v>not-provided</v>
      </c>
      <c r="F85" s="71" t="str">
        <f>if('source-upstream'!F85="",'schema-yn'!$A$5,vlookup('source-upstream'!F85,YN_MAP,3,FALSE))</f>
        <v>not-provided</v>
      </c>
      <c r="G85" s="71" t="str">
        <f>if('source-upstream'!G85="",'schema-yn'!$A$5,vlookup('source-upstream'!G85,YN_MAP,3,FALSE))</f>
        <v>not-provided</v>
      </c>
      <c r="H85" s="71" t="str">
        <f>if('source-upstream'!H85="",'schema-yn'!$A$5,vlookup('source-upstream'!H85,RESILIENCE_OPTION_MAP,3,FALSE))</f>
        <v>not-provided</v>
      </c>
      <c r="I85" s="71" t="str">
        <f>if(iserror(vlookup('source-upstream'!I85,'data-cleansing-maps'!N$5:N$10,1,FALSE)),'source-upstream'!I85,"")</f>
        <v/>
      </c>
      <c r="J85" s="87" t="str">
        <f>'source-upstream'!J85</f>
        <v>Impact of disruption - cessation of major volumes of hazardous waste on site</v>
      </c>
      <c r="K85" s="71" t="str">
        <f>if('source-upstream'!K85="",'schema-yn'!$A$5,vlookup('source-upstream'!K85,YN_MAP,3,FALSE))</f>
        <v>not-provided</v>
      </c>
      <c r="L85" s="87" t="str">
        <f>if('source-upstream'!L85="Not provided","",'source-upstream'!L85)</f>
        <v/>
      </c>
      <c r="M85" s="66" t="str">
        <f>if('source-upstream'!M85="",'schema-rv-services'!$B$26,vlookup(vlookup('source-upstream'!$M85,'analysis-rv-services'!$C:$E,3,FALSE),'schema-rv-services'!$A:$B,2, FALSE))</f>
        <v>feedstock</v>
      </c>
      <c r="N85" s="71"/>
    </row>
    <row r="86" ht="15.0" customHeight="1">
      <c r="A86" s="86" t="str">
        <f>Substitute(SUBSTITUTE(substitute(substitute(substitute(substitute(substitute(substitute(substitute(lower('source-upstream'!A86)," ","-"),"(",""),")",""),"&gt;",""),"&lt;",""),"---","-"),".","-"),"--","-"),"&amp;","-and-")</f>
        <v>lazy-lyrebird</v>
      </c>
      <c r="B86" s="86" t="str">
        <f>Substitute(SUBSTITUTE(substitute(substitute(substitute(substitute(substitute(substitute(substitute(lower('source-upstream'!B86)," ","-"),"(",""),")",""),"&gt;",""),"&lt;",""),"---","-"),".","-"),"--","-"),"&amp;","-and-")</f>
        <v>lazy-fairy-penguin</v>
      </c>
      <c r="C86" s="71" t="str">
        <f>if('source-upstream'!C86="",'schema-frequency'!$B$11,vlookup('source-upstream'!C86,FREQUENCY_MAP, 3, FALSE))</f>
        <v>daily</v>
      </c>
      <c r="D86" s="87" t="str">
        <f>'source-upstream'!D86</f>
        <v>Landfill operators</v>
      </c>
      <c r="E86" s="71" t="str">
        <f>if('source-upstream'!E86="",'schema-yn'!$A$5,vlookup('source-upstream'!E86,YN_MAP,3,FALSE))</f>
        <v>not-provided</v>
      </c>
      <c r="F86" s="71" t="str">
        <f>if('source-upstream'!F86="",'schema-yn'!$A$5,vlookup('source-upstream'!F86,YN_MAP,3,FALSE))</f>
        <v>not-provided</v>
      </c>
      <c r="G86" s="71" t="str">
        <f>if('source-upstream'!G86="",'schema-yn'!$A$5,vlookup('source-upstream'!G86,YN_MAP,3,FALSE))</f>
        <v>not-provided</v>
      </c>
      <c r="H86" s="71" t="str">
        <f>if('source-upstream'!H86="",'schema-yn'!$A$5,vlookup('source-upstream'!H86,RESILIENCE_OPTION_MAP,3,FALSE))</f>
        <v>not-provided</v>
      </c>
      <c r="I86" s="71" t="str">
        <f>if(iserror(vlookup('source-upstream'!I86,'data-cleansing-maps'!N$5:N$10,1,FALSE)),'source-upstream'!I86,"")</f>
        <v/>
      </c>
      <c r="J86" s="87"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71" t="str">
        <f>if('source-upstream'!K86="",'schema-yn'!$A$5,vlookup('source-upstream'!K86,YN_MAP,3,FALSE))</f>
        <v>yes</v>
      </c>
      <c r="L86" s="87" t="str">
        <f>if('source-upstream'!L86="Not provided","",'source-upstream'!L86)</f>
        <v>This sounds like landfill site is owned by one party the operations are outsourced to another party which makes the third party, Grosvenor Lodge, a single point of failure.</v>
      </c>
      <c r="M86" s="66" t="str">
        <f>if('source-upstream'!M86="",'schema-rv-services'!$B$26,vlookup(vlookup('source-upstream'!$M86,'analysis-rv-services'!$C:$E,3,FALSE),'schema-rv-services'!$A:$B,2, FALSE))</f>
        <v>waste-disposal</v>
      </c>
      <c r="N86" s="71"/>
    </row>
    <row r="87" ht="15.0" customHeight="1">
      <c r="A87" s="86" t="str">
        <f>Substitute(SUBSTITUTE(substitute(substitute(substitute(substitute(substitute(substitute(substitute(lower('source-upstream'!A87)," ","-"),"(",""),")",""),"&gt;",""),"&lt;",""),"---","-"),".","-"),"--","-"),"&amp;","-and-")</f>
        <v>lazy-lyrebird</v>
      </c>
      <c r="B87" s="86" t="str">
        <f>Substitute(SUBSTITUTE(substitute(substitute(substitute(substitute(substitute(substitute(substitute(lower('source-upstream'!B87)," ","-"),"(",""),")",""),"&gt;",""),"&lt;",""),"---","-"),".","-"),"--","-"),"&amp;","-and-")</f>
        <v>shy-echidna</v>
      </c>
      <c r="C87" s="71" t="str">
        <f>if('source-upstream'!C87="",'schema-frequency'!$B$11,vlookup('source-upstream'!C87,FREQUENCY_MAP, 3, FALSE))</f>
        <v>annual</v>
      </c>
      <c r="D87" s="87" t="str">
        <f>'source-upstream'!D87</f>
        <v>Weighbridge Callibration</v>
      </c>
      <c r="E87" s="71" t="str">
        <f>if('source-upstream'!E87="",'schema-yn'!$A$5,vlookup('source-upstream'!E87,YN_MAP,3,FALSE))</f>
        <v>not-provided</v>
      </c>
      <c r="F87" s="71" t="str">
        <f>if('source-upstream'!F87="",'schema-yn'!$A$5,vlookup('source-upstream'!F87,YN_MAP,3,FALSE))</f>
        <v>not-provided</v>
      </c>
      <c r="G87" s="71" t="str">
        <f>if('source-upstream'!G87="",'schema-yn'!$A$5,vlookup('source-upstream'!G87,YN_MAP,3,FALSE))</f>
        <v>not-provided</v>
      </c>
      <c r="H87" s="71" t="str">
        <f>if('source-upstream'!H87="",'schema-yn'!$A$5,vlookup('source-upstream'!H87,RESILIENCE_OPTION_MAP,3,FALSE))</f>
        <v>not-provided</v>
      </c>
      <c r="I87" s="71" t="str">
        <f>if(iserror(vlookup('source-upstream'!I87,'data-cleansing-maps'!N$5:N$10,1,FALSE)),'source-upstream'!I87,"")</f>
        <v/>
      </c>
      <c r="J87" s="87" t="str">
        <f>'source-upstream'!J87</f>
        <v>Impact of disruption - Inaccuracies in reading quantities of inbound material (too high or too low)</v>
      </c>
      <c r="K87" s="71" t="str">
        <f>if('source-upstream'!K87="",'schema-yn'!$A$5,vlookup('source-upstream'!K87,YN_MAP,3,FALSE))</f>
        <v>not-provided</v>
      </c>
      <c r="L87" s="88" t="str">
        <f>if('source-upstream'!L87="Not provided","",'source-upstream'!L87)</f>
        <v/>
      </c>
      <c r="M87" s="66" t="str">
        <f>if('source-upstream'!M87="",'schema-rv-services'!$B$26,vlookup(vlookup('source-upstream'!$M87,'analysis-rv-services'!$C:$E,3,FALSE),'schema-rv-services'!$A:$B,2, FALSE))</f>
        <v>repairs-and-maintenance</v>
      </c>
      <c r="N87" s="71"/>
    </row>
    <row r="88" ht="15.0" customHeight="1">
      <c r="A88" s="86" t="str">
        <f>Substitute(SUBSTITUTE(substitute(substitute(substitute(substitute(substitute(substitute(substitute(lower('source-upstream'!A88)," ","-"),"(",""),")",""),"&gt;",""),"&lt;",""),"---","-"),".","-"),"--","-"),"&amp;","-and-")</f>
        <v>lazy-lyrebird</v>
      </c>
      <c r="B88" s="86" t="str">
        <f>Substitute(SUBSTITUTE(substitute(substitute(substitute(substitute(substitute(substitute(substitute(lower('source-upstream'!B88)," ","-"),"(",""),")",""),"&gt;",""),"&lt;",""),"---","-"),".","-"),"--","-"),"&amp;","-and-")</f>
        <v>green-dingo</v>
      </c>
      <c r="C88" s="71" t="str">
        <f>if('source-upstream'!C88="",'schema-frequency'!$B$11,vlookup('source-upstream'!C88,FREQUENCY_MAP, 3, FALSE))</f>
        <v>not-provided</v>
      </c>
      <c r="D88" s="87" t="str">
        <f>'source-upstream'!D88</f>
        <v>Unclear from RERCC Plan</v>
      </c>
      <c r="E88" s="71" t="str">
        <f>if('source-upstream'!E88="",'schema-yn'!$A$5,vlookup('source-upstream'!E88,YN_MAP,3,FALSE))</f>
        <v>not-provided</v>
      </c>
      <c r="F88" s="71" t="str">
        <f>if('source-upstream'!F88="",'schema-yn'!$A$5,vlookup('source-upstream'!F88,YN_MAP,3,FALSE))</f>
        <v>not-provided</v>
      </c>
      <c r="G88" s="71" t="str">
        <f>if('source-upstream'!G88="",'schema-yn'!$A$5,vlookup('source-upstream'!G88,YN_MAP,3,FALSE))</f>
        <v>not-provided</v>
      </c>
      <c r="H88" s="71" t="str">
        <f>if('source-upstream'!H88="",'schema-yn'!$A$5,vlookup('source-upstream'!H88,RESILIENCE_OPTION_MAP,3,FALSE))</f>
        <v>not-provided</v>
      </c>
      <c r="I88" s="71" t="str">
        <f>if(iserror(vlookup('source-upstream'!I88,'data-cleansing-maps'!N$5:N$10,1,FALSE)),'source-upstream'!I88,"")</f>
        <v/>
      </c>
      <c r="J88" s="87" t="str">
        <f>'source-upstream'!J88</f>
        <v>In addiion to financial implicatons, fines and/or other enforcement actviies, can impact relationship with existing and future clients</v>
      </c>
      <c r="K88" s="71" t="str">
        <f>if('source-upstream'!K88="",'schema-yn'!$A$5,vlookup('source-upstream'!K88,YN_MAP,3,FALSE))</f>
        <v>not-provided</v>
      </c>
      <c r="L88" s="88" t="str">
        <f>if('source-upstream'!L88="Not provided","",'source-upstream'!L88)</f>
        <v/>
      </c>
      <c r="M88" s="66" t="str">
        <f>if('source-upstream'!M88="",'schema-rv-services'!$B$26,vlookup(vlookup('source-upstream'!$M88,'analysis-rv-services'!$C:$E,3,FALSE),'schema-rv-services'!$A:$B,2, FALSE))</f>
        <v>regulator</v>
      </c>
      <c r="N88" s="71"/>
    </row>
    <row r="89" ht="15.0" customHeight="1">
      <c r="A89" s="86" t="str">
        <f>Substitute(SUBSTITUTE(substitute(substitute(substitute(substitute(substitute(substitute(substitute(lower('source-upstream'!A89)," ","-"),"(",""),")",""),"&gt;",""),"&lt;",""),"---","-"),".","-"),"--","-"),"&amp;","-and-")</f>
        <v>lazy-lyrebird</v>
      </c>
      <c r="B89" s="86" t="str">
        <f>Substitute(SUBSTITUTE(substitute(substitute(substitute(substitute(substitute(substitute(substitute(lower('source-upstream'!B89)," ","-"),"(",""),")",""),"&gt;",""),"&lt;",""),"---","-"),".","-"),"--","-"),"&amp;","-and-")</f>
        <v>yellow-frilled-neck-lizard</v>
      </c>
      <c r="C89" s="71" t="str">
        <f>if('source-upstream'!C89="",'schema-frequency'!$B$11,vlookup('source-upstream'!C89,FREQUENCY_MAP, 3, FALSE))</f>
        <v>not-provided</v>
      </c>
      <c r="D89" s="87" t="str">
        <f>'source-upstream'!D89</f>
        <v>Unclear from RERCC Plan</v>
      </c>
      <c r="E89" s="71" t="str">
        <f>if('source-upstream'!E89="",'schema-yn'!$A$5,vlookup('source-upstream'!E89,YN_MAP,3,FALSE))</f>
        <v>not-provided</v>
      </c>
      <c r="F89" s="71" t="str">
        <f>if('source-upstream'!F89="",'schema-yn'!$A$5,vlookup('source-upstream'!F89,YN_MAP,3,FALSE))</f>
        <v>not-provided</v>
      </c>
      <c r="G89" s="71" t="str">
        <f>if('source-upstream'!G89="",'schema-yn'!$A$5,vlookup('source-upstream'!G89,YN_MAP,3,FALSE))</f>
        <v>not-provided</v>
      </c>
      <c r="H89" s="71" t="str">
        <f>if('source-upstream'!H89="",'schema-yn'!$A$5,vlookup('source-upstream'!H89,RESILIENCE_OPTION_MAP,3,FALSE))</f>
        <v>not-provided</v>
      </c>
      <c r="I89" s="71" t="str">
        <f>if(iserror(vlookup('source-upstream'!I89,'data-cleansing-maps'!N$5:N$10,1,FALSE)),'source-upstream'!I89,"")</f>
        <v/>
      </c>
      <c r="J89" s="87" t="str">
        <f>'source-upstream'!J89</f>
        <v>In addiion to financial implicatons, fines and/or other enforcement actviies, can impact relationship with existing and future clients</v>
      </c>
      <c r="K89" s="71" t="str">
        <f>if('source-upstream'!K89="",'schema-yn'!$A$5,vlookup('source-upstream'!K89,YN_MAP,3,FALSE))</f>
        <v>not-provided</v>
      </c>
      <c r="L89" s="88" t="str">
        <f>if('source-upstream'!L89="Not provided","",'source-upstream'!L89)</f>
        <v/>
      </c>
      <c r="M89" s="66" t="str">
        <f>if('source-upstream'!M89="",'schema-rv-services'!$B$26,vlookup(vlookup('source-upstream'!$M89,'analysis-rv-services'!$C:$E,3,FALSE),'schema-rv-services'!$A:$B,2, FALSE))</f>
        <v>regulator</v>
      </c>
      <c r="N89" s="71"/>
    </row>
    <row r="90" ht="15.0" customHeight="1">
      <c r="A90" s="86" t="str">
        <f>Substitute(SUBSTITUTE(substitute(substitute(substitute(substitute(substitute(substitute(substitute(lower('source-upstream'!A90)," ","-"),"(",""),")",""),"&gt;",""),"&lt;",""),"---","-"),".","-"),"--","-"),"&amp;","-and-")</f>
        <v>lazy-lyrebird</v>
      </c>
      <c r="B90" s="86" t="str">
        <f>Substitute(SUBSTITUTE(substitute(substitute(substitute(substitute(substitute(substitute(substitute(lower('source-upstream'!B90)," ","-"),"(",""),")",""),"&gt;",""),"&lt;",""),"---","-"),".","-"),"--","-"),"&amp;","-and-")</f>
        <v>golden-frilled-neck-lizard</v>
      </c>
      <c r="C90" s="71" t="str">
        <f>if('source-upstream'!C90="",'schema-frequency'!$B$11,vlookup('source-upstream'!C90,FREQUENCY_MAP, 3, FALSE))</f>
        <v>not-provided</v>
      </c>
      <c r="D90" s="87" t="str">
        <f>'source-upstream'!D90</f>
        <v>Unclear from RERCC Plan</v>
      </c>
      <c r="E90" s="71" t="str">
        <f>if('source-upstream'!E90="",'schema-yn'!$A$5,vlookup('source-upstream'!E90,YN_MAP,3,FALSE))</f>
        <v>not-provided</v>
      </c>
      <c r="F90" s="71" t="str">
        <f>if('source-upstream'!F90="",'schema-yn'!$A$5,vlookup('source-upstream'!F90,YN_MAP,3,FALSE))</f>
        <v>not-provided</v>
      </c>
      <c r="G90" s="71" t="str">
        <f>if('source-upstream'!G90="",'schema-yn'!$A$5,vlookup('source-upstream'!G90,YN_MAP,3,FALSE))</f>
        <v>not-provided</v>
      </c>
      <c r="H90" s="71" t="str">
        <f>if('source-upstream'!H90="",'schema-yn'!$A$5,vlookup('source-upstream'!H90,RESILIENCE_OPTION_MAP,3,FALSE))</f>
        <v>not-provided</v>
      </c>
      <c r="I90" s="71" t="str">
        <f>if(iserror(vlookup('source-upstream'!I90,'data-cleansing-maps'!N$5:N$10,1,FALSE)),'source-upstream'!I90,"")</f>
        <v/>
      </c>
      <c r="J90" s="87" t="str">
        <f>'source-upstream'!J90</f>
        <v>In addiion to financial implicatons, fines and/or other enforcement actviies, can impact relationship with existing and future clients</v>
      </c>
      <c r="K90" s="71" t="str">
        <f>if('source-upstream'!K90="",'schema-yn'!$A$5,vlookup('source-upstream'!K90,YN_MAP,3,FALSE))</f>
        <v>not-provided</v>
      </c>
      <c r="L90" s="88" t="str">
        <f>if('source-upstream'!L90="Not provided","",'source-upstream'!L90)</f>
        <v/>
      </c>
      <c r="M90" s="66" t="str">
        <f>if('source-upstream'!M90="",'schema-rv-services'!$B$26,vlookup(vlookup('source-upstream'!$M90,'analysis-rv-services'!$C:$E,3,FALSE),'schema-rv-services'!$A:$B,2, FALSE))</f>
        <v>regulator</v>
      </c>
      <c r="N90" s="71"/>
    </row>
    <row r="91" ht="15.0" customHeight="1">
      <c r="A91" s="86" t="str">
        <f>Substitute(SUBSTITUTE(substitute(substitute(substitute(substitute(substitute(substitute(substitute(lower('source-upstream'!A91)," ","-"),"(",""),")",""),"&gt;",""),"&lt;",""),"---","-"),".","-"),"--","-"),"&amp;","-and-")</f>
        <v>lazy-lyrebird</v>
      </c>
      <c r="B91" s="86" t="str">
        <f>Substitute(SUBSTITUTE(substitute(substitute(substitute(substitute(substitute(substitute(substitute(lower('source-upstream'!B91)," ","-"),"(",""),")",""),"&gt;",""),"&lt;",""),"---","-"),".","-"),"--","-"),"&amp;","-and-")</f>
        <v>green-dingo</v>
      </c>
      <c r="C91" s="71" t="str">
        <f>if('source-upstream'!C91="",'schema-frequency'!$B$11,vlookup('source-upstream'!C91,FREQUENCY_MAP, 3, FALSE))</f>
        <v>triennial</v>
      </c>
      <c r="D91" s="87" t="str">
        <f>'source-upstream'!D91</f>
        <v>EPA Licence requirement</v>
      </c>
      <c r="E91" s="71" t="str">
        <f>if('source-upstream'!E91="",'schema-yn'!$A$5,vlookup('source-upstream'!E91,YN_MAP,3,FALSE))</f>
        <v>not-provided</v>
      </c>
      <c r="F91" s="71" t="str">
        <f>if('source-upstream'!F91="",'schema-yn'!$A$5,vlookup('source-upstream'!F91,YN_MAP,3,FALSE))</f>
        <v>not-provided</v>
      </c>
      <c r="G91" s="71" t="str">
        <f>if('source-upstream'!G91="",'schema-yn'!$A$5,vlookup('source-upstream'!G91,YN_MAP,3,FALSE))</f>
        <v>not-provided</v>
      </c>
      <c r="H91" s="71" t="str">
        <f>if('source-upstream'!H91="",'schema-yn'!$A$5,vlookup('source-upstream'!H91,RESILIENCE_OPTION_MAP,3,FALSE))</f>
        <v>not-provided</v>
      </c>
      <c r="I91" s="71" t="str">
        <f>if(iserror(vlookup('source-upstream'!I91,'data-cleansing-maps'!N$5:N$10,1,FALSE)),'source-upstream'!I91,"")</f>
        <v/>
      </c>
      <c r="J91" s="87" t="str">
        <f>'source-upstream'!J91</f>
        <v>No comments provided</v>
      </c>
      <c r="K91" s="71" t="str">
        <f>if('source-upstream'!K91="",'schema-yn'!$A$5,vlookup('source-upstream'!K91,YN_MAP,3,FALSE))</f>
        <v>not-provided</v>
      </c>
      <c r="L91" s="88" t="str">
        <f>if('source-upstream'!L91="Not provided","",'source-upstream'!L91)</f>
        <v/>
      </c>
      <c r="M91" s="66" t="str">
        <f>if('source-upstream'!M91="",'schema-rv-services'!$B$26,vlookup(vlookup('source-upstream'!$M91,'analysis-rv-services'!$C:$E,3,FALSE),'schema-rv-services'!$A:$B,2, FALSE))</f>
        <v>consultant-services</v>
      </c>
      <c r="N91" s="71"/>
    </row>
    <row r="92" ht="15.0" customHeight="1">
      <c r="A92" s="86" t="str">
        <f>Substitute(SUBSTITUTE(substitute(substitute(substitute(substitute(substitute(substitute(substitute(lower('source-upstream'!A92)," ","-"),"(",""),")",""),"&gt;",""),"&lt;",""),"---","-"),".","-"),"--","-"),"&amp;","-and-")</f>
        <v>lazy-sugar-glider</v>
      </c>
      <c r="B92" s="86" t="str">
        <f>Substitute(SUBSTITUTE(substitute(substitute(substitute(substitute(substitute(substitute(substitute(lower('source-upstream'!B92)," ","-"),"(",""),")",""),"&gt;",""),"&lt;",""),"---","-"),".","-"),"--","-"),"&amp;","-and-")</f>
        <v>green-dingo</v>
      </c>
      <c r="C92" s="71" t="str">
        <f>if('source-upstream'!C92="",'schema-frequency'!$B$11,vlookup('source-upstream'!C92,FREQUENCY_MAP, 3, FALSE))</f>
        <v>not-provided</v>
      </c>
      <c r="D92" s="87" t="str">
        <f>'source-upstream'!D92</f>
        <v>Operating licence and compliance</v>
      </c>
      <c r="E92" s="71" t="str">
        <f>if('source-upstream'!E92="",'schema-yn'!$A$5,vlookup('source-upstream'!E92,YN_MAP,3,FALSE))</f>
        <v>yes</v>
      </c>
      <c r="F92" s="71" t="str">
        <f>if('source-upstream'!F92="",'schema-yn'!$A$5,vlookup('source-upstream'!F92,YN_MAP,3,FALSE))</f>
        <v>yes</v>
      </c>
      <c r="G92" s="71" t="str">
        <f>if('source-upstream'!G92="",'schema-yn'!$A$5,vlookup('source-upstream'!G92,YN_MAP,3,FALSE))</f>
        <v>not-provided</v>
      </c>
      <c r="H92" s="71" t="str">
        <f>if('source-upstream'!H92="",'schema-yn'!$A$5,vlookup('source-upstream'!H92,RESILIENCE_OPTION_MAP,3,FALSE))</f>
        <v>not-provided</v>
      </c>
      <c r="I92" s="71" t="str">
        <f>if(iserror(vlookup('source-upstream'!I92,'data-cleansing-maps'!N$5:N$10,1,FALSE)),'source-upstream'!I92,"")</f>
        <v/>
      </c>
      <c r="J92" s="87" t="str">
        <f>'source-upstream'!J92</f>
        <v>No comments provided</v>
      </c>
      <c r="K92" s="71" t="str">
        <f>if('source-upstream'!K92="",'schema-yn'!$A$5,vlookup('source-upstream'!K92,YN_MAP,3,FALSE))</f>
        <v>not-provided</v>
      </c>
      <c r="L92" s="88" t="str">
        <f>if('source-upstream'!L92="Not provided","",'source-upstream'!L92)</f>
        <v/>
      </c>
      <c r="M92" s="66" t="str">
        <f>if('source-upstream'!M92="",'schema-rv-services'!$B$26,vlookup(vlookup('source-upstream'!$M92,'analysis-rv-services'!$C:$E,3,FALSE),'schema-rv-services'!$A:$B,2, FALSE))</f>
        <v>regulator</v>
      </c>
      <c r="N92" s="71"/>
    </row>
    <row r="93" ht="15.0" customHeight="1">
      <c r="A93" s="86" t="str">
        <f>Substitute(SUBSTITUTE(substitute(substitute(substitute(substitute(substitute(substitute(substitute(lower('source-upstream'!A93)," ","-"),"(",""),")",""),"&gt;",""),"&lt;",""),"---","-"),".","-"),"--","-"),"&amp;","-and-")</f>
        <v>lazy-sugar-glider</v>
      </c>
      <c r="B93" s="86" t="str">
        <f>Substitute(SUBSTITUTE(substitute(substitute(substitute(substitute(substitute(substitute(substitute(lower('source-upstream'!B93)," ","-"),"(",""),")",""),"&gt;",""),"&lt;",""),"---","-"),".","-"),"--","-"),"&amp;","-and-")</f>
        <v>brave-quokka</v>
      </c>
      <c r="C93" s="71" t="str">
        <f>if('source-upstream'!C93="",'schema-frequency'!$B$11,vlookup('source-upstream'!C93,FREQUENCY_MAP, 3, FALSE))</f>
        <v>monthly</v>
      </c>
      <c r="D93" s="87" t="str">
        <f>'source-upstream'!D93</f>
        <v>Environmental Consulting</v>
      </c>
      <c r="E93" s="71" t="str">
        <f>if('source-upstream'!E93="",'schema-yn'!$A$5,vlookup('source-upstream'!E93,YN_MAP,3,FALSE))</f>
        <v>yes</v>
      </c>
      <c r="F93" s="71" t="str">
        <f>if('source-upstream'!F93="",'schema-yn'!$A$5,vlookup('source-upstream'!F93,YN_MAP,3,FALSE))</f>
        <v>no</v>
      </c>
      <c r="G93" s="71" t="str">
        <f>if('source-upstream'!G93="",'schema-yn'!$A$5,vlookup('source-upstream'!G93,YN_MAP,3,FALSE))</f>
        <v>yes</v>
      </c>
      <c r="H93" s="71" t="str">
        <f>if('source-upstream'!H93="",'schema-yn'!$A$5,vlookup('source-upstream'!H93,RESILIENCE_OPTION_MAP,3,FALSE))</f>
        <v>alternative-supplier</v>
      </c>
      <c r="I93" s="71" t="str">
        <f>if(iserror(vlookup('source-upstream'!I93,'data-cleansing-maps'!N$5:N$10,1,FALSE)),'source-upstream'!I93,"")</f>
        <v/>
      </c>
      <c r="J93" s="87" t="str">
        <f>'source-upstream'!J93</f>
        <v>Alternative supplier not specified - it may be Core Environmental</v>
      </c>
      <c r="K93" s="71" t="str">
        <f>if('source-upstream'!K93="",'schema-yn'!$A$5,vlookup('source-upstream'!K93,YN_MAP,3,FALSE))</f>
        <v>not-provided</v>
      </c>
      <c r="L93" s="88" t="str">
        <f>if('source-upstream'!L93="Not provided","",'source-upstream'!L93)</f>
        <v/>
      </c>
      <c r="M93" s="66" t="str">
        <f>if('source-upstream'!M93="",'schema-rv-services'!$B$26,vlookup(vlookup('source-upstream'!$M93,'analysis-rv-services'!$C:$E,3,FALSE),'schema-rv-services'!$A:$B,2, FALSE))</f>
        <v>consultant-services</v>
      </c>
      <c r="N93" s="71"/>
    </row>
    <row r="94" ht="15.0" customHeight="1">
      <c r="A94" s="86" t="str">
        <f>Substitute(SUBSTITUTE(substitute(substitute(substitute(substitute(substitute(substitute(substitute(lower('source-upstream'!A94)," ","-"),"(",""),")",""),"&gt;",""),"&lt;",""),"---","-"),".","-"),"--","-"),"&amp;","-and-")</f>
        <v>lazy-sugar-glider</v>
      </c>
      <c r="B94" s="86" t="str">
        <f>Substitute(SUBSTITUTE(substitute(substitute(substitute(substitute(substitute(substitute(substitute(lower('source-upstream'!B94)," ","-"),"(",""),")",""),"&gt;",""),"&lt;",""),"---","-"),".","-"),"--","-"),"&amp;","-and-")</f>
        <v>giant-cockatoo</v>
      </c>
      <c r="C94" s="71" t="str">
        <f>if('source-upstream'!C94="",'schema-frequency'!$B$11,vlookup('source-upstream'!C94,FREQUENCY_MAP, 3, FALSE))</f>
        <v>quarterly</v>
      </c>
      <c r="D94" s="87" t="str">
        <f>'source-upstream'!D94</f>
        <v>Environmental Consulting</v>
      </c>
      <c r="E94" s="71" t="str">
        <f>if('source-upstream'!E94="",'schema-yn'!$A$5,vlookup('source-upstream'!E94,YN_MAP,3,FALSE))</f>
        <v>yes</v>
      </c>
      <c r="F94" s="71" t="str">
        <f>if('source-upstream'!F94="",'schema-yn'!$A$5,vlookup('source-upstream'!F94,YN_MAP,3,FALSE))</f>
        <v>no</v>
      </c>
      <c r="G94" s="71" t="str">
        <f>if('source-upstream'!G94="",'schema-yn'!$A$5,vlookup('source-upstream'!G94,YN_MAP,3,FALSE))</f>
        <v>yes</v>
      </c>
      <c r="H94" s="71" t="str">
        <f>if('source-upstream'!H94="",'schema-yn'!$A$5,vlookup('source-upstream'!H94,RESILIENCE_OPTION_MAP,3,FALSE))</f>
        <v>alternative-supplier</v>
      </c>
      <c r="I94" s="71" t="str">
        <f>if(iserror(vlookup('source-upstream'!I94,'data-cleansing-maps'!N$5:N$10,1,FALSE)),'source-upstream'!I94,"")</f>
        <v/>
      </c>
      <c r="J94" s="87" t="str">
        <f>'source-upstream'!J94</f>
        <v>Alternative supplier not specified - it may be Bajwa Enviro</v>
      </c>
      <c r="K94" s="71" t="str">
        <f>if('source-upstream'!K94="",'schema-yn'!$A$5,vlookup('source-upstream'!K94,YN_MAP,3,FALSE))</f>
        <v>not-provided</v>
      </c>
      <c r="L94" s="88" t="str">
        <f>if('source-upstream'!L94="Not provided","",'source-upstream'!L94)</f>
        <v/>
      </c>
      <c r="M94" s="66" t="str">
        <f>if('source-upstream'!M94="",'schema-rv-services'!$B$26,vlookup(vlookup('source-upstream'!$M94,'analysis-rv-services'!$C:$E,3,FALSE),'schema-rv-services'!$A:$B,2, FALSE))</f>
        <v>consultant-services</v>
      </c>
      <c r="N94" s="71"/>
    </row>
    <row r="95" ht="15.0" customHeight="1">
      <c r="A95" s="86" t="str">
        <f>Substitute(SUBSTITUTE(substitute(substitute(substitute(substitute(substitute(substitute(substitute(lower('source-upstream'!A95)," ","-"),"(",""),")",""),"&gt;",""),"&lt;",""),"---","-"),".","-"),"--","-"),"&amp;","-and-")</f>
        <v>lazy-sugar-glider</v>
      </c>
      <c r="B95" s="86" t="str">
        <f>Substitute(SUBSTITUTE(substitute(substitute(substitute(substitute(substitute(substitute(substitute(lower('source-upstream'!B95)," ","-"),"(",""),")",""),"&gt;",""),"&lt;",""),"---","-"),".","-"),"--","-"),"&amp;","-and-")</f>
        <v>blue-goanna</v>
      </c>
      <c r="C95" s="71" t="str">
        <f>if('source-upstream'!C95="",'schema-frequency'!$B$11,vlookup('source-upstream'!C95,FREQUENCY_MAP, 3, FALSE))</f>
        <v>ad-hoc</v>
      </c>
      <c r="D95" s="87" t="str">
        <f>'source-upstream'!D95</f>
        <v>Environmental Consulting</v>
      </c>
      <c r="E95" s="71" t="str">
        <f>if('source-upstream'!E95="",'schema-yn'!$A$5,vlookup('source-upstream'!E95,YN_MAP,3,FALSE))</f>
        <v>yes</v>
      </c>
      <c r="F95" s="71" t="str">
        <f>if('source-upstream'!F95="",'schema-yn'!$A$5,vlookup('source-upstream'!F95,YN_MAP,3,FALSE))</f>
        <v>no</v>
      </c>
      <c r="G95" s="71" t="str">
        <f>if('source-upstream'!G95="",'schema-yn'!$A$5,vlookup('source-upstream'!G95,YN_MAP,3,FALSE))</f>
        <v>yes</v>
      </c>
      <c r="H95" s="71" t="str">
        <f>if('source-upstream'!H95="",'schema-yn'!$A$5,vlookup('source-upstream'!H95,RESILIENCE_OPTION_MAP,3,FALSE))</f>
        <v>alternative-supplier</v>
      </c>
      <c r="I95" s="71" t="str">
        <f>if(iserror(vlookup('source-upstream'!I95,'data-cleansing-maps'!N$5:N$10,1,FALSE)),'source-upstream'!I95,"")</f>
        <v/>
      </c>
      <c r="J95" s="87" t="str">
        <f>'source-upstream'!J95</f>
        <v>Alternative supplier not specified - it may be Bajwa Enviro or Core Envrionmental</v>
      </c>
      <c r="K95" s="71" t="str">
        <f>if('source-upstream'!K95="",'schema-yn'!$A$5,vlookup('source-upstream'!K95,YN_MAP,3,FALSE))</f>
        <v>not-provided</v>
      </c>
      <c r="L95" s="88" t="str">
        <f>if('source-upstream'!L95="Not provided","",'source-upstream'!L95)</f>
        <v/>
      </c>
      <c r="M95" s="66" t="str">
        <f>if('source-upstream'!M95="",'schema-rv-services'!$B$26,vlookup(vlookup('source-upstream'!$M95,'analysis-rv-services'!$C:$E,3,FALSE),'schema-rv-services'!$A:$B,2, FALSE))</f>
        <v>consultant-services</v>
      </c>
      <c r="N95" s="71"/>
    </row>
    <row r="96" ht="15.0" customHeight="1">
      <c r="A96" s="86" t="str">
        <f>Substitute(SUBSTITUTE(substitute(substitute(substitute(substitute(substitute(substitute(substitute(lower('source-upstream'!A96)," ","-"),"(",""),")",""),"&gt;",""),"&lt;",""),"---","-"),".","-"),"--","-"),"&amp;","-and-")</f>
        <v>lazy-sugar-glider</v>
      </c>
      <c r="B96" s="86" t="str">
        <f>Substitute(SUBSTITUTE(substitute(substitute(substitute(substitute(substitute(substitute(substitute(lower('source-upstream'!B96)," ","-"),"(",""),")",""),"&gt;",""),"&lt;",""),"---","-"),".","-"),"--","-"),"&amp;","-and-")</f>
        <v>green-bandicoot</v>
      </c>
      <c r="C96" s="71" t="str">
        <f>if('source-upstream'!C96="",'schema-frequency'!$B$11,vlookup('source-upstream'!C96,FREQUENCY_MAP, 3, FALSE))</f>
        <v>not-provided</v>
      </c>
      <c r="D96" s="87" t="str">
        <f>'source-upstream'!D96</f>
        <v>IT Services</v>
      </c>
      <c r="E96" s="71" t="str">
        <f>if('source-upstream'!E96="",'schema-yn'!$A$5,vlookup('source-upstream'!E96,YN_MAP,3,FALSE))</f>
        <v>no</v>
      </c>
      <c r="F96" s="71" t="str">
        <f>if('source-upstream'!F96="",'schema-yn'!$A$5,vlookup('source-upstream'!F96,YN_MAP,3,FALSE))</f>
        <v>not-provided</v>
      </c>
      <c r="G96" s="71" t="str">
        <f>if('source-upstream'!G96="",'schema-yn'!$A$5,vlookup('source-upstream'!G96,YN_MAP,3,FALSE))</f>
        <v>yes</v>
      </c>
      <c r="H96" s="71" t="str">
        <f>if('source-upstream'!H96="",'schema-yn'!$A$5,vlookup('source-upstream'!H96,RESILIENCE_OPTION_MAP,3,FALSE))</f>
        <v>alternative-supplier</v>
      </c>
      <c r="I96" s="71" t="str">
        <f>if(iserror(vlookup('source-upstream'!I96,'data-cleansing-maps'!N$5:N$10,1,FALSE)),'source-upstream'!I96,"")</f>
        <v/>
      </c>
      <c r="J96" s="87" t="str">
        <f>'source-upstream'!J96</f>
        <v>Alternative supplier not specified</v>
      </c>
      <c r="K96" s="71" t="str">
        <f>if('source-upstream'!K96="",'schema-yn'!$A$5,vlookup('source-upstream'!K96,YN_MAP,3,FALSE))</f>
        <v>not-provided</v>
      </c>
      <c r="L96" s="88" t="str">
        <f>if('source-upstream'!L96="Not provided","",'source-upstream'!L96)</f>
        <v/>
      </c>
      <c r="M96" s="66" t="str">
        <f>if('source-upstream'!M96="",'schema-rv-services'!$B$26,vlookup(vlookup('source-upstream'!$M96,'analysis-rv-services'!$C:$E,3,FALSE),'schema-rv-services'!$A:$B,2, FALSE))</f>
        <v>techonology</v>
      </c>
      <c r="N96" s="71"/>
    </row>
    <row r="97" ht="15.0" customHeight="1">
      <c r="A97" s="86" t="str">
        <f>Substitute(SUBSTITUTE(substitute(substitute(substitute(substitute(substitute(substitute(substitute(lower('source-upstream'!A97)," ","-"),"(",""),")",""),"&gt;",""),"&lt;",""),"---","-"),".","-"),"--","-"),"&amp;","-and-")</f>
        <v>lazy-sugar-glider</v>
      </c>
      <c r="B97" s="86" t="str">
        <f>Substitute(SUBSTITUTE(substitute(substitute(substitute(substitute(substitute(substitute(substitute(lower('source-upstream'!B97)," ","-"),"(",""),")",""),"&gt;",""),"&lt;",""),"---","-"),".","-"),"--","-"),"&amp;","-and-")</f>
        <v>red-thorny-devil</v>
      </c>
      <c r="C97" s="71" t="str">
        <f>if('source-upstream'!C97="",'schema-frequency'!$B$11,vlookup('source-upstream'!C97,FREQUENCY_MAP, 3, FALSE))</f>
        <v>not-provided</v>
      </c>
      <c r="D97" s="87" t="str">
        <f>'source-upstream'!D97</f>
        <v>Waste Management System</v>
      </c>
      <c r="E97" s="71" t="str">
        <f>if('source-upstream'!E97="",'schema-yn'!$A$5,vlookup('source-upstream'!E97,YN_MAP,3,FALSE))</f>
        <v>yes</v>
      </c>
      <c r="F97" s="71" t="str">
        <f>if('source-upstream'!F97="",'schema-yn'!$A$5,vlookup('source-upstream'!F97,YN_MAP,3,FALSE))</f>
        <v>yes</v>
      </c>
      <c r="G97" s="71" t="str">
        <f>if('source-upstream'!G97="",'schema-yn'!$A$5,vlookup('source-upstream'!G97,YN_MAP,3,FALSE))</f>
        <v>no</v>
      </c>
      <c r="H97" s="71" t="str">
        <f>if('source-upstream'!H97="",'schema-yn'!$A$5,vlookup('source-upstream'!H97,RESILIENCE_OPTION_MAP,3,FALSE))</f>
        <v>manual-processes</v>
      </c>
      <c r="I97" s="71" t="str">
        <f>if(iserror(vlookup('source-upstream'!I97,'data-cleansing-maps'!N$5:N$10,1,FALSE)),'source-upstream'!I97,"")</f>
        <v/>
      </c>
      <c r="J97" s="87" t="str">
        <f>'source-upstream'!J97</f>
        <v>Carry out transactions manually during any downtime.</v>
      </c>
      <c r="K97" s="71" t="str">
        <f>if('source-upstream'!K97="",'schema-yn'!$A$5,vlookup('source-upstream'!K97,YN_MAP,3,FALSE))</f>
        <v>not-provided</v>
      </c>
      <c r="L97" s="88" t="str">
        <f>if('source-upstream'!L97="Not provided","",'source-upstream'!L97)</f>
        <v/>
      </c>
      <c r="M97" s="66" t="str">
        <f>if('source-upstream'!M97="",'schema-rv-services'!$B$26,vlookup(vlookup('source-upstream'!$M97,'analysis-rv-services'!$C:$E,3,FALSE),'schema-rv-services'!$A:$B,2, FALSE))</f>
        <v>techonology</v>
      </c>
      <c r="N97" s="71"/>
    </row>
    <row r="98" ht="15.0" customHeight="1">
      <c r="A98" s="86" t="str">
        <f>Substitute(SUBSTITUTE(substitute(substitute(substitute(substitute(substitute(substitute(substitute(lower('source-upstream'!A98)," ","-"),"(",""),")",""),"&gt;",""),"&lt;",""),"---","-"),".","-"),"--","-"),"&amp;","-and-")</f>
        <v>lazy-sugar-glider</v>
      </c>
      <c r="B98" s="86" t="str">
        <f>Substitute(SUBSTITUTE(substitute(substitute(substitute(substitute(substitute(substitute(substitute(lower('source-upstream'!B98)," ","-"),"(",""),")",""),"&gt;",""),"&lt;",""),"---","-"),".","-"),"--","-"),"&amp;","-and-")</f>
        <v>wild-fairy-penguin</v>
      </c>
      <c r="C98" s="71" t="str">
        <f>if('source-upstream'!C98="",'schema-frequency'!$B$11,vlookup('source-upstream'!C98,FREQUENCY_MAP, 3, FALSE))</f>
        <v>ad-hoc</v>
      </c>
      <c r="D98" s="87" t="str">
        <f>'source-upstream'!D98</f>
        <v>Construction works</v>
      </c>
      <c r="E98" s="71" t="str">
        <f>if('source-upstream'!E98="",'schema-yn'!$A$5,vlookup('source-upstream'!E98,YN_MAP,3,FALSE))</f>
        <v>yes</v>
      </c>
      <c r="F98" s="71" t="str">
        <f>if('source-upstream'!F98="",'schema-yn'!$A$5,vlookup('source-upstream'!F98,YN_MAP,3,FALSE))</f>
        <v>no</v>
      </c>
      <c r="G98" s="71" t="str">
        <f>if('source-upstream'!G98="",'schema-yn'!$A$5,vlookup('source-upstream'!G98,YN_MAP,3,FALSE))</f>
        <v>yes</v>
      </c>
      <c r="H98" s="71" t="str">
        <f>if('source-upstream'!H98="",'schema-yn'!$A$5,vlookup('source-upstream'!H98,RESILIENCE_OPTION_MAP,3,FALSE))</f>
        <v>alternative-supplier</v>
      </c>
      <c r="I98" s="71" t="str">
        <f>if(iserror(vlookup('source-upstream'!I98,'data-cleansing-maps'!N$5:N$10,1,FALSE)),'source-upstream'!I98,"")</f>
        <v/>
      </c>
      <c r="J98" s="87" t="str">
        <f>'source-upstream'!J98</f>
        <v>Alternative contractors in the market</v>
      </c>
      <c r="K98" s="71" t="str">
        <f>if('source-upstream'!K98="",'schema-yn'!$A$5,vlookup('source-upstream'!K98,YN_MAP,3,FALSE))</f>
        <v>not-provided</v>
      </c>
      <c r="L98" s="88" t="str">
        <f>if('source-upstream'!L98="Not provided","",'source-upstream'!L98)</f>
        <v/>
      </c>
      <c r="M98" s="66" t="str">
        <f>if('source-upstream'!M98="",'schema-rv-services'!$B$26,vlookup(vlookup('source-upstream'!$M98,'analysis-rv-services'!$C:$E,3,FALSE),'schema-rv-services'!$A:$B,2, FALSE))</f>
        <v>plant-and-equipment</v>
      </c>
      <c r="N98" s="71"/>
    </row>
    <row r="99" ht="15.0" customHeight="1">
      <c r="A99" s="86" t="str">
        <f>Substitute(SUBSTITUTE(substitute(substitute(substitute(substitute(substitute(substitute(substitute(lower('source-upstream'!A99)," ","-"),"(",""),")",""),"&gt;",""),"&lt;",""),"---","-"),".","-"),"--","-"),"&amp;","-and-")</f>
        <v>lazy-sugar-glider</v>
      </c>
      <c r="B99" s="86" t="str">
        <f>Substitute(SUBSTITUTE(substitute(substitute(substitute(substitute(substitute(substitute(substitute(lower('source-upstream'!B99)," ","-"),"(",""),")",""),"&gt;",""),"&lt;",""),"---","-"),".","-"),"--","-"),"&amp;","-and-")</f>
        <v>noisy-tree-kangaroo</v>
      </c>
      <c r="C99" s="71" t="str">
        <f>if('source-upstream'!C99="",'schema-frequency'!$B$11,vlookup('source-upstream'!C99,FREQUENCY_MAP, 3, FALSE))</f>
        <v>ad-hoc</v>
      </c>
      <c r="D99" s="87" t="str">
        <f>'source-upstream'!D99</f>
        <v>Earthmoving machinery maintenance and repairs</v>
      </c>
      <c r="E99" s="71" t="str">
        <f>if('source-upstream'!E99="",'schema-yn'!$A$5,vlookup('source-upstream'!E99,YN_MAP,3,FALSE))</f>
        <v>yes</v>
      </c>
      <c r="F99" s="71" t="str">
        <f>if('source-upstream'!F99="",'schema-yn'!$A$5,vlookup('source-upstream'!F99,YN_MAP,3,FALSE))</f>
        <v>no</v>
      </c>
      <c r="G99" s="71" t="str">
        <f>if('source-upstream'!G99="",'schema-yn'!$A$5,vlookup('source-upstream'!G99,YN_MAP,3,FALSE))</f>
        <v>yes</v>
      </c>
      <c r="H99" s="71" t="str">
        <f>if('source-upstream'!H99="",'schema-yn'!$A$5,vlookup('source-upstream'!H99,RESILIENCE_OPTION_MAP,3,FALSE))</f>
        <v>alternative-supplier</v>
      </c>
      <c r="I99" s="71" t="str">
        <f>if(iserror(vlookup('source-upstream'!I99,'data-cleansing-maps'!N$5:N$10,1,FALSE)),'source-upstream'!I99,"")</f>
        <v/>
      </c>
      <c r="J99" s="87" t="str">
        <f>'source-upstream'!J99</f>
        <v>Alternative contractors in the market</v>
      </c>
      <c r="K99" s="71" t="str">
        <f>if('source-upstream'!K99="",'schema-yn'!$A$5,vlookup('source-upstream'!K99,YN_MAP,3,FALSE))</f>
        <v>not-provided</v>
      </c>
      <c r="L99" s="88" t="str">
        <f>if('source-upstream'!L99="Not provided","",'source-upstream'!L99)</f>
        <v/>
      </c>
      <c r="M99" s="66" t="str">
        <f>if('source-upstream'!M99="",'schema-rv-services'!$B$26,vlookup(vlookup('source-upstream'!$M99,'analysis-rv-services'!$C:$E,3,FALSE),'schema-rv-services'!$A:$B,2, FALSE))</f>
        <v>plant-and-equipment</v>
      </c>
      <c r="N99" s="71"/>
    </row>
    <row r="100" ht="15.0" customHeight="1">
      <c r="A100" s="86" t="str">
        <f>Substitute(SUBSTITUTE(substitute(substitute(substitute(substitute(substitute(substitute(substitute(lower('source-upstream'!A100)," ","-"),"(",""),")",""),"&gt;",""),"&lt;",""),"---","-"),".","-"),"--","-"),"&amp;","-and-")</f>
        <v>lazy-sugar-glider</v>
      </c>
      <c r="B100" s="86" t="str">
        <f>Substitute(SUBSTITUTE(substitute(substitute(substitute(substitute(substitute(substitute(substitute(lower('source-upstream'!B100)," ","-"),"(",""),")",""),"&gt;",""),"&lt;",""),"---","-"),".","-"),"--","-"),"&amp;","-and-")</f>
        <v>blue-perentie</v>
      </c>
      <c r="C100" s="71" t="str">
        <f>if('source-upstream'!C100="",'schema-frequency'!$B$11,vlookup('source-upstream'!C100,FREQUENCY_MAP, 3, FALSE))</f>
        <v>monthly</v>
      </c>
      <c r="D100" s="87" t="str">
        <f>'source-upstream'!D100</f>
        <v>Laboratory analysis</v>
      </c>
      <c r="E100" s="71" t="str">
        <f>if('source-upstream'!E100="",'schema-yn'!$A$5,vlookup('source-upstream'!E100,YN_MAP,3,FALSE))</f>
        <v>yes</v>
      </c>
      <c r="F100" s="71" t="str">
        <f>if('source-upstream'!F100="",'schema-yn'!$A$5,vlookup('source-upstream'!F100,YN_MAP,3,FALSE))</f>
        <v>no</v>
      </c>
      <c r="G100" s="71" t="str">
        <f>if('source-upstream'!G100="",'schema-yn'!$A$5,vlookup('source-upstream'!G100,YN_MAP,3,FALSE))</f>
        <v>yes</v>
      </c>
      <c r="H100" s="71" t="str">
        <f>if('source-upstream'!H100="",'schema-yn'!$A$5,vlookup('source-upstream'!H100,RESILIENCE_OPTION_MAP,3,FALSE))</f>
        <v>alternative-supplier</v>
      </c>
      <c r="I100" s="71" t="str">
        <f>if(iserror(vlookup('source-upstream'!I100,'data-cleansing-maps'!N$5:N$10,1,FALSE)),'source-upstream'!I100,"")</f>
        <v/>
      </c>
      <c r="J100" s="87" t="str">
        <f>'source-upstream'!J100</f>
        <v>Alternative laboratories</v>
      </c>
      <c r="K100" s="71" t="str">
        <f>if('source-upstream'!K100="",'schema-yn'!$A$5,vlookup('source-upstream'!K100,YN_MAP,3,FALSE))</f>
        <v>not-provided</v>
      </c>
      <c r="L100" s="88" t="str">
        <f>if('source-upstream'!L100="Not provided","",'source-upstream'!L100)</f>
        <v/>
      </c>
      <c r="M100" s="66" t="str">
        <f>if('source-upstream'!M100="",'schema-rv-services'!$B$26,vlookup(vlookup('source-upstream'!$M100,'analysis-rv-services'!$C:$E,3,FALSE),'schema-rv-services'!$A:$B,2, FALSE))</f>
        <v>consultant-services</v>
      </c>
      <c r="N100" s="71"/>
    </row>
    <row r="101" ht="15.0" customHeight="1">
      <c r="A101" s="86" t="str">
        <f>Substitute(SUBSTITUTE(substitute(substitute(substitute(substitute(substitute(substitute(substitute(lower('source-upstream'!A101)," ","-"),"(",""),")",""),"&gt;",""),"&lt;",""),"---","-"),".","-"),"--","-"),"&amp;","-and-")</f>
        <v>lazy-sugar-glider</v>
      </c>
      <c r="B101" s="86" t="str">
        <f>Substitute(SUBSTITUTE(substitute(substitute(substitute(substitute(substitute(substitute(substitute(lower('source-upstream'!B101)," ","-"),"(",""),")",""),"&gt;",""),"&lt;",""),"---","-"),".","-"),"--","-"),"&amp;","-and-")</f>
        <v>swift-lyrebird</v>
      </c>
      <c r="C101" s="71" t="str">
        <f>if('source-upstream'!C101="",'schema-frequency'!$B$11,vlookup('source-upstream'!C101,FREQUENCY_MAP, 3, FALSE))</f>
        <v>weekly</v>
      </c>
      <c r="D101" s="87" t="str">
        <f>'source-upstream'!D101</f>
        <v>Not provided</v>
      </c>
      <c r="E101" s="71" t="str">
        <f>if('source-upstream'!E101="",'schema-yn'!$A$5,vlookup('source-upstream'!E101,YN_MAP,3,FALSE))</f>
        <v>not-provided</v>
      </c>
      <c r="F101" s="71" t="str">
        <f>if('source-upstream'!F101="",'schema-yn'!$A$5,vlookup('source-upstream'!F101,YN_MAP,3,FALSE))</f>
        <v>not-provided</v>
      </c>
      <c r="G101" s="71" t="str">
        <f>if('source-upstream'!G101="",'schema-yn'!$A$5,vlookup('source-upstream'!G101,YN_MAP,3,FALSE))</f>
        <v>not-provided</v>
      </c>
      <c r="H101" s="71" t="str">
        <f>if('source-upstream'!H101="",'schema-yn'!$A$5,vlookup('source-upstream'!H101,RESILIENCE_OPTION_MAP,3,FALSE))</f>
        <v>not-provided</v>
      </c>
      <c r="I101" s="71" t="str">
        <f>if(iserror(vlookup('source-upstream'!I101,'data-cleansing-maps'!N$5:N$10,1,FALSE)),'source-upstream'!I101,"")</f>
        <v/>
      </c>
      <c r="J101" s="87" t="str">
        <f>'source-upstream'!J101</f>
        <v/>
      </c>
      <c r="K101" s="71" t="str">
        <f>if('source-upstream'!K101="",'schema-yn'!$A$5,vlookup('source-upstream'!K101,YN_MAP,3,FALSE))</f>
        <v>not-provided</v>
      </c>
      <c r="L101" s="88" t="str">
        <f>if('source-upstream'!L101="Not provided","",'source-upstream'!L101)</f>
        <v/>
      </c>
      <c r="M101" s="66" t="str">
        <f>if('source-upstream'!M101="",'schema-rv-services'!$B$26,vlookup(vlookup('source-upstream'!$M101,'analysis-rv-services'!$C:$E,3,FALSE),'schema-rv-services'!$A:$B,2, FALSE))</f>
        <v>feedstock</v>
      </c>
      <c r="N101" s="71"/>
    </row>
    <row r="102" ht="15.0" customHeight="1">
      <c r="A102" s="86" t="str">
        <f>Substitute(SUBSTITUTE(substitute(substitute(substitute(substitute(substitute(substitute(substitute(lower('source-upstream'!A102)," ","-"),"(",""),")",""),"&gt;",""),"&lt;",""),"---","-"),".","-"),"--","-"),"&amp;","-and-")</f>
        <v>lazy-sugar-glider</v>
      </c>
      <c r="B102" s="86" t="str">
        <f>Substitute(SUBSTITUTE(substitute(substitute(substitute(substitute(substitute(substitute(substitute(lower('source-upstream'!B102)," ","-"),"(",""),")",""),"&gt;",""),"&lt;",""),"---","-"),".","-"),"--","-"),"&amp;","-and-")</f>
        <v>swift-sugar-glider</v>
      </c>
      <c r="C102" s="71" t="str">
        <f>if('source-upstream'!C102="",'schema-frequency'!$B$11,vlookup('source-upstream'!C102,FREQUENCY_MAP, 3, FALSE))</f>
        <v>weekly</v>
      </c>
      <c r="D102" s="87" t="str">
        <f>'source-upstream'!D102</f>
        <v>Not provided</v>
      </c>
      <c r="E102" s="71" t="str">
        <f>if('source-upstream'!E102="",'schema-yn'!$A$5,vlookup('source-upstream'!E102,YN_MAP,3,FALSE))</f>
        <v>not-provided</v>
      </c>
      <c r="F102" s="71" t="str">
        <f>if('source-upstream'!F102="",'schema-yn'!$A$5,vlookup('source-upstream'!F102,YN_MAP,3,FALSE))</f>
        <v>not-provided</v>
      </c>
      <c r="G102" s="71" t="str">
        <f>if('source-upstream'!G102="",'schema-yn'!$A$5,vlookup('source-upstream'!G102,YN_MAP,3,FALSE))</f>
        <v>not-provided</v>
      </c>
      <c r="H102" s="71" t="str">
        <f>if('source-upstream'!H102="",'schema-yn'!$A$5,vlookup('source-upstream'!H102,RESILIENCE_OPTION_MAP,3,FALSE))</f>
        <v>not-provided</v>
      </c>
      <c r="I102" s="71" t="str">
        <f>if(iserror(vlookup('source-upstream'!I102,'data-cleansing-maps'!N$5:N$10,1,FALSE)),'source-upstream'!I102,"")</f>
        <v/>
      </c>
      <c r="J102" s="87" t="str">
        <f>'source-upstream'!J102</f>
        <v/>
      </c>
      <c r="K102" s="71" t="str">
        <f>if('source-upstream'!K102="",'schema-yn'!$A$5,vlookup('source-upstream'!K102,YN_MAP,3,FALSE))</f>
        <v>not-provided</v>
      </c>
      <c r="L102" s="88" t="str">
        <f>if('source-upstream'!L102="Not provided","",'source-upstream'!L102)</f>
        <v/>
      </c>
      <c r="M102" s="66" t="str">
        <f>if('source-upstream'!M102="",'schema-rv-services'!$B$26,vlookup(vlookup('source-upstream'!$M102,'analysis-rv-services'!$C:$E,3,FALSE),'schema-rv-services'!$A:$B,2, FALSE))</f>
        <v>feedstock</v>
      </c>
      <c r="N102" s="71"/>
    </row>
    <row r="103" ht="15.0" customHeight="1">
      <c r="A103" s="86" t="str">
        <f>Substitute(SUBSTITUTE(substitute(substitute(substitute(substitute(substitute(substitute(substitute(lower('source-upstream'!A103)," ","-"),"(",""),")",""),"&gt;",""),"&lt;",""),"---","-"),".","-"),"--","-"),"&amp;","-and-")</f>
        <v>lazy-sugar-glider</v>
      </c>
      <c r="B103" s="86" t="str">
        <f>Substitute(SUBSTITUTE(substitute(substitute(substitute(substitute(substitute(substitute(substitute(lower('source-upstream'!B103)," ","-"),"(",""),")",""),"&gt;",""),"&lt;",""),"---","-"),".","-"),"--","-"),"&amp;","-and-")</f>
        <v>yellow-blue-tongue-skink</v>
      </c>
      <c r="C103" s="71" t="str">
        <f>if('source-upstream'!C103="",'schema-frequency'!$B$11,vlookup('source-upstream'!C103,FREQUENCY_MAP, 3, FALSE))</f>
        <v>weekly</v>
      </c>
      <c r="D103" s="87" t="str">
        <f>'source-upstream'!D103</f>
        <v>Not provided</v>
      </c>
      <c r="E103" s="71" t="str">
        <f>if('source-upstream'!E103="",'schema-yn'!$A$5,vlookup('source-upstream'!E103,YN_MAP,3,FALSE))</f>
        <v>not-provided</v>
      </c>
      <c r="F103" s="71" t="str">
        <f>if('source-upstream'!F103="",'schema-yn'!$A$5,vlookup('source-upstream'!F103,YN_MAP,3,FALSE))</f>
        <v>not-provided</v>
      </c>
      <c r="G103" s="71" t="str">
        <f>if('source-upstream'!G103="",'schema-yn'!$A$5,vlookup('source-upstream'!G103,YN_MAP,3,FALSE))</f>
        <v>not-provided</v>
      </c>
      <c r="H103" s="71" t="str">
        <f>if('source-upstream'!H103="",'schema-yn'!$A$5,vlookup('source-upstream'!H103,RESILIENCE_OPTION_MAP,3,FALSE))</f>
        <v>not-provided</v>
      </c>
      <c r="I103" s="71" t="str">
        <f>if(iserror(vlookup('source-upstream'!I103,'data-cleansing-maps'!N$5:N$10,1,FALSE)),'source-upstream'!I103,"")</f>
        <v/>
      </c>
      <c r="J103" s="87" t="str">
        <f>'source-upstream'!J103</f>
        <v/>
      </c>
      <c r="K103" s="71" t="str">
        <f>if('source-upstream'!K103="",'schema-yn'!$A$5,vlookup('source-upstream'!K103,YN_MAP,3,FALSE))</f>
        <v>not-provided</v>
      </c>
      <c r="L103" s="88" t="str">
        <f>if('source-upstream'!L103="Not provided","",'source-upstream'!L103)</f>
        <v/>
      </c>
      <c r="M103" s="66" t="str">
        <f>if('source-upstream'!M103="",'schema-rv-services'!$B$26,vlookup(vlookup('source-upstream'!$M103,'analysis-rv-services'!$C:$E,3,FALSE),'schema-rv-services'!$A:$B,2, FALSE))</f>
        <v>feedstock</v>
      </c>
      <c r="N103" s="71"/>
    </row>
    <row r="104" ht="15.0" customHeight="1">
      <c r="A104" s="86" t="str">
        <f>Substitute(SUBSTITUTE(substitute(substitute(substitute(substitute(substitute(substitute(substitute(lower('source-upstream'!A104)," ","-"),"(",""),")",""),"&gt;",""),"&lt;",""),"---","-"),".","-"),"--","-"),"&amp;","-and-")</f>
        <v>lazy-sugar-glider</v>
      </c>
      <c r="B104" s="86" t="str">
        <f>Substitute(SUBSTITUTE(substitute(substitute(substitute(substitute(substitute(substitute(substitute(lower('source-upstream'!B104)," ","-"),"(",""),")",""),"&gt;",""),"&lt;",""),"---","-"),".","-"),"--","-"),"&amp;","-and-")</f>
        <v>red-numbat</v>
      </c>
      <c r="C104" s="71" t="str">
        <f>if('source-upstream'!C104="",'schema-frequency'!$B$11,vlookup('source-upstream'!C104,FREQUENCY_MAP, 3, FALSE))</f>
        <v>weekly</v>
      </c>
      <c r="D104" s="87" t="str">
        <f>'source-upstream'!D104</f>
        <v>Not provided</v>
      </c>
      <c r="E104" s="71" t="str">
        <f>if('source-upstream'!E104="",'schema-yn'!$A$5,vlookup('source-upstream'!E104,YN_MAP,3,FALSE))</f>
        <v>not-provided</v>
      </c>
      <c r="F104" s="71" t="str">
        <f>if('source-upstream'!F104="",'schema-yn'!$A$5,vlookup('source-upstream'!F104,YN_MAP,3,FALSE))</f>
        <v>not-provided</v>
      </c>
      <c r="G104" s="71" t="str">
        <f>if('source-upstream'!G104="",'schema-yn'!$A$5,vlookup('source-upstream'!G104,YN_MAP,3,FALSE))</f>
        <v>not-provided</v>
      </c>
      <c r="H104" s="71" t="str">
        <f>if('source-upstream'!H104="",'schema-yn'!$A$5,vlookup('source-upstream'!H104,RESILIENCE_OPTION_MAP,3,FALSE))</f>
        <v>not-provided</v>
      </c>
      <c r="I104" s="71" t="str">
        <f>if(iserror(vlookup('source-upstream'!I104,'data-cleansing-maps'!N$5:N$10,1,FALSE)),'source-upstream'!I104,"")</f>
        <v/>
      </c>
      <c r="J104" s="87" t="str">
        <f>'source-upstream'!J104</f>
        <v/>
      </c>
      <c r="K104" s="71" t="str">
        <f>if('source-upstream'!K104="",'schema-yn'!$A$5,vlookup('source-upstream'!K104,YN_MAP,3,FALSE))</f>
        <v>not-provided</v>
      </c>
      <c r="L104" s="88" t="str">
        <f>if('source-upstream'!L104="Not provided","",'source-upstream'!L104)</f>
        <v/>
      </c>
      <c r="M104" s="66" t="str">
        <f>if('source-upstream'!M104="",'schema-rv-services'!$B$26,vlookup(vlookup('source-upstream'!$M104,'analysis-rv-services'!$C:$E,3,FALSE),'schema-rv-services'!$A:$B,2, FALSE))</f>
        <v>waste-collection</v>
      </c>
      <c r="N104" s="71"/>
    </row>
    <row r="105" ht="15.0" customHeight="1">
      <c r="A105" s="86" t="str">
        <f>Substitute(SUBSTITUTE(substitute(substitute(substitute(substitute(substitute(substitute(substitute(lower('source-upstream'!A105)," ","-"),"(",""),")",""),"&gt;",""),"&lt;",""),"---","-"),".","-"),"--","-"),"&amp;","-and-")</f>
        <v>lazy-sugar-glider</v>
      </c>
      <c r="B105" s="86" t="str">
        <f>Substitute(SUBSTITUTE(substitute(substitute(substitute(substitute(substitute(substitute(substitute(lower('source-upstream'!B105)," ","-"),"(",""),")",""),"&gt;",""),"&lt;",""),"---","-"),".","-"),"--","-"),"&amp;","-and-")</f>
        <v>noisy-sugar-glider</v>
      </c>
      <c r="C105" s="71" t="str">
        <f>if('source-upstream'!C105="",'schema-frequency'!$B$11,vlookup('source-upstream'!C105,FREQUENCY_MAP, 3, FALSE))</f>
        <v>weekly</v>
      </c>
      <c r="D105" s="87" t="str">
        <f>'source-upstream'!D105</f>
        <v>Not provided</v>
      </c>
      <c r="E105" s="71" t="str">
        <f>if('source-upstream'!E105="",'schema-yn'!$A$5,vlookup('source-upstream'!E105,YN_MAP,3,FALSE))</f>
        <v>not-provided</v>
      </c>
      <c r="F105" s="71" t="str">
        <f>if('source-upstream'!F105="",'schema-yn'!$A$5,vlookup('source-upstream'!F105,YN_MAP,3,FALSE))</f>
        <v>not-provided</v>
      </c>
      <c r="G105" s="71" t="str">
        <f>if('source-upstream'!G105="",'schema-yn'!$A$5,vlookup('source-upstream'!G105,YN_MAP,3,FALSE))</f>
        <v>not-provided</v>
      </c>
      <c r="H105" s="71" t="str">
        <f>if('source-upstream'!H105="",'schema-yn'!$A$5,vlookup('source-upstream'!H105,RESILIENCE_OPTION_MAP,3,FALSE))</f>
        <v>not-provided</v>
      </c>
      <c r="I105" s="71" t="str">
        <f>if(iserror(vlookup('source-upstream'!I105,'data-cleansing-maps'!N$5:N$10,1,FALSE)),'source-upstream'!I105,"")</f>
        <v/>
      </c>
      <c r="J105" s="87" t="str">
        <f>'source-upstream'!J105</f>
        <v/>
      </c>
      <c r="K105" s="71" t="str">
        <f>if('source-upstream'!K105="",'schema-yn'!$A$5,vlookup('source-upstream'!K105,YN_MAP,3,FALSE))</f>
        <v>not-provided</v>
      </c>
      <c r="L105" s="88" t="str">
        <f>if('source-upstream'!L105="Not provided","",'source-upstream'!L105)</f>
        <v/>
      </c>
      <c r="M105" s="66" t="str">
        <f>if('source-upstream'!M105="",'schema-rv-services'!$B$26,vlookup(vlookup('source-upstream'!$M105,'analysis-rv-services'!$C:$E,3,FALSE),'schema-rv-services'!$A:$B,2, FALSE))</f>
        <v>feedstock</v>
      </c>
      <c r="N105" s="71"/>
    </row>
    <row r="106" ht="15.0" customHeight="1">
      <c r="A106" s="86" t="str">
        <f>Substitute(SUBSTITUTE(substitute(substitute(substitute(substitute(substitute(substitute(substitute(lower('source-upstream'!A106)," ","-"),"(",""),")",""),"&gt;",""),"&lt;",""),"---","-"),".","-"),"--","-"),"&amp;","-and-")</f>
        <v>lazy-sugar-glider</v>
      </c>
      <c r="B106" s="86" t="str">
        <f>Substitute(SUBSTITUTE(substitute(substitute(substitute(substitute(substitute(substitute(substitute(lower('source-upstream'!B106)," ","-"),"(",""),")",""),"&gt;",""),"&lt;",""),"---","-"),".","-"),"--","-"),"&amp;","-and-")</f>
        <v>green-wombat</v>
      </c>
      <c r="C106" s="71" t="str">
        <f>if('source-upstream'!C106="",'schema-frequency'!$B$11,vlookup('source-upstream'!C106,FREQUENCY_MAP, 3, FALSE))</f>
        <v>weekly</v>
      </c>
      <c r="D106" s="87" t="str">
        <f>'source-upstream'!D106</f>
        <v>Not provided</v>
      </c>
      <c r="E106" s="71" t="str">
        <f>if('source-upstream'!E106="",'schema-yn'!$A$5,vlookup('source-upstream'!E106,YN_MAP,3,FALSE))</f>
        <v>not-provided</v>
      </c>
      <c r="F106" s="71" t="str">
        <f>if('source-upstream'!F106="",'schema-yn'!$A$5,vlookup('source-upstream'!F106,YN_MAP,3,FALSE))</f>
        <v>not-provided</v>
      </c>
      <c r="G106" s="71" t="str">
        <f>if('source-upstream'!G106="",'schema-yn'!$A$5,vlookup('source-upstream'!G106,YN_MAP,3,FALSE))</f>
        <v>not-provided</v>
      </c>
      <c r="H106" s="71" t="str">
        <f>if('source-upstream'!H106="",'schema-yn'!$A$5,vlookup('source-upstream'!H106,RESILIENCE_OPTION_MAP,3,FALSE))</f>
        <v>not-provided</v>
      </c>
      <c r="I106" s="71" t="str">
        <f>if(iserror(vlookup('source-upstream'!I106,'data-cleansing-maps'!N$5:N$10,1,FALSE)),'source-upstream'!I106,"")</f>
        <v/>
      </c>
      <c r="J106" s="87" t="str">
        <f>'source-upstream'!J106</f>
        <v/>
      </c>
      <c r="K106" s="71" t="str">
        <f>if('source-upstream'!K106="",'schema-yn'!$A$5,vlookup('source-upstream'!K106,YN_MAP,3,FALSE))</f>
        <v>not-provided</v>
      </c>
      <c r="L106" s="88" t="str">
        <f>if('source-upstream'!L106="Not provided","",'source-upstream'!L106)</f>
        <v/>
      </c>
      <c r="M106" s="66" t="str">
        <f>if('source-upstream'!M106="",'schema-rv-services'!$B$26,vlookup(vlookup('source-upstream'!$M106,'analysis-rv-services'!$C:$E,3,FALSE),'schema-rv-services'!$A:$B,2, FALSE))</f>
        <v>feedstock</v>
      </c>
      <c r="N106" s="71"/>
    </row>
    <row r="107" ht="15.0" customHeight="1">
      <c r="A107" s="86" t="str">
        <f>Substitute(SUBSTITUTE(substitute(substitute(substitute(substitute(substitute(substitute(substitute(lower('source-upstream'!A107)," ","-"),"(",""),")",""),"&gt;",""),"&lt;",""),"---","-"),".","-"),"--","-"),"&amp;","-and-")</f>
        <v>lazy-sugar-glider</v>
      </c>
      <c r="B107" s="86" t="str">
        <f>Substitute(SUBSTITUTE(substitute(substitute(substitute(substitute(substitute(substitute(substitute(lower('source-upstream'!B107)," ","-"),"(",""),")",""),"&gt;",""),"&lt;",""),"---","-"),".","-"),"--","-"),"&amp;","-and-")</f>
        <v>spotted-possum</v>
      </c>
      <c r="C107" s="71" t="str">
        <f>if('source-upstream'!C107="",'schema-frequency'!$B$11,vlookup('source-upstream'!C107,FREQUENCY_MAP, 3, FALSE))</f>
        <v>weekly</v>
      </c>
      <c r="D107" s="87" t="str">
        <f>'source-upstream'!D107</f>
        <v>Not provided</v>
      </c>
      <c r="E107" s="71" t="str">
        <f>if('source-upstream'!E107="",'schema-yn'!$A$5,vlookup('source-upstream'!E107,YN_MAP,3,FALSE))</f>
        <v>not-provided</v>
      </c>
      <c r="F107" s="71" t="str">
        <f>if('source-upstream'!F107="",'schema-yn'!$A$5,vlookup('source-upstream'!F107,YN_MAP,3,FALSE))</f>
        <v>not-provided</v>
      </c>
      <c r="G107" s="71" t="str">
        <f>if('source-upstream'!G107="",'schema-yn'!$A$5,vlookup('source-upstream'!G107,YN_MAP,3,FALSE))</f>
        <v>not-provided</v>
      </c>
      <c r="H107" s="71" t="str">
        <f>if('source-upstream'!H107="",'schema-yn'!$A$5,vlookup('source-upstream'!H107,RESILIENCE_OPTION_MAP,3,FALSE))</f>
        <v>not-provided</v>
      </c>
      <c r="I107" s="71" t="str">
        <f>if(iserror(vlookup('source-upstream'!I107,'data-cleansing-maps'!N$5:N$10,1,FALSE)),'source-upstream'!I107,"")</f>
        <v/>
      </c>
      <c r="J107" s="87" t="str">
        <f>'source-upstream'!J107</f>
        <v/>
      </c>
      <c r="K107" s="71" t="str">
        <f>if('source-upstream'!K107="",'schema-yn'!$A$5,vlookup('source-upstream'!K107,YN_MAP,3,FALSE))</f>
        <v>not-provided</v>
      </c>
      <c r="L107" s="88" t="str">
        <f>if('source-upstream'!L107="Not provided","",'source-upstream'!L107)</f>
        <v/>
      </c>
      <c r="M107" s="66" t="str">
        <f>if('source-upstream'!M107="",'schema-rv-services'!$B$26,vlookup(vlookup('source-upstream'!$M107,'analysis-rv-services'!$C:$E,3,FALSE),'schema-rv-services'!$A:$B,2, FALSE))</f>
        <v>feedstock</v>
      </c>
      <c r="N107" s="71"/>
    </row>
    <row r="108" ht="15.0" customHeight="1">
      <c r="A108" s="86" t="str">
        <f>Substitute(SUBSTITUTE(substitute(substitute(substitute(substitute(substitute(substitute(substitute(lower('source-upstream'!A108)," ","-"),"(",""),")",""),"&gt;",""),"&lt;",""),"---","-"),".","-"),"--","-"),"&amp;","-and-")</f>
        <v>lazy-sugar-glider</v>
      </c>
      <c r="B108" s="86" t="str">
        <f>Substitute(SUBSTITUTE(substitute(substitute(substitute(substitute(substitute(substitute(substitute(lower('source-upstream'!B108)," ","-"),"(",""),")",""),"&gt;",""),"&lt;",""),"---","-"),".","-"),"--","-"),"&amp;","-and-")</f>
        <v>red-bush-stone-curlew</v>
      </c>
      <c r="C108" s="71" t="str">
        <f>if('source-upstream'!C108="",'schema-frequency'!$B$11,vlookup('source-upstream'!C108,FREQUENCY_MAP, 3, FALSE))</f>
        <v>weekly</v>
      </c>
      <c r="D108" s="87" t="str">
        <f>'source-upstream'!D108</f>
        <v>Not provided</v>
      </c>
      <c r="E108" s="71" t="str">
        <f>if('source-upstream'!E108="",'schema-yn'!$A$5,vlookup('source-upstream'!E108,YN_MAP,3,FALSE))</f>
        <v>not-provided</v>
      </c>
      <c r="F108" s="71" t="str">
        <f>if('source-upstream'!F108="",'schema-yn'!$A$5,vlookup('source-upstream'!F108,YN_MAP,3,FALSE))</f>
        <v>not-provided</v>
      </c>
      <c r="G108" s="71" t="str">
        <f>if('source-upstream'!G108="",'schema-yn'!$A$5,vlookup('source-upstream'!G108,YN_MAP,3,FALSE))</f>
        <v>not-provided</v>
      </c>
      <c r="H108" s="71" t="str">
        <f>if('source-upstream'!H108="",'schema-yn'!$A$5,vlookup('source-upstream'!H108,RESILIENCE_OPTION_MAP,3,FALSE))</f>
        <v>not-provided</v>
      </c>
      <c r="I108" s="71" t="str">
        <f>if(iserror(vlookup('source-upstream'!I108,'data-cleansing-maps'!N$5:N$10,1,FALSE)),'source-upstream'!I108,"")</f>
        <v/>
      </c>
      <c r="J108" s="87" t="str">
        <f>'source-upstream'!J108</f>
        <v/>
      </c>
      <c r="K108" s="71" t="str">
        <f>if('source-upstream'!K108="",'schema-yn'!$A$5,vlookup('source-upstream'!K108,YN_MAP,3,FALSE))</f>
        <v>not-provided</v>
      </c>
      <c r="L108" s="88" t="str">
        <f>if('source-upstream'!L108="Not provided","",'source-upstream'!L108)</f>
        <v/>
      </c>
      <c r="M108" s="66" t="str">
        <f>if('source-upstream'!M108="",'schema-rv-services'!$B$26,vlookup(vlookup('source-upstream'!$M108,'analysis-rv-services'!$C:$E,3,FALSE),'schema-rv-services'!$A:$B,2, FALSE))</f>
        <v>feedstock</v>
      </c>
      <c r="N108" s="71"/>
    </row>
    <row r="109" ht="15.0" customHeight="1">
      <c r="A109" s="86" t="str">
        <f>Substitute(SUBSTITUTE(substitute(substitute(substitute(substitute(substitute(substitute(substitute(lower('source-upstream'!A109)," ","-"),"(",""),")",""),"&gt;",""),"&lt;",""),"---","-"),".","-"),"--","-"),"&amp;","-and-")</f>
        <v>lazy-sugar-glider</v>
      </c>
      <c r="B109" s="86" t="str">
        <f>Substitute(SUBSTITUTE(substitute(substitute(substitute(substitute(substitute(substitute(substitute(lower('source-upstream'!B109)," ","-"),"(",""),")",""),"&gt;",""),"&lt;",""),"---","-"),".","-"),"--","-"),"&amp;","-and-")</f>
        <v>swift-platypus</v>
      </c>
      <c r="C109" s="71" t="str">
        <f>if('source-upstream'!C109="",'schema-frequency'!$B$11,vlookup('source-upstream'!C109,FREQUENCY_MAP, 3, FALSE))</f>
        <v>weekly</v>
      </c>
      <c r="D109" s="87" t="str">
        <f>'source-upstream'!D109</f>
        <v>Not provided</v>
      </c>
      <c r="E109" s="71" t="str">
        <f>if('source-upstream'!E109="",'schema-yn'!$A$5,vlookup('source-upstream'!E109,YN_MAP,3,FALSE))</f>
        <v>not-provided</v>
      </c>
      <c r="F109" s="71" t="str">
        <f>if('source-upstream'!F109="",'schema-yn'!$A$5,vlookup('source-upstream'!F109,YN_MAP,3,FALSE))</f>
        <v>not-provided</v>
      </c>
      <c r="G109" s="71" t="str">
        <f>if('source-upstream'!G109="",'schema-yn'!$A$5,vlookup('source-upstream'!G109,YN_MAP,3,FALSE))</f>
        <v>not-provided</v>
      </c>
      <c r="H109" s="71" t="str">
        <f>if('source-upstream'!H109="",'schema-yn'!$A$5,vlookup('source-upstream'!H109,RESILIENCE_OPTION_MAP,3,FALSE))</f>
        <v>not-provided</v>
      </c>
      <c r="I109" s="71" t="str">
        <f>if(iserror(vlookup('source-upstream'!I109,'data-cleansing-maps'!N$5:N$10,1,FALSE)),'source-upstream'!I109,"")</f>
        <v/>
      </c>
      <c r="J109" s="87" t="str">
        <f>'source-upstream'!J109</f>
        <v/>
      </c>
      <c r="K109" s="71" t="str">
        <f>if('source-upstream'!K109="",'schema-yn'!$A$5,vlookup('source-upstream'!K109,YN_MAP,3,FALSE))</f>
        <v>not-provided</v>
      </c>
      <c r="L109" s="88" t="str">
        <f>if('source-upstream'!L109="Not provided","",'source-upstream'!L109)</f>
        <v/>
      </c>
      <c r="M109" s="66" t="str">
        <f>if('source-upstream'!M109="",'schema-rv-services'!$B$26,vlookup(vlookup('source-upstream'!$M109,'analysis-rv-services'!$C:$E,3,FALSE),'schema-rv-services'!$A:$B,2, FALSE))</f>
        <v>feedstock</v>
      </c>
      <c r="N109" s="71"/>
    </row>
    <row r="110" ht="15.0" customHeight="1">
      <c r="A110" s="86" t="str">
        <f>Substitute(SUBSTITUTE(substitute(substitute(substitute(substitute(substitute(substitute(substitute(lower('source-upstream'!A110)," ","-"),"(",""),")",""),"&gt;",""),"&lt;",""),"---","-"),".","-"),"--","-"),"&amp;","-and-")</f>
        <v>lazy-sugar-glider</v>
      </c>
      <c r="B110" s="86" t="str">
        <f>Substitute(SUBSTITUTE(substitute(substitute(substitute(substitute(substitute(substitute(substitute(lower('source-upstream'!B110)," ","-"),"(",""),")",""),"&gt;",""),"&lt;",""),"---","-"),".","-"),"--","-"),"&amp;","-and-")</f>
        <v>blue-echidna</v>
      </c>
      <c r="C110" s="71" t="str">
        <f>if('source-upstream'!C110="",'schema-frequency'!$B$11,vlookup('source-upstream'!C110,FREQUENCY_MAP, 3, FALSE))</f>
        <v>weekly</v>
      </c>
      <c r="D110" s="87" t="str">
        <f>'source-upstream'!D110</f>
        <v>Not provided</v>
      </c>
      <c r="E110" s="71" t="str">
        <f>if('source-upstream'!E110="",'schema-yn'!$A$5,vlookup('source-upstream'!E110,YN_MAP,3,FALSE))</f>
        <v>not-provided</v>
      </c>
      <c r="F110" s="71" t="str">
        <f>if('source-upstream'!F110="",'schema-yn'!$A$5,vlookup('source-upstream'!F110,YN_MAP,3,FALSE))</f>
        <v>not-provided</v>
      </c>
      <c r="G110" s="71" t="str">
        <f>if('source-upstream'!G110="",'schema-yn'!$A$5,vlookup('source-upstream'!G110,YN_MAP,3,FALSE))</f>
        <v>not-provided</v>
      </c>
      <c r="H110" s="71" t="str">
        <f>if('source-upstream'!H110="",'schema-yn'!$A$5,vlookup('source-upstream'!H110,RESILIENCE_OPTION_MAP,3,FALSE))</f>
        <v>not-provided</v>
      </c>
      <c r="I110" s="71" t="str">
        <f>if(iserror(vlookup('source-upstream'!I110,'data-cleansing-maps'!N$5:N$10,1,FALSE)),'source-upstream'!I110,"")</f>
        <v/>
      </c>
      <c r="J110" s="87" t="str">
        <f>'source-upstream'!J110</f>
        <v/>
      </c>
      <c r="K110" s="71" t="str">
        <f>if('source-upstream'!K110="",'schema-yn'!$A$5,vlookup('source-upstream'!K110,YN_MAP,3,FALSE))</f>
        <v>not-provided</v>
      </c>
      <c r="L110" s="88" t="str">
        <f>if('source-upstream'!L110="Not provided","",'source-upstream'!L110)</f>
        <v/>
      </c>
      <c r="M110" s="66" t="str">
        <f>if('source-upstream'!M110="",'schema-rv-services'!$B$26,vlookup(vlookup('source-upstream'!$M110,'analysis-rv-services'!$C:$E,3,FALSE),'schema-rv-services'!$A:$B,2, FALSE))</f>
        <v>feedstock</v>
      </c>
      <c r="N110" s="71"/>
    </row>
    <row r="111" ht="15.0" customHeight="1">
      <c r="A111" s="86" t="str">
        <f>Substitute(SUBSTITUTE(substitute(substitute(substitute(substitute(substitute(substitute(substitute(lower('source-upstream'!A111)," ","-"),"(",""),")",""),"&gt;",""),"&lt;",""),"---","-"),".","-"),"--","-"),"&amp;","-and-")</f>
        <v>lazy-sugar-glider</v>
      </c>
      <c r="B111" s="86" t="str">
        <f>Substitute(SUBSTITUTE(substitute(substitute(substitute(substitute(substitute(substitute(substitute(lower('source-upstream'!B111)," ","-"),"(",""),")",""),"&gt;",""),"&lt;",""),"---","-"),".","-"),"--","-"),"&amp;","-and-")</f>
        <v>golden-kookaburra</v>
      </c>
      <c r="C111" s="71" t="str">
        <f>if('source-upstream'!C111="",'schema-frequency'!$B$11,vlookup('source-upstream'!C111,FREQUENCY_MAP, 3, FALSE))</f>
        <v>weekly</v>
      </c>
      <c r="D111" s="87" t="str">
        <f>'source-upstream'!D111</f>
        <v>Not provided</v>
      </c>
      <c r="E111" s="71" t="str">
        <f>if('source-upstream'!E111="",'schema-yn'!$A$5,vlookup('source-upstream'!E111,YN_MAP,3,FALSE))</f>
        <v>not-provided</v>
      </c>
      <c r="F111" s="71" t="str">
        <f>if('source-upstream'!F111="",'schema-yn'!$A$5,vlookup('source-upstream'!F111,YN_MAP,3,FALSE))</f>
        <v>not-provided</v>
      </c>
      <c r="G111" s="71" t="str">
        <f>if('source-upstream'!G111="",'schema-yn'!$A$5,vlookup('source-upstream'!G111,YN_MAP,3,FALSE))</f>
        <v>not-provided</v>
      </c>
      <c r="H111" s="71" t="str">
        <f>if('source-upstream'!H111="",'schema-yn'!$A$5,vlookup('source-upstream'!H111,RESILIENCE_OPTION_MAP,3,FALSE))</f>
        <v>not-provided</v>
      </c>
      <c r="I111" s="71" t="str">
        <f>if(iserror(vlookup('source-upstream'!I111,'data-cleansing-maps'!N$5:N$10,1,FALSE)),'source-upstream'!I111,"")</f>
        <v/>
      </c>
      <c r="J111" s="87" t="str">
        <f>'source-upstream'!J111</f>
        <v/>
      </c>
      <c r="K111" s="71" t="str">
        <f>if('source-upstream'!K111="",'schema-yn'!$A$5,vlookup('source-upstream'!K111,YN_MAP,3,FALSE))</f>
        <v>not-provided</v>
      </c>
      <c r="L111" s="88" t="str">
        <f>if('source-upstream'!L111="Not provided","",'source-upstream'!L111)</f>
        <v/>
      </c>
      <c r="M111" s="66" t="str">
        <f>if('source-upstream'!M111="",'schema-rv-services'!$B$26,vlookup(vlookup('source-upstream'!$M111,'analysis-rv-services'!$C:$E,3,FALSE),'schema-rv-services'!$A:$B,2, FALSE))</f>
        <v>feedstock</v>
      </c>
      <c r="N111" s="71"/>
    </row>
    <row r="112" ht="15.0" customHeight="1">
      <c r="A112" s="86" t="str">
        <f>Substitute(SUBSTITUTE(substitute(substitute(substitute(substitute(substitute(substitute(substitute(lower('source-upstream'!A112)," ","-"),"(",""),")",""),"&gt;",""),"&lt;",""),"---","-"),".","-"),"--","-"),"&amp;","-and-")</f>
        <v>lazy-sugar-glider</v>
      </c>
      <c r="B112" s="86" t="str">
        <f>Substitute(SUBSTITUTE(substitute(substitute(substitute(substitute(substitute(substitute(substitute(lower('source-upstream'!B112)," ","-"),"(",""),")",""),"&gt;",""),"&lt;",""),"---","-"),".","-"),"--","-"),"&amp;","-and-")</f>
        <v>golden-kangaroo</v>
      </c>
      <c r="C112" s="71" t="str">
        <f>if('source-upstream'!C112="",'schema-frequency'!$B$11,vlookup('source-upstream'!C112,FREQUENCY_MAP, 3, FALSE))</f>
        <v>weekly</v>
      </c>
      <c r="D112" s="87" t="str">
        <f>'source-upstream'!D112</f>
        <v>Not provided</v>
      </c>
      <c r="E112" s="71" t="str">
        <f>if('source-upstream'!E112="",'schema-yn'!$A$5,vlookup('source-upstream'!E112,YN_MAP,3,FALSE))</f>
        <v>not-provided</v>
      </c>
      <c r="F112" s="71" t="str">
        <f>if('source-upstream'!F112="",'schema-yn'!$A$5,vlookup('source-upstream'!F112,YN_MAP,3,FALSE))</f>
        <v>not-provided</v>
      </c>
      <c r="G112" s="71" t="str">
        <f>if('source-upstream'!G112="",'schema-yn'!$A$5,vlookup('source-upstream'!G112,YN_MAP,3,FALSE))</f>
        <v>not-provided</v>
      </c>
      <c r="H112" s="71" t="str">
        <f>if('source-upstream'!H112="",'schema-yn'!$A$5,vlookup('source-upstream'!H112,RESILIENCE_OPTION_MAP,3,FALSE))</f>
        <v>not-provided</v>
      </c>
      <c r="I112" s="71" t="str">
        <f>if(iserror(vlookup('source-upstream'!I112,'data-cleansing-maps'!N$5:N$10,1,FALSE)),'source-upstream'!I112,"")</f>
        <v/>
      </c>
      <c r="J112" s="87" t="str">
        <f>'source-upstream'!J112</f>
        <v/>
      </c>
      <c r="K112" s="71" t="str">
        <f>if('source-upstream'!K112="",'schema-yn'!$A$5,vlookup('source-upstream'!K112,YN_MAP,3,FALSE))</f>
        <v>not-provided</v>
      </c>
      <c r="L112" s="88" t="str">
        <f>if('source-upstream'!L112="Not provided","",'source-upstream'!L112)</f>
        <v/>
      </c>
      <c r="M112" s="66" t="str">
        <f>if('source-upstream'!M112="",'schema-rv-services'!$B$26,vlookup(vlookup('source-upstream'!$M112,'analysis-rv-services'!$C:$E,3,FALSE),'schema-rv-services'!$A:$B,2, FALSE))</f>
        <v>feedstock</v>
      </c>
      <c r="N112" s="71"/>
    </row>
    <row r="113" ht="15.0" customHeight="1">
      <c r="A113" s="86" t="str">
        <f>Substitute(SUBSTITUTE(substitute(substitute(substitute(substitute(substitute(substitute(substitute(lower('source-upstream'!A113)," ","-"),"(",""),")",""),"&gt;",""),"&lt;",""),"---","-"),".","-"),"--","-"),"&amp;","-and-")</f>
        <v>lazy-sugar-glider</v>
      </c>
      <c r="B113" s="86" t="str">
        <f>Substitute(SUBSTITUTE(substitute(substitute(substitute(substitute(substitute(substitute(substitute(lower('source-upstream'!B113)," ","-"),"(",""),")",""),"&gt;",""),"&lt;",""),"---","-"),".","-"),"--","-"),"&amp;","-and-")</f>
        <v>blue-numbat</v>
      </c>
      <c r="C113" s="71" t="str">
        <f>if('source-upstream'!C113="",'schema-frequency'!$B$11,vlookup('source-upstream'!C113,FREQUENCY_MAP, 3, FALSE))</f>
        <v>weekly</v>
      </c>
      <c r="D113" s="87" t="str">
        <f>'source-upstream'!D113</f>
        <v>Not provided</v>
      </c>
      <c r="E113" s="71" t="str">
        <f>if('source-upstream'!E113="",'schema-yn'!$A$5,vlookup('source-upstream'!E113,YN_MAP,3,FALSE))</f>
        <v>not-provided</v>
      </c>
      <c r="F113" s="71" t="str">
        <f>if('source-upstream'!F113="",'schema-yn'!$A$5,vlookup('source-upstream'!F113,YN_MAP,3,FALSE))</f>
        <v>not-provided</v>
      </c>
      <c r="G113" s="71" t="str">
        <f>if('source-upstream'!G113="",'schema-yn'!$A$5,vlookup('source-upstream'!G113,YN_MAP,3,FALSE))</f>
        <v>not-provided</v>
      </c>
      <c r="H113" s="71" t="str">
        <f>if('source-upstream'!H113="",'schema-yn'!$A$5,vlookup('source-upstream'!H113,RESILIENCE_OPTION_MAP,3,FALSE))</f>
        <v>not-provided</v>
      </c>
      <c r="I113" s="71" t="str">
        <f>if(iserror(vlookup('source-upstream'!I113,'data-cleansing-maps'!N$5:N$10,1,FALSE)),'source-upstream'!I113,"")</f>
        <v/>
      </c>
      <c r="J113" s="87" t="str">
        <f>'source-upstream'!J113</f>
        <v/>
      </c>
      <c r="K113" s="71" t="str">
        <f>if('source-upstream'!K113="",'schema-yn'!$A$5,vlookup('source-upstream'!K113,YN_MAP,3,FALSE))</f>
        <v>not-provided</v>
      </c>
      <c r="L113" s="88" t="str">
        <f>if('source-upstream'!L113="Not provided","",'source-upstream'!L113)</f>
        <v/>
      </c>
      <c r="M113" s="66" t="str">
        <f>if('source-upstream'!M113="",'schema-rv-services'!$B$26,vlookup(vlookup('source-upstream'!$M113,'analysis-rv-services'!$C:$E,3,FALSE),'schema-rv-services'!$A:$B,2, FALSE))</f>
        <v>feedstock</v>
      </c>
      <c r="N113" s="71"/>
    </row>
    <row r="114" ht="15.0" customHeight="1">
      <c r="A114" s="86" t="str">
        <f>Substitute(SUBSTITUTE(substitute(substitute(substitute(substitute(substitute(substitute(substitute(lower('source-upstream'!A114)," ","-"),"(",""),")",""),"&gt;",""),"&lt;",""),"---","-"),".","-"),"--","-"),"&amp;","-and-")</f>
        <v>lazy-sugar-glider</v>
      </c>
      <c r="B114" s="86" t="str">
        <f>Substitute(SUBSTITUTE(substitute(substitute(substitute(substitute(substitute(substitute(substitute(lower('source-upstream'!B114)," ","-"),"(",""),")",""),"&gt;",""),"&lt;",""),"---","-"),".","-"),"--","-"),"&amp;","-and-")</f>
        <v>wild-numbat</v>
      </c>
      <c r="C114" s="71" t="str">
        <f>if('source-upstream'!C114="",'schema-frequency'!$B$11,vlookup('source-upstream'!C114,FREQUENCY_MAP, 3, FALSE))</f>
        <v>weekly</v>
      </c>
      <c r="D114" s="87" t="str">
        <f>'source-upstream'!D114</f>
        <v>Not provided</v>
      </c>
      <c r="E114" s="71" t="str">
        <f>if('source-upstream'!E114="",'schema-yn'!$A$5,vlookup('source-upstream'!E114,YN_MAP,3,FALSE))</f>
        <v>not-provided</v>
      </c>
      <c r="F114" s="71" t="str">
        <f>if('source-upstream'!F114="",'schema-yn'!$A$5,vlookup('source-upstream'!F114,YN_MAP,3,FALSE))</f>
        <v>not-provided</v>
      </c>
      <c r="G114" s="71" t="str">
        <f>if('source-upstream'!G114="",'schema-yn'!$A$5,vlookup('source-upstream'!G114,YN_MAP,3,FALSE))</f>
        <v>not-provided</v>
      </c>
      <c r="H114" s="71" t="str">
        <f>if('source-upstream'!H114="",'schema-yn'!$A$5,vlookup('source-upstream'!H114,RESILIENCE_OPTION_MAP,3,FALSE))</f>
        <v>not-provided</v>
      </c>
      <c r="I114" s="71" t="str">
        <f>if(iserror(vlookup('source-upstream'!I114,'data-cleansing-maps'!N$5:N$10,1,FALSE)),'source-upstream'!I114,"")</f>
        <v/>
      </c>
      <c r="J114" s="87" t="str">
        <f>'source-upstream'!J114</f>
        <v/>
      </c>
      <c r="K114" s="71" t="str">
        <f>if('source-upstream'!K114="",'schema-yn'!$A$5,vlookup('source-upstream'!K114,YN_MAP,3,FALSE))</f>
        <v>not-provided</v>
      </c>
      <c r="L114" s="88" t="str">
        <f>if('source-upstream'!L114="Not provided","",'source-upstream'!L114)</f>
        <v/>
      </c>
      <c r="M114" s="66" t="str">
        <f>if('source-upstream'!M114="",'schema-rv-services'!$B$26,vlookup(vlookup('source-upstream'!$M114,'analysis-rv-services'!$C:$E,3,FALSE),'schema-rv-services'!$A:$B,2, FALSE))</f>
        <v>feedstock</v>
      </c>
      <c r="N114" s="71"/>
    </row>
    <row r="115" ht="15.0" customHeight="1">
      <c r="A115" s="86" t="str">
        <f>Substitute(SUBSTITUTE(substitute(substitute(substitute(substitute(substitute(substitute(substitute(lower('source-upstream'!A115)," ","-"),"(",""),")",""),"&gt;",""),"&lt;",""),"---","-"),".","-"),"--","-"),"&amp;","-and-")</f>
        <v>lazy-sugar-glider</v>
      </c>
      <c r="B115" s="86" t="str">
        <f>Substitute(SUBSTITUTE(substitute(substitute(substitute(substitute(substitute(substitute(substitute(lower('source-upstream'!B115)," ","-"),"(",""),")",""),"&gt;",""),"&lt;",""),"---","-"),".","-"),"--","-"),"&amp;","-and-")</f>
        <v>swift-emu</v>
      </c>
      <c r="C115" s="71" t="str">
        <f>if('source-upstream'!C115="",'schema-frequency'!$B$11,vlookup('source-upstream'!C115,FREQUENCY_MAP, 3, FALSE))</f>
        <v>weekly</v>
      </c>
      <c r="D115" s="87" t="str">
        <f>'source-upstream'!D115</f>
        <v>Not provided</v>
      </c>
      <c r="E115" s="71" t="str">
        <f>if('source-upstream'!E115="",'schema-yn'!$A$5,vlookup('source-upstream'!E115,YN_MAP,3,FALSE))</f>
        <v>not-provided</v>
      </c>
      <c r="F115" s="71" t="str">
        <f>if('source-upstream'!F115="",'schema-yn'!$A$5,vlookup('source-upstream'!F115,YN_MAP,3,FALSE))</f>
        <v>not-provided</v>
      </c>
      <c r="G115" s="71" t="str">
        <f>if('source-upstream'!G115="",'schema-yn'!$A$5,vlookup('source-upstream'!G115,YN_MAP,3,FALSE))</f>
        <v>not-provided</v>
      </c>
      <c r="H115" s="71" t="str">
        <f>if('source-upstream'!H115="",'schema-yn'!$A$5,vlookup('source-upstream'!H115,RESILIENCE_OPTION_MAP,3,FALSE))</f>
        <v>not-provided</v>
      </c>
      <c r="I115" s="71" t="str">
        <f>if(iserror(vlookup('source-upstream'!I115,'data-cleansing-maps'!N$5:N$10,1,FALSE)),'source-upstream'!I115,"")</f>
        <v/>
      </c>
      <c r="J115" s="87" t="str">
        <f>'source-upstream'!J115</f>
        <v/>
      </c>
      <c r="K115" s="71" t="str">
        <f>if('source-upstream'!K115="",'schema-yn'!$A$5,vlookup('source-upstream'!K115,YN_MAP,3,FALSE))</f>
        <v>not-provided</v>
      </c>
      <c r="L115" s="88" t="str">
        <f>if('source-upstream'!L115="Not provided","",'source-upstream'!L115)</f>
        <v/>
      </c>
      <c r="M115" s="66" t="str">
        <f>if('source-upstream'!M115="",'schema-rv-services'!$B$26,vlookup(vlookup('source-upstream'!$M115,'analysis-rv-services'!$C:$E,3,FALSE),'schema-rv-services'!$A:$B,2, FALSE))</f>
        <v>feedstock</v>
      </c>
      <c r="N115" s="71"/>
    </row>
    <row r="116" ht="15.0" customHeight="1">
      <c r="A116" s="86" t="str">
        <f>Substitute(SUBSTITUTE(substitute(substitute(substitute(substitute(substitute(substitute(substitute(lower('source-upstream'!A116)," ","-"),"(",""),")",""),"&gt;",""),"&lt;",""),"---","-"),".","-"),"--","-"),"&amp;","-and-")</f>
        <v>lazy-sugar-glider</v>
      </c>
      <c r="B116" s="86" t="str">
        <f>Substitute(SUBSTITUTE(substitute(substitute(substitute(substitute(substitute(substitute(substitute(lower('source-upstream'!B116)," ","-"),"(",""),")",""),"&gt;",""),"&lt;",""),"---","-"),".","-"),"--","-"),"&amp;","-and-")</f>
        <v>tiny-dingo</v>
      </c>
      <c r="C116" s="71" t="str">
        <f>if('source-upstream'!C116="",'schema-frequency'!$B$11,vlookup('source-upstream'!C116,FREQUENCY_MAP, 3, FALSE))</f>
        <v>weekly</v>
      </c>
      <c r="D116" s="87" t="str">
        <f>'source-upstream'!D116</f>
        <v>Not provided</v>
      </c>
      <c r="E116" s="71" t="str">
        <f>if('source-upstream'!E116="",'schema-yn'!$A$5,vlookup('source-upstream'!E116,YN_MAP,3,FALSE))</f>
        <v>not-provided</v>
      </c>
      <c r="F116" s="71" t="str">
        <f>if('source-upstream'!F116="",'schema-yn'!$A$5,vlookup('source-upstream'!F116,YN_MAP,3,FALSE))</f>
        <v>not-provided</v>
      </c>
      <c r="G116" s="71" t="str">
        <f>if('source-upstream'!G116="",'schema-yn'!$A$5,vlookup('source-upstream'!G116,YN_MAP,3,FALSE))</f>
        <v>not-provided</v>
      </c>
      <c r="H116" s="71" t="str">
        <f>if('source-upstream'!H116="",'schema-yn'!$A$5,vlookup('source-upstream'!H116,RESILIENCE_OPTION_MAP,3,FALSE))</f>
        <v>not-provided</v>
      </c>
      <c r="I116" s="71" t="str">
        <f>if(iserror(vlookup('source-upstream'!I116,'data-cleansing-maps'!N$5:N$10,1,FALSE)),'source-upstream'!I116,"")</f>
        <v/>
      </c>
      <c r="J116" s="87" t="str">
        <f>'source-upstream'!J116</f>
        <v/>
      </c>
      <c r="K116" s="71" t="str">
        <f>if('source-upstream'!K116="",'schema-yn'!$A$5,vlookup('source-upstream'!K116,YN_MAP,3,FALSE))</f>
        <v>not-provided</v>
      </c>
      <c r="L116" s="88" t="str">
        <f>if('source-upstream'!L116="Not provided","",'source-upstream'!L116)</f>
        <v/>
      </c>
      <c r="M116" s="66" t="str">
        <f>if('source-upstream'!M116="",'schema-rv-services'!$B$26,vlookup(vlookup('source-upstream'!$M116,'analysis-rv-services'!$C:$E,3,FALSE),'schema-rv-services'!$A:$B,2, FALSE))</f>
        <v>feedstock</v>
      </c>
      <c r="N116" s="71"/>
    </row>
    <row r="117" ht="15.0" customHeight="1">
      <c r="A117" s="86" t="str">
        <f>Substitute(SUBSTITUTE(substitute(substitute(substitute(substitute(substitute(substitute(substitute(lower('source-upstream'!A117)," ","-"),"(",""),")",""),"&gt;",""),"&lt;",""),"---","-"),".","-"),"--","-"),"&amp;","-and-")</f>
        <v>lazy-sugar-glider</v>
      </c>
      <c r="B117" s="86" t="str">
        <f>Substitute(SUBSTITUTE(substitute(substitute(substitute(substitute(substitute(substitute(substitute(lower('source-upstream'!B117)," ","-"),"(",""),")",""),"&gt;",""),"&lt;",""),"---","-"),".","-"),"--","-"),"&amp;","-and-")</f>
        <v>brave-sugar-glider</v>
      </c>
      <c r="C117" s="71" t="str">
        <f>if('source-upstream'!C117="",'schema-frequency'!$B$11,vlookup('source-upstream'!C117,FREQUENCY_MAP, 3, FALSE))</f>
        <v>weekly</v>
      </c>
      <c r="D117" s="87" t="str">
        <f>'source-upstream'!D117</f>
        <v>Not provided</v>
      </c>
      <c r="E117" s="71" t="str">
        <f>if('source-upstream'!E117="",'schema-yn'!$A$5,vlookup('source-upstream'!E117,YN_MAP,3,FALSE))</f>
        <v>not-provided</v>
      </c>
      <c r="F117" s="71" t="str">
        <f>if('source-upstream'!F117="",'schema-yn'!$A$5,vlookup('source-upstream'!F117,YN_MAP,3,FALSE))</f>
        <v>not-provided</v>
      </c>
      <c r="G117" s="71" t="str">
        <f>if('source-upstream'!G117="",'schema-yn'!$A$5,vlookup('source-upstream'!G117,YN_MAP,3,FALSE))</f>
        <v>not-provided</v>
      </c>
      <c r="H117" s="71" t="str">
        <f>if('source-upstream'!H117="",'schema-yn'!$A$5,vlookup('source-upstream'!H117,RESILIENCE_OPTION_MAP,3,FALSE))</f>
        <v>not-provided</v>
      </c>
      <c r="I117" s="71" t="str">
        <f>if(iserror(vlookup('source-upstream'!I117,'data-cleansing-maps'!N$5:N$10,1,FALSE)),'source-upstream'!I117,"")</f>
        <v/>
      </c>
      <c r="J117" s="87" t="str">
        <f>'source-upstream'!J117</f>
        <v/>
      </c>
      <c r="K117" s="71" t="str">
        <f>if('source-upstream'!K117="",'schema-yn'!$A$5,vlookup('source-upstream'!K117,YN_MAP,3,FALSE))</f>
        <v>not-provided</v>
      </c>
      <c r="L117" s="88" t="str">
        <f>if('source-upstream'!L117="Not provided","",'source-upstream'!L117)</f>
        <v/>
      </c>
      <c r="M117" s="66" t="str">
        <f>if('source-upstream'!M117="",'schema-rv-services'!$B$26,vlookup(vlookup('source-upstream'!$M117,'analysis-rv-services'!$C:$E,3,FALSE),'schema-rv-services'!$A:$B,2, FALSE))</f>
        <v>feedstock</v>
      </c>
      <c r="N117" s="71"/>
    </row>
    <row r="118" ht="15.0" customHeight="1">
      <c r="A118" s="86" t="str">
        <f>Substitute(SUBSTITUTE(substitute(substitute(substitute(substitute(substitute(substitute(substitute(lower('source-upstream'!A118)," ","-"),"(",""),")",""),"&gt;",""),"&lt;",""),"---","-"),".","-"),"--","-"),"&amp;","-and-")</f>
        <v>lazy-sugar-glider</v>
      </c>
      <c r="B118" s="86" t="str">
        <f>Substitute(SUBSTITUTE(substitute(substitute(substitute(substitute(substitute(substitute(substitute(lower('source-upstream'!B118)," ","-"),"(",""),")",""),"&gt;",""),"&lt;",""),"---","-"),".","-"),"--","-"),"&amp;","-and-")</f>
        <v>golden-echidna</v>
      </c>
      <c r="C118" s="71" t="str">
        <f>if('source-upstream'!C118="",'schema-frequency'!$B$11,vlookup('source-upstream'!C118,FREQUENCY_MAP, 3, FALSE))</f>
        <v>weekly</v>
      </c>
      <c r="D118" s="87" t="str">
        <f>'source-upstream'!D118</f>
        <v>Not provided</v>
      </c>
      <c r="E118" s="71" t="str">
        <f>if('source-upstream'!E118="",'schema-yn'!$A$5,vlookup('source-upstream'!E118,YN_MAP,3,FALSE))</f>
        <v>not-provided</v>
      </c>
      <c r="F118" s="71" t="str">
        <f>if('source-upstream'!F118="",'schema-yn'!$A$5,vlookup('source-upstream'!F118,YN_MAP,3,FALSE))</f>
        <v>not-provided</v>
      </c>
      <c r="G118" s="71" t="str">
        <f>if('source-upstream'!G118="",'schema-yn'!$A$5,vlookup('source-upstream'!G118,YN_MAP,3,FALSE))</f>
        <v>not-provided</v>
      </c>
      <c r="H118" s="71" t="str">
        <f>if('source-upstream'!H118="",'schema-yn'!$A$5,vlookup('source-upstream'!H118,RESILIENCE_OPTION_MAP,3,FALSE))</f>
        <v>not-provided</v>
      </c>
      <c r="I118" s="71" t="str">
        <f>if(iserror(vlookup('source-upstream'!I118,'data-cleansing-maps'!N$5:N$10,1,FALSE)),'source-upstream'!I118,"")</f>
        <v/>
      </c>
      <c r="J118" s="87" t="str">
        <f>'source-upstream'!J118</f>
        <v/>
      </c>
      <c r="K118" s="71" t="str">
        <f>if('source-upstream'!K118="",'schema-yn'!$A$5,vlookup('source-upstream'!K118,YN_MAP,3,FALSE))</f>
        <v>not-provided</v>
      </c>
      <c r="L118" s="88" t="str">
        <f>if('source-upstream'!L118="Not provided","",'source-upstream'!L118)</f>
        <v/>
      </c>
      <c r="M118" s="66" t="str">
        <f>if('source-upstream'!M118="",'schema-rv-services'!$B$26,vlookup(vlookup('source-upstream'!$M118,'analysis-rv-services'!$C:$E,3,FALSE),'schema-rv-services'!$A:$B,2, FALSE))</f>
        <v>feedstock</v>
      </c>
      <c r="N118" s="71"/>
    </row>
    <row r="119" ht="15.0" customHeight="1">
      <c r="A119" s="86" t="str">
        <f>Substitute(SUBSTITUTE(substitute(substitute(substitute(substitute(substitute(substitute(substitute(lower('source-upstream'!A119)," ","-"),"(",""),")",""),"&gt;",""),"&lt;",""),"---","-"),".","-"),"--","-"),"&amp;","-and-")</f>
        <v>lazy-sugar-glider</v>
      </c>
      <c r="B119" s="86" t="str">
        <f>Substitute(SUBSTITUTE(substitute(substitute(substitute(substitute(substitute(substitute(substitute(lower('source-upstream'!B119)," ","-"),"(",""),")",""),"&gt;",""),"&lt;",""),"---","-"),".","-"),"--","-"),"&amp;","-and-")</f>
        <v>shy-bilby</v>
      </c>
      <c r="C119" s="71" t="str">
        <f>if('source-upstream'!C119="",'schema-frequency'!$B$11,vlookup('source-upstream'!C119,FREQUENCY_MAP, 3, FALSE))</f>
        <v>weekly</v>
      </c>
      <c r="D119" s="87" t="str">
        <f>'source-upstream'!D119</f>
        <v>Not provided</v>
      </c>
      <c r="E119" s="71" t="str">
        <f>if('source-upstream'!E119="",'schema-yn'!$A$5,vlookup('source-upstream'!E119,YN_MAP,3,FALSE))</f>
        <v>not-provided</v>
      </c>
      <c r="F119" s="71" t="str">
        <f>if('source-upstream'!F119="",'schema-yn'!$A$5,vlookup('source-upstream'!F119,YN_MAP,3,FALSE))</f>
        <v>not-provided</v>
      </c>
      <c r="G119" s="71" t="str">
        <f>if('source-upstream'!G119="",'schema-yn'!$A$5,vlookup('source-upstream'!G119,YN_MAP,3,FALSE))</f>
        <v>not-provided</v>
      </c>
      <c r="H119" s="71" t="str">
        <f>if('source-upstream'!H119="",'schema-yn'!$A$5,vlookup('source-upstream'!H119,RESILIENCE_OPTION_MAP,3,FALSE))</f>
        <v>not-provided</v>
      </c>
      <c r="I119" s="71" t="str">
        <f>if(iserror(vlookup('source-upstream'!I119,'data-cleansing-maps'!N$5:N$10,1,FALSE)),'source-upstream'!I119,"")</f>
        <v/>
      </c>
      <c r="J119" s="87" t="str">
        <f>'source-upstream'!J119</f>
        <v/>
      </c>
      <c r="K119" s="71" t="str">
        <f>if('source-upstream'!K119="",'schema-yn'!$A$5,vlookup('source-upstream'!K119,YN_MAP,3,FALSE))</f>
        <v>not-provided</v>
      </c>
      <c r="L119" s="88" t="str">
        <f>if('source-upstream'!L119="Not provided","",'source-upstream'!L119)</f>
        <v/>
      </c>
      <c r="M119" s="66" t="str">
        <f>if('source-upstream'!M119="",'schema-rv-services'!$B$26,vlookup(vlookup('source-upstream'!$M119,'analysis-rv-services'!$C:$E,3,FALSE),'schema-rv-services'!$A:$B,2, FALSE))</f>
        <v>feedstock</v>
      </c>
      <c r="N119" s="71"/>
    </row>
    <row r="120" ht="15.0" customHeight="1">
      <c r="A120" s="86" t="str">
        <f>Substitute(SUBSTITUTE(substitute(substitute(substitute(substitute(substitute(substitute(substitute(lower('source-upstream'!A120)," ","-"),"(",""),")",""),"&gt;",""),"&lt;",""),"---","-"),".","-"),"--","-"),"&amp;","-and-")</f>
        <v>noisy-dingo</v>
      </c>
      <c r="B120" s="86" t="str">
        <f>Substitute(SUBSTITUTE(substitute(substitute(substitute(substitute(substitute(substitute(substitute(lower('source-upstream'!B120)," ","-"),"(",""),")",""),"&gt;",""),"&lt;",""),"---","-"),".","-"),"--","-"),"&amp;","-and-")</f>
        <v>fuzzy-cassowary</v>
      </c>
      <c r="C120" s="71" t="str">
        <f>if('source-upstream'!C120="",'schema-frequency'!$B$11,vlookup('source-upstream'!C120,FREQUENCY_MAP, 3, FALSE))</f>
        <v>not-provided</v>
      </c>
      <c r="D120" s="87" t="str">
        <f>'source-upstream'!D120</f>
        <v>Collection</v>
      </c>
      <c r="E120" s="71" t="str">
        <f>if('source-upstream'!E120="",'schema-yn'!$A$5,vlookup('source-upstream'!E120,YN_MAP,3,FALSE))</f>
        <v>yes</v>
      </c>
      <c r="F120" s="71" t="str">
        <f>if('source-upstream'!F120="",'schema-yn'!$A$5,vlookup('source-upstream'!F120,YN_MAP,3,FALSE))</f>
        <v>no</v>
      </c>
      <c r="G120" s="71" t="str">
        <f>if('source-upstream'!G120="",'schema-yn'!$A$5,vlookup('source-upstream'!G120,YN_MAP,3,FALSE))</f>
        <v>yes</v>
      </c>
      <c r="H120" s="71" t="str">
        <f>if('source-upstream'!H120="",'schema-yn'!$A$5,vlookup('source-upstream'!H120,RESILIENCE_OPTION_MAP,3,FALSE))</f>
        <v>alternative-supplier</v>
      </c>
      <c r="I120" s="71" t="str">
        <f>if(iserror(vlookup('source-upstream'!I120,'data-cleansing-maps'!N$5:N$10,1,FALSE)),'source-upstream'!I120,"")</f>
        <v/>
      </c>
      <c r="J120" s="87" t="str">
        <f>'source-upstream'!J120</f>
        <v>Could operate at reduced levels with alternative transport operators. Other vendors available &amp;
 assets may be purchased and towed by others</v>
      </c>
      <c r="K120" s="71" t="str">
        <f>if('source-upstream'!K120="",'schema-yn'!$A$5,vlookup('source-upstream'!K120,YN_MAP,3,FALSE))</f>
        <v>not-provided</v>
      </c>
      <c r="L120" s="88" t="str">
        <f>if('source-upstream'!L120="Not provided","",'source-upstream'!L120)</f>
        <v/>
      </c>
      <c r="M120" s="66" t="str">
        <f>if('source-upstream'!M120="",'schema-rv-services'!$B$26,vlookup(vlookup('source-upstream'!$M120,'analysis-rv-services'!$C:$E,3,FALSE),'schema-rv-services'!$A:$B,2, FALSE))</f>
        <v>transport</v>
      </c>
      <c r="N120" s="71"/>
    </row>
    <row r="121" ht="15.0" customHeight="1">
      <c r="A121" s="86" t="str">
        <f>Substitute(SUBSTITUTE(substitute(substitute(substitute(substitute(substitute(substitute(substitute(lower('source-upstream'!A121)," ","-"),"(",""),")",""),"&gt;",""),"&lt;",""),"---","-"),".","-"),"--","-"),"&amp;","-and-")</f>
        <v>noisy-dingo</v>
      </c>
      <c r="B121" s="86" t="str">
        <f>Substitute(SUBSTITUTE(substitute(substitute(substitute(substitute(substitute(substitute(substitute(lower('source-upstream'!B121)," ","-"),"(",""),")",""),"&gt;",""),"&lt;",""),"---","-"),".","-"),"--","-"),"&amp;","-and-")</f>
        <v>golden-koala</v>
      </c>
      <c r="C121" s="71" t="str">
        <f>if('source-upstream'!C121="",'schema-frequency'!$B$11,vlookup('source-upstream'!C121,FREQUENCY_MAP, 3, FALSE))</f>
        <v>not-provided</v>
      </c>
      <c r="D121" s="87" t="str">
        <f>'source-upstream'!D121</f>
        <v>Collection</v>
      </c>
      <c r="E121" s="71" t="str">
        <f>if('source-upstream'!E121="",'schema-yn'!$A$5,vlookup('source-upstream'!E121,YN_MAP,3,FALSE))</f>
        <v>yes</v>
      </c>
      <c r="F121" s="71" t="str">
        <f>if('source-upstream'!F121="",'schema-yn'!$A$5,vlookup('source-upstream'!F121,YN_MAP,3,FALSE))</f>
        <v>no</v>
      </c>
      <c r="G121" s="71" t="str">
        <f>if('source-upstream'!G121="",'schema-yn'!$A$5,vlookup('source-upstream'!G121,YN_MAP,3,FALSE))</f>
        <v>yes</v>
      </c>
      <c r="H121" s="71" t="str">
        <f>if('source-upstream'!H121="",'schema-yn'!$A$5,vlookup('source-upstream'!H121,RESILIENCE_OPTION_MAP,3,FALSE))</f>
        <v>alternative-supplier</v>
      </c>
      <c r="I121" s="71" t="str">
        <f>if(iserror(vlookup('source-upstream'!I121,'data-cleansing-maps'!N$5:N$10,1,FALSE)),'source-upstream'!I121,"")</f>
        <v>["silent-rosella"]</v>
      </c>
      <c r="J121" s="87" t="str">
        <f>'source-upstream'!J121</f>
        <v>Collects shred/HM from Sims Metal and Norstar</v>
      </c>
      <c r="K121" s="71" t="str">
        <f>if('source-upstream'!K121="",'schema-yn'!$A$5,vlookup('source-upstream'!K121,YN_MAP,3,FALSE))</f>
        <v>not-provided</v>
      </c>
      <c r="L121" s="88" t="str">
        <f>if('source-upstream'!L121="Not provided","",'source-upstream'!L121)</f>
        <v/>
      </c>
      <c r="M121" s="66" t="str">
        <f>if('source-upstream'!M121="",'schema-rv-services'!$B$26,vlookup(vlookup('source-upstream'!$M121,'analysis-rv-services'!$C:$E,3,FALSE),'schema-rv-services'!$A:$B,2, FALSE))</f>
        <v>transport</v>
      </c>
      <c r="N121" s="71"/>
    </row>
    <row r="122" ht="15.0" customHeight="1">
      <c r="A122" s="86" t="str">
        <f>Substitute(SUBSTITUTE(substitute(substitute(substitute(substitute(substitute(substitute(substitute(lower('source-upstream'!A122)," ","-"),"(",""),")",""),"&gt;",""),"&lt;",""),"---","-"),".","-"),"--","-"),"&amp;","-and-")</f>
        <v>noisy-dingo</v>
      </c>
      <c r="B122" s="86" t="str">
        <f>Substitute(SUBSTITUTE(substitute(substitute(substitute(substitute(substitute(substitute(substitute(lower('source-upstream'!B122)," ","-"),"(",""),")",""),"&gt;",""),"&lt;",""),"---","-"),".","-"),"--","-"),"&amp;","-and-")</f>
        <v>golden-koala</v>
      </c>
      <c r="C122" s="71" t="str">
        <f>if('source-upstream'!C122="",'schema-frequency'!$B$11,vlookup('source-upstream'!C122,FREQUENCY_MAP, 3, FALSE))</f>
        <v>not-provided</v>
      </c>
      <c r="D122" s="87" t="str">
        <f>'source-upstream'!D122</f>
        <v>Collection</v>
      </c>
      <c r="E122" s="71" t="str">
        <f>if('source-upstream'!E122="",'schema-yn'!$A$5,vlookup('source-upstream'!E122,YN_MAP,3,FALSE))</f>
        <v>yes</v>
      </c>
      <c r="F122" s="71" t="str">
        <f>if('source-upstream'!F122="",'schema-yn'!$A$5,vlookup('source-upstream'!F122,YN_MAP,3,FALSE))</f>
        <v>no</v>
      </c>
      <c r="G122" s="71" t="str">
        <f>if('source-upstream'!G122="",'schema-yn'!$A$5,vlookup('source-upstream'!G122,YN_MAP,3,FALSE))</f>
        <v>yes</v>
      </c>
      <c r="H122" s="71" t="str">
        <f>if('source-upstream'!H122="",'schema-yn'!$A$5,vlookup('source-upstream'!H122,RESILIENCE_OPTION_MAP,3,FALSE))</f>
        <v>alternative-supplier</v>
      </c>
      <c r="I122" s="71" t="str">
        <f>if(iserror(vlookup('source-upstream'!I122,'data-cleansing-maps'!N$5:N$10,1,FALSE)),'source-upstream'!I122,"")</f>
        <v>["striped-frilled-neck-lizard"]</v>
      </c>
      <c r="J122" s="87" t="str">
        <f>'source-upstream'!J122</f>
        <v>Collects shred/HM from Sims Metal and Norstar</v>
      </c>
      <c r="K122" s="71" t="str">
        <f>if('source-upstream'!K122="",'schema-yn'!$A$5,vlookup('source-upstream'!K122,YN_MAP,3,FALSE))</f>
        <v>not-provided</v>
      </c>
      <c r="L122" s="88" t="str">
        <f>if('source-upstream'!L122="Not provided","",'source-upstream'!L122)</f>
        <v/>
      </c>
      <c r="M122" s="66" t="str">
        <f>if('source-upstream'!M122="",'schema-rv-services'!$B$26,vlookup(vlookup('source-upstream'!$M122,'analysis-rv-services'!$C:$E,3,FALSE),'schema-rv-services'!$A:$B,2, FALSE))</f>
        <v>transport</v>
      </c>
      <c r="N122" s="71"/>
    </row>
    <row r="123" ht="15.0" customHeight="1">
      <c r="A123" s="86" t="str">
        <f>Substitute(SUBSTITUTE(substitute(substitute(substitute(substitute(substitute(substitute(substitute(lower('source-upstream'!A123)," ","-"),"(",""),")",""),"&gt;",""),"&lt;",""),"---","-"),".","-"),"--","-"),"&amp;","-and-")</f>
        <v>noisy-dingo</v>
      </c>
      <c r="B123" s="86" t="str">
        <f>Substitute(SUBSTITUTE(substitute(substitute(substitute(substitute(substitute(substitute(substitute(lower('source-upstream'!B123)," ","-"),"(",""),")",""),"&gt;",""),"&lt;",""),"---","-"),".","-"),"--","-"),"&amp;","-and-")</f>
        <v>striped-frilled-neck-lizard</v>
      </c>
      <c r="C123" s="71" t="str">
        <f>if('source-upstream'!C123="",'schema-frequency'!$B$11,vlookup('source-upstream'!C123,FREQUENCY_MAP, 3, FALSE))</f>
        <v>not-provided</v>
      </c>
      <c r="D123" s="87" t="str">
        <f>'source-upstream'!D123</f>
        <v>Feedstock - shred</v>
      </c>
      <c r="E123" s="71" t="str">
        <f>if('source-upstream'!E123="",'schema-yn'!$A$5,vlookup('source-upstream'!E123,YN_MAP,3,FALSE))</f>
        <v>yes</v>
      </c>
      <c r="F123" s="71" t="str">
        <f>if('source-upstream'!F123="",'schema-yn'!$A$5,vlookup('source-upstream'!F123,YN_MAP,3,FALSE))</f>
        <v>no</v>
      </c>
      <c r="G123" s="71" t="str">
        <f>if('source-upstream'!G123="",'schema-yn'!$A$5,vlookup('source-upstream'!G123,YN_MAP,3,FALSE))</f>
        <v>yes</v>
      </c>
      <c r="H123" s="71" t="str">
        <f>if('source-upstream'!H123="",'schema-yn'!$A$5,vlookup('source-upstream'!H123,RESILIENCE_OPTION_MAP,3,FALSE))</f>
        <v>alternative-supplier</v>
      </c>
      <c r="I123" s="71" t="str">
        <f>if(iserror(vlookup('source-upstream'!I123,'data-cleansing-maps'!N$5:N$10,1,FALSE)),'source-upstream'!I123,"")</f>
        <v>["importers"]</v>
      </c>
      <c r="J123" s="87" t="str">
        <f>'source-upstream'!J123</f>
        <v>No comments provided</v>
      </c>
      <c r="K123" s="71" t="str">
        <f>if('source-upstream'!K123="",'schema-yn'!$A$5,vlookup('source-upstream'!K123,YN_MAP,3,FALSE))</f>
        <v>not-provided</v>
      </c>
      <c r="L123" s="88" t="str">
        <f>if('source-upstream'!L123="Not provided","",'source-upstream'!L123)</f>
        <v/>
      </c>
      <c r="M123" s="66" t="str">
        <f>if('source-upstream'!M123="",'schema-rv-services'!$B$26,vlookup(vlookup('source-upstream'!$M123,'analysis-rv-services'!$C:$E,3,FALSE),'schema-rv-services'!$A:$B,2, FALSE))</f>
        <v>feedstock</v>
      </c>
      <c r="N123" s="71"/>
    </row>
    <row r="124" ht="15.0" customHeight="1">
      <c r="A124" s="86" t="str">
        <f>Substitute(SUBSTITUTE(substitute(substitute(substitute(substitute(substitute(substitute(substitute(lower('source-upstream'!A124)," ","-"),"(",""),")",""),"&gt;",""),"&lt;",""),"---","-"),".","-"),"--","-"),"&amp;","-and-")</f>
        <v>noisy-dingo</v>
      </c>
      <c r="B124" s="86" t="str">
        <f>Substitute(SUBSTITUTE(substitute(substitute(substitute(substitute(substitute(substitute(substitute(lower('source-upstream'!B124)," ","-"),"(",""),")",""),"&gt;",""),"&lt;",""),"---","-"),".","-"),"--","-"),"&amp;","-and-")</f>
        <v>silent-rosella</v>
      </c>
      <c r="C124" s="71" t="str">
        <f>if('source-upstream'!C124="",'schema-frequency'!$B$11,vlookup('source-upstream'!C124,FREQUENCY_MAP, 3, FALSE))</f>
        <v>not-provided</v>
      </c>
      <c r="D124" s="87" t="str">
        <f>'source-upstream'!D124</f>
        <v>Feedstock - shred</v>
      </c>
      <c r="E124" s="71" t="str">
        <f>if('source-upstream'!E124="",'schema-yn'!$A$5,vlookup('source-upstream'!E124,YN_MAP,3,FALSE))</f>
        <v>yes</v>
      </c>
      <c r="F124" s="71" t="str">
        <f>if('source-upstream'!F124="",'schema-yn'!$A$5,vlookup('source-upstream'!F124,YN_MAP,3,FALSE))</f>
        <v>no</v>
      </c>
      <c r="G124" s="71" t="str">
        <f>if('source-upstream'!G124="",'schema-yn'!$A$5,vlookup('source-upstream'!G124,YN_MAP,3,FALSE))</f>
        <v>yes</v>
      </c>
      <c r="H124" s="71" t="str">
        <f>if('source-upstream'!H124="",'schema-yn'!$A$5,vlookup('source-upstream'!H124,RESILIENCE_OPTION_MAP,3,FALSE))</f>
        <v>alternative-supplier</v>
      </c>
      <c r="I124" s="71" t="str">
        <f>if(iserror(vlookup('source-upstream'!I124,'data-cleansing-maps'!N$5:N$10,1,FALSE)),'source-upstream'!I124,"")</f>
        <v>["importers"]</v>
      </c>
      <c r="J124" s="87" t="str">
        <f>'source-upstream'!J124</f>
        <v>No comments provided</v>
      </c>
      <c r="K124" s="71" t="str">
        <f>if('source-upstream'!K124="",'schema-yn'!$A$5,vlookup('source-upstream'!K124,YN_MAP,3,FALSE))</f>
        <v>not-provided</v>
      </c>
      <c r="L124" s="88" t="str">
        <f>if('source-upstream'!L124="Not provided","",'source-upstream'!L124)</f>
        <v/>
      </c>
      <c r="M124" s="66" t="str">
        <f>if('source-upstream'!M124="",'schema-rv-services'!$B$26,vlookup(vlookup('source-upstream'!$M124,'analysis-rv-services'!$C:$E,3,FALSE),'schema-rv-services'!$A:$B,2, FALSE))</f>
        <v>feedstock</v>
      </c>
      <c r="N124" s="71"/>
    </row>
    <row r="125" ht="15.0" customHeight="1">
      <c r="A125" s="86" t="str">
        <f>Substitute(SUBSTITUTE(substitute(substitute(substitute(substitute(substitute(substitute(substitute(lower('source-upstream'!A125)," ","-"),"(",""),")",""),"&gt;",""),"&lt;",""),"---","-"),".","-"),"--","-"),"&amp;","-and-")</f>
        <v>noisy-quokka</v>
      </c>
      <c r="B125" s="86" t="str">
        <f>Substitute(SUBSTITUTE(substitute(substitute(substitute(substitute(substitute(substitute(substitute(lower('source-upstream'!B125)," ","-"),"(",""),")",""),"&gt;",""),"&lt;",""),"---","-"),".","-"),"--","-"),"&amp;","-and-")</f>
        <v>red-koala</v>
      </c>
      <c r="C125" s="71" t="str">
        <f>if('source-upstream'!C125="",'schema-frequency'!$B$11,vlookup('source-upstream'!C125,FREQUENCY_MAP, 3, FALSE))</f>
        <v>not-provided</v>
      </c>
      <c r="D125" s="87" t="str">
        <f>'source-upstream'!D125</f>
        <v>Fuel</v>
      </c>
      <c r="E125" s="71" t="str">
        <f>if('source-upstream'!E125="",'schema-yn'!$A$5,vlookup('source-upstream'!E125,YN_MAP,3,FALSE))</f>
        <v>yes</v>
      </c>
      <c r="F125" s="71" t="str">
        <f>if('source-upstream'!F125="",'schema-yn'!$A$5,vlookup('source-upstream'!F125,YN_MAP,3,FALSE))</f>
        <v>no</v>
      </c>
      <c r="G125" s="71" t="str">
        <f>if('source-upstream'!G125="",'schema-yn'!$A$5,vlookup('source-upstream'!G125,YN_MAP,3,FALSE))</f>
        <v>no</v>
      </c>
      <c r="H125" s="71" t="str">
        <f>if('source-upstream'!H125="",'schema-yn'!$A$5,vlookup('source-upstream'!H125,RESILIENCE_OPTION_MAP,3,FALSE))</f>
        <v>not-provided</v>
      </c>
      <c r="I125" s="71" t="str">
        <f>if(iserror(vlookup('source-upstream'!I125,'data-cleansing-maps'!N$5:N$10,1,FALSE)),'source-upstream'!I125,"")</f>
        <v/>
      </c>
      <c r="J125" s="87"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71" t="str">
        <f>if('source-upstream'!K125="",'schema-yn'!$A$5,vlookup('source-upstream'!K125,YN_MAP,3,FALSE))</f>
        <v>partially</v>
      </c>
      <c r="L125" s="88" t="str">
        <f>if('source-upstream'!L125="Not provided","",'source-upstream'!L125)</f>
        <v/>
      </c>
      <c r="M125" s="66" t="str">
        <f>if('source-upstream'!M125="",'schema-rv-services'!$B$26,vlookup(vlookup('source-upstream'!$M125,'analysis-rv-services'!$C:$E,3,FALSE),'schema-rv-services'!$A:$B,2, FALSE))</f>
        <v>fuel</v>
      </c>
      <c r="N125" s="71"/>
    </row>
    <row r="126" ht="15.0" customHeight="1">
      <c r="A126" s="86" t="str">
        <f>Substitute(SUBSTITUTE(substitute(substitute(substitute(substitute(substitute(substitute(substitute(lower('source-upstream'!A126)," ","-"),"(",""),")",""),"&gt;",""),"&lt;",""),"---","-"),".","-"),"--","-"),"&amp;","-and-")</f>
        <v>noisy-quokka</v>
      </c>
      <c r="B126" s="86" t="str">
        <f>Substitute(SUBSTITUTE(substitute(substitute(substitute(substitute(substitute(substitute(substitute(lower('source-upstream'!B126)," ","-"),"(",""),")",""),"&gt;",""),"&lt;",""),"---","-"),".","-"),"--","-"),"&amp;","-and-")</f>
        <v>golden-perentie</v>
      </c>
      <c r="C126" s="71" t="str">
        <f>if('source-upstream'!C126="",'schema-frequency'!$B$11,vlookup('source-upstream'!C126,FREQUENCY_MAP, 3, FALSE))</f>
        <v>not-provided</v>
      </c>
      <c r="D126" s="87" t="str">
        <f>'source-upstream'!D126</f>
        <v>Vehicle maintenance and repairs</v>
      </c>
      <c r="E126" s="71" t="str">
        <f>if('source-upstream'!E126="",'schema-yn'!$A$5,vlookup('source-upstream'!E126,YN_MAP,3,FALSE))</f>
        <v>yes</v>
      </c>
      <c r="F126" s="71" t="str">
        <f>if('source-upstream'!F126="",'schema-yn'!$A$5,vlookup('source-upstream'!F126,YN_MAP,3,FALSE))</f>
        <v>no</v>
      </c>
      <c r="G126" s="71" t="str">
        <f>if('source-upstream'!G126="",'schema-yn'!$A$5,vlookup('source-upstream'!G126,YN_MAP,3,FALSE))</f>
        <v>yes</v>
      </c>
      <c r="H126" s="71" t="str">
        <f>if('source-upstream'!H126="",'schema-yn'!$A$5,vlookup('source-upstream'!H126,RESILIENCE_OPTION_MAP,3,FALSE))</f>
        <v>alternative-supplier</v>
      </c>
      <c r="I126" s="71" t="str">
        <f>if(iserror(vlookup('source-upstream'!I126,'data-cleansing-maps'!N$5:N$10,1,FALSE)),'source-upstream'!I126,"")</f>
        <v/>
      </c>
      <c r="J126" s="87"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71" t="str">
        <f>if('source-upstream'!K126="",'schema-yn'!$A$5,vlookup('source-upstream'!K126,YN_MAP,3,FALSE))</f>
        <v>not-provided</v>
      </c>
      <c r="L126" s="88" t="str">
        <f>if('source-upstream'!L126="Not provided","",'source-upstream'!L126)</f>
        <v/>
      </c>
      <c r="M126" s="66" t="str">
        <f>if('source-upstream'!M126="",'schema-rv-services'!$B$26,vlookup(vlookup('source-upstream'!$M126,'analysis-rv-services'!$C:$E,3,FALSE),'schema-rv-services'!$A:$B,2, FALSE))</f>
        <v>fuel</v>
      </c>
      <c r="N126" s="71"/>
    </row>
    <row r="127" ht="15.0" customHeight="1">
      <c r="A127" s="86" t="str">
        <f>Substitute(SUBSTITUTE(substitute(substitute(substitute(substitute(substitute(substitute(substitute(lower('source-upstream'!A127)," ","-"),"(",""),")",""),"&gt;",""),"&lt;",""),"---","-"),".","-"),"--","-"),"&amp;","-and-")</f>
        <v>noisy-quokka</v>
      </c>
      <c r="B127" s="86" t="str">
        <f>Substitute(SUBSTITUTE(substitute(substitute(substitute(substitute(substitute(substitute(substitute(lower('source-upstream'!B127)," ","-"),"(",""),")",""),"&gt;",""),"&lt;",""),"---","-"),".","-"),"--","-"),"&amp;","-and-")</f>
        <v>striped-australian-magpie</v>
      </c>
      <c r="C127" s="71" t="str">
        <f>if('source-upstream'!C127="",'schema-frequency'!$B$11,vlookup('source-upstream'!C127,FREQUENCY_MAP, 3, FALSE))</f>
        <v>not-provided</v>
      </c>
      <c r="D127" s="87" t="str">
        <f>'source-upstream'!D127</f>
        <v>Vehicle maintenance and repairs</v>
      </c>
      <c r="E127" s="71" t="str">
        <f>if('source-upstream'!E127="",'schema-yn'!$A$5,vlookup('source-upstream'!E127,YN_MAP,3,FALSE))</f>
        <v>yes</v>
      </c>
      <c r="F127" s="71" t="str">
        <f>if('source-upstream'!F127="",'schema-yn'!$A$5,vlookup('source-upstream'!F127,YN_MAP,3,FALSE))</f>
        <v>no</v>
      </c>
      <c r="G127" s="71" t="str">
        <f>if('source-upstream'!G127="",'schema-yn'!$A$5,vlookup('source-upstream'!G127,YN_MAP,3,FALSE))</f>
        <v>yes</v>
      </c>
      <c r="H127" s="71" t="str">
        <f>if('source-upstream'!H127="",'schema-yn'!$A$5,vlookup('source-upstream'!H127,RESILIENCE_OPTION_MAP,3,FALSE))</f>
        <v>alternative-supplier</v>
      </c>
      <c r="I127" s="71" t="str">
        <f>if(iserror(vlookup('source-upstream'!I127,'data-cleansing-maps'!N$5:N$10,1,FALSE)),'source-upstream'!I127,"")</f>
        <v/>
      </c>
      <c r="J127" s="87" t="str">
        <f>'source-upstream'!J127</f>
        <v>Alternate external mechanics and a variety of heavy vehicle mechanics employed across the country.</v>
      </c>
      <c r="K127" s="71" t="str">
        <f>if('source-upstream'!K127="",'schema-yn'!$A$5,vlookup('source-upstream'!K127,YN_MAP,3,FALSE))</f>
        <v>not-provided</v>
      </c>
      <c r="L127" s="88" t="str">
        <f>if('source-upstream'!L127="Not provided","",'source-upstream'!L127)</f>
        <v/>
      </c>
      <c r="M127" s="66" t="str">
        <f>if('source-upstream'!M127="",'schema-rv-services'!$B$26,vlookup(vlookup('source-upstream'!$M127,'analysis-rv-services'!$C:$E,3,FALSE),'schema-rv-services'!$A:$B,2, FALSE))</f>
        <v>repairs-and-maintenance</v>
      </c>
      <c r="N127" s="71"/>
    </row>
    <row r="128" ht="15.0" customHeight="1">
      <c r="A128" s="86" t="str">
        <f>Substitute(SUBSTITUTE(substitute(substitute(substitute(substitute(substitute(substitute(substitute(lower('source-upstream'!A128)," ","-"),"(",""),")",""),"&gt;",""),"&lt;",""),"---","-"),".","-"),"--","-"),"&amp;","-and-")</f>
        <v>noisy-quokka</v>
      </c>
      <c r="B128" s="86" t="str">
        <f>Substitute(SUBSTITUTE(substitute(substitute(substitute(substitute(substitute(substitute(substitute(lower('source-upstream'!B128)," ","-"),"(",""),")",""),"&gt;",""),"&lt;",""),"---","-"),".","-"),"--","-"),"&amp;","-and-")</f>
        <v>brave-bilby</v>
      </c>
      <c r="C128" s="71" t="str">
        <f>if('source-upstream'!C128="",'schema-frequency'!$B$11,vlookup('source-upstream'!C128,FREQUENCY_MAP, 3, FALSE))</f>
        <v>not-provided</v>
      </c>
      <c r="D128" s="87" t="str">
        <f>'source-upstream'!D128</f>
        <v>Vehicle consumables i.e. oils, lubricants etc</v>
      </c>
      <c r="E128" s="71" t="str">
        <f>if('source-upstream'!E128="",'schema-yn'!$A$5,vlookup('source-upstream'!E128,YN_MAP,3,FALSE))</f>
        <v>yes</v>
      </c>
      <c r="F128" s="71" t="str">
        <f>if('source-upstream'!F128="",'schema-yn'!$A$5,vlookup('source-upstream'!F128,YN_MAP,3,FALSE))</f>
        <v>no</v>
      </c>
      <c r="G128" s="71" t="str">
        <f>if('source-upstream'!G128="",'schema-yn'!$A$5,vlookup('source-upstream'!G128,YN_MAP,3,FALSE))</f>
        <v>yes</v>
      </c>
      <c r="H128" s="71" t="str">
        <f>if('source-upstream'!H128="",'schema-yn'!$A$5,vlookup('source-upstream'!H128,RESILIENCE_OPTION_MAP,3,FALSE))</f>
        <v>alternative-supplier</v>
      </c>
      <c r="I128" s="71" t="str">
        <f>if(iserror(vlookup('source-upstream'!I128,'data-cleansing-maps'!N$5:N$10,1,FALSE)),'source-upstream'!I128,"")</f>
        <v>["noisy-quokka"]</v>
      </c>
      <c r="J128" s="87" t="str">
        <f>'source-upstream'!J128</f>
        <v>There are a variety of manufacturers and suppliers available to provide the required consumables however if there was a depletion event the fleet would not be able to operate where the consumable levels were low.</v>
      </c>
      <c r="K128" s="71" t="str">
        <f>if('source-upstream'!K128="",'schema-yn'!$A$5,vlookup('source-upstream'!K128,YN_MAP,3,FALSE))</f>
        <v>not-provided</v>
      </c>
      <c r="L128" s="88" t="str">
        <f>if('source-upstream'!L128="Not provided","",'source-upstream'!L128)</f>
        <v/>
      </c>
      <c r="M128" s="66" t="str">
        <f>if('source-upstream'!M128="",'schema-rv-services'!$B$26,vlookup(vlookup('source-upstream'!$M128,'analysis-rv-services'!$C:$E,3,FALSE),'schema-rv-services'!$A:$B,2, FALSE))</f>
        <v>repairs-and-maintenance</v>
      </c>
      <c r="N128" s="71"/>
    </row>
    <row r="129" ht="15.0" customHeight="1">
      <c r="A129" s="86" t="str">
        <f>Substitute(SUBSTITUTE(substitute(substitute(substitute(substitute(substitute(substitute(substitute(lower('source-upstream'!A129)," ","-"),"(",""),")",""),"&gt;",""),"&lt;",""),"---","-"),".","-"),"--","-"),"&amp;","-and-")</f>
        <v>noisy-quokka</v>
      </c>
      <c r="B129" s="86" t="str">
        <f>Substitute(SUBSTITUTE(substitute(substitute(substitute(substitute(substitute(substitute(substitute(lower('source-upstream'!B129)," ","-"),"(",""),")",""),"&gt;",""),"&lt;",""),"---","-"),".","-"),"--","-"),"&amp;","-and-")</f>
        <v>wild-koala</v>
      </c>
      <c r="C129" s="71" t="str">
        <f>if('source-upstream'!C129="",'schema-frequency'!$B$11,vlookup('source-upstream'!C129,FREQUENCY_MAP, 3, FALSE))</f>
        <v>not-provided</v>
      </c>
      <c r="D129" s="87" t="str">
        <f>'source-upstream'!D129</f>
        <v>Vehicle consumables i.e. oils, lubricants etc</v>
      </c>
      <c r="E129" s="71" t="str">
        <f>if('source-upstream'!E129="",'schema-yn'!$A$5,vlookup('source-upstream'!E129,YN_MAP,3,FALSE))</f>
        <v>yes</v>
      </c>
      <c r="F129" s="71" t="str">
        <f>if('source-upstream'!F129="",'schema-yn'!$A$5,vlookup('source-upstream'!F129,YN_MAP,3,FALSE))</f>
        <v>no</v>
      </c>
      <c r="G129" s="71" t="str">
        <f>if('source-upstream'!G129="",'schema-yn'!$A$5,vlookup('source-upstream'!G129,YN_MAP,3,FALSE))</f>
        <v>yes</v>
      </c>
      <c r="H129" s="71" t="str">
        <f>if('source-upstream'!H129="",'schema-yn'!$A$5,vlookup('source-upstream'!H129,RESILIENCE_OPTION_MAP,3,FALSE))</f>
        <v>alternative-supplier</v>
      </c>
      <c r="I129" s="71" t="str">
        <f>if(iserror(vlookup('source-upstream'!I129,'data-cleansing-maps'!N$5:N$10,1,FALSE)),'source-upstream'!I129,"")</f>
        <v>["noisy-quokka"]</v>
      </c>
      <c r="J129" s="87" t="str">
        <f>'source-upstream'!J129</f>
        <v>There are a variety of manufacturers and suppliers available to provide the required consumables however if there was a depletion event the fleet would not be able to operate where the consumable levels were low.</v>
      </c>
      <c r="K129" s="71" t="str">
        <f>if('source-upstream'!K129="",'schema-yn'!$A$5,vlookup('source-upstream'!K129,YN_MAP,3,FALSE))</f>
        <v>not-provided</v>
      </c>
      <c r="L129" s="88" t="str">
        <f>if('source-upstream'!L129="Not provided","",'source-upstream'!L129)</f>
        <v/>
      </c>
      <c r="M129" s="66" t="str">
        <f>if('source-upstream'!M129="",'schema-rv-services'!$B$26,vlookup(vlookup('source-upstream'!$M129,'analysis-rv-services'!$C:$E,3,FALSE),'schema-rv-services'!$A:$B,2, FALSE))</f>
        <v>repairs-and-maintenance</v>
      </c>
      <c r="N129" s="71"/>
    </row>
    <row r="130" ht="15.0" customHeight="1">
      <c r="A130" s="86" t="str">
        <f>Substitute(SUBSTITUTE(substitute(substitute(substitute(substitute(substitute(substitute(substitute(lower('source-upstream'!A130)," ","-"),"(",""),")",""),"&gt;",""),"&lt;",""),"---","-"),".","-"),"--","-"),"&amp;","-and-")</f>
        <v>noisy-quokka</v>
      </c>
      <c r="B130" s="86" t="str">
        <f>Substitute(SUBSTITUTE(substitute(substitute(substitute(substitute(substitute(substitute(substitute(lower('source-upstream'!B130)," ","-"),"(",""),")",""),"&gt;",""),"&lt;",""),"---","-"),".","-"),"--","-"),"&amp;","-and-")</f>
        <v>fuzzy-sugar-glider</v>
      </c>
      <c r="C130" s="71" t="str">
        <f>if('source-upstream'!C130="",'schema-frequency'!$B$11,vlookup('source-upstream'!C130,FREQUENCY_MAP, 3, FALSE))</f>
        <v>not-provided</v>
      </c>
      <c r="D130" s="87" t="str">
        <f>'source-upstream'!D130</f>
        <v>Disposal facilities, subcontractor services</v>
      </c>
      <c r="E130" s="71" t="str">
        <f>if('source-upstream'!E130="",'schema-yn'!$A$5,vlookup('source-upstream'!E130,YN_MAP,3,FALSE))</f>
        <v>yes</v>
      </c>
      <c r="F130" s="71" t="str">
        <f>if('source-upstream'!F130="",'schema-yn'!$A$5,vlookup('source-upstream'!F130,YN_MAP,3,FALSE))</f>
        <v>no</v>
      </c>
      <c r="G130" s="71" t="str">
        <f>if('source-upstream'!G130="",'schema-yn'!$A$5,vlookup('source-upstream'!G130,YN_MAP,3,FALSE))</f>
        <v>yes</v>
      </c>
      <c r="H130" s="71" t="str">
        <f>if('source-upstream'!H130="",'schema-yn'!$A$5,vlookup('source-upstream'!H130,RESILIENCE_OPTION_MAP,3,FALSE))</f>
        <v>alternative-supplier</v>
      </c>
      <c r="I130" s="71" t="str">
        <f>if(iserror(vlookup('source-upstream'!I130,'data-cleansing-maps'!N$5:N$10,1,FALSE)),'source-upstream'!I130,"")</f>
        <v/>
      </c>
      <c r="J130" s="87"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71" t="str">
        <f>if('source-upstream'!K130="",'schema-yn'!$A$5,vlookup('source-upstream'!K130,YN_MAP,3,FALSE))</f>
        <v>not-provided</v>
      </c>
      <c r="L130" s="88" t="str">
        <f>if('source-upstream'!L130="Not provided","",'source-upstream'!L130)</f>
        <v/>
      </c>
      <c r="M130" s="66" t="str">
        <f>if('source-upstream'!M130="",'schema-rv-services'!$B$26,vlookup(vlookup('source-upstream'!$M130,'analysis-rv-services'!$C:$E,3,FALSE),'schema-rv-services'!$A:$B,2, FALSE))</f>
        <v>waste-disposal</v>
      </c>
      <c r="N130" s="71"/>
    </row>
    <row r="131" ht="15.0" customHeight="1">
      <c r="A131" s="86" t="str">
        <f>Substitute(SUBSTITUTE(substitute(substitute(substitute(substitute(substitute(substitute(substitute(lower('source-upstream'!A131)," ","-"),"(",""),")",""),"&gt;",""),"&lt;",""),"---","-"),".","-"),"--","-"),"&amp;","-and-")</f>
        <v>noisy-quokka</v>
      </c>
      <c r="B131" s="86" t="str">
        <f>Substitute(SUBSTITUTE(substitute(substitute(substitute(substitute(substitute(substitute(substitute(lower('source-upstream'!B131)," ","-"),"(",""),")",""),"&gt;",""),"&lt;",""),"---","-"),".","-"),"--","-"),"&amp;","-and-")</f>
        <v>spotted-koala</v>
      </c>
      <c r="C131" s="71" t="str">
        <f>if('source-upstream'!C131="",'schema-frequency'!$B$11,vlookup('source-upstream'!C131,FREQUENCY_MAP, 3, FALSE))</f>
        <v>not-provided</v>
      </c>
      <c r="D131" s="87" t="str">
        <f>'source-upstream'!D131</f>
        <v>Disposal facilities, subcontractor services</v>
      </c>
      <c r="E131" s="71" t="str">
        <f>if('source-upstream'!E131="",'schema-yn'!$A$5,vlookup('source-upstream'!E131,YN_MAP,3,FALSE))</f>
        <v>yes</v>
      </c>
      <c r="F131" s="71" t="str">
        <f>if('source-upstream'!F131="",'schema-yn'!$A$5,vlookup('source-upstream'!F131,YN_MAP,3,FALSE))</f>
        <v>no</v>
      </c>
      <c r="G131" s="71" t="str">
        <f>if('source-upstream'!G131="",'schema-yn'!$A$5,vlookup('source-upstream'!G131,YN_MAP,3,FALSE))</f>
        <v>yes</v>
      </c>
      <c r="H131" s="71" t="str">
        <f>if('source-upstream'!H131="",'schema-yn'!$A$5,vlookup('source-upstream'!H131,RESILIENCE_OPTION_MAP,3,FALSE))</f>
        <v>alternative-supplier</v>
      </c>
      <c r="I131" s="71" t="str">
        <f>if(iserror(vlookup('source-upstream'!I131,'data-cleansing-maps'!N$5:N$10,1,FALSE)),'source-upstream'!I131,"")</f>
        <v/>
      </c>
      <c r="J131" s="87"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71" t="str">
        <f>if('source-upstream'!K131="",'schema-yn'!$A$5,vlookup('source-upstream'!K131,YN_MAP,3,FALSE))</f>
        <v>not-provided</v>
      </c>
      <c r="L131" s="88" t="str">
        <f>if('source-upstream'!L131="Not provided","",'source-upstream'!L131)</f>
        <v/>
      </c>
      <c r="M131" s="66" t="str">
        <f>if('source-upstream'!M131="",'schema-rv-services'!$B$26,vlookup(vlookup('source-upstream'!$M131,'analysis-rv-services'!$C:$E,3,FALSE),'schema-rv-services'!$A:$B,2, FALSE))</f>
        <v>waste-disposal</v>
      </c>
      <c r="N131" s="71"/>
    </row>
    <row r="132" ht="15.0" customHeight="1">
      <c r="A132" s="86" t="str">
        <f>Substitute(SUBSTITUTE(substitute(substitute(substitute(substitute(substitute(substitute(substitute(lower('source-upstream'!A132)," ","-"),"(",""),")",""),"&gt;",""),"&lt;",""),"---","-"),".","-"),"--","-"),"&amp;","-and-")</f>
        <v>noisy-quokka</v>
      </c>
      <c r="B132" s="86" t="str">
        <f>Substitute(SUBSTITUTE(substitute(substitute(substitute(substitute(substitute(substitute(substitute(lower('source-upstream'!B132)," ","-"),"(",""),")",""),"&gt;",""),"&lt;",""),"---","-"),".","-"),"--","-"),"&amp;","-and-")</f>
        <v>wild-possum</v>
      </c>
      <c r="C132" s="71" t="str">
        <f>if('source-upstream'!C132="",'schema-frequency'!$B$11,vlookup('source-upstream'!C132,FREQUENCY_MAP, 3, FALSE))</f>
        <v>not-provided</v>
      </c>
      <c r="D132" s="87" t="str">
        <f>'source-upstream'!D132</f>
        <v>Disposal facilities, subcontractor services</v>
      </c>
      <c r="E132" s="71" t="str">
        <f>if('source-upstream'!E132="",'schema-yn'!$A$5,vlookup('source-upstream'!E132,YN_MAP,3,FALSE))</f>
        <v>yes</v>
      </c>
      <c r="F132" s="71" t="str">
        <f>if('source-upstream'!F132="",'schema-yn'!$A$5,vlookup('source-upstream'!F132,YN_MAP,3,FALSE))</f>
        <v>no</v>
      </c>
      <c r="G132" s="71" t="str">
        <f>if('source-upstream'!G132="",'schema-yn'!$A$5,vlookup('source-upstream'!G132,YN_MAP,3,FALSE))</f>
        <v>yes</v>
      </c>
      <c r="H132" s="71" t="str">
        <f>if('source-upstream'!H132="",'schema-yn'!$A$5,vlookup('source-upstream'!H132,RESILIENCE_OPTION_MAP,3,FALSE))</f>
        <v>alternative-supplier</v>
      </c>
      <c r="I132" s="71" t="str">
        <f>if(iserror(vlookup('source-upstream'!I132,'data-cleansing-maps'!N$5:N$10,1,FALSE)),'source-upstream'!I132,"")</f>
        <v/>
      </c>
      <c r="J132" s="87"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71" t="str">
        <f>if('source-upstream'!K132="",'schema-yn'!$A$5,vlookup('source-upstream'!K132,YN_MAP,3,FALSE))</f>
        <v>not-provided</v>
      </c>
      <c r="L132" s="88" t="str">
        <f>if('source-upstream'!L132="Not provided","",'source-upstream'!L132)</f>
        <v/>
      </c>
      <c r="M132" s="66" t="str">
        <f>if('source-upstream'!M132="",'schema-rv-services'!$B$26,vlookup(vlookup('source-upstream'!$M132,'analysis-rv-services'!$C:$E,3,FALSE),'schema-rv-services'!$A:$B,2, FALSE))</f>
        <v>waste-disposal</v>
      </c>
      <c r="N132" s="71"/>
    </row>
    <row r="133" ht="15.0" customHeight="1">
      <c r="A133" s="86" t="str">
        <f>Substitute(SUBSTITUTE(substitute(substitute(substitute(substitute(substitute(substitute(substitute(lower('source-upstream'!A133)," ","-"),"(",""),")",""),"&gt;",""),"&lt;",""),"---","-"),".","-"),"--","-"),"&amp;","-and-")</f>
        <v>red-lyrebird</v>
      </c>
      <c r="B133" s="86" t="str">
        <f>Substitute(SUBSTITUTE(substitute(substitute(substitute(substitute(substitute(substitute(substitute(lower('source-upstream'!B133)," ","-"),"(",""),")",""),"&gt;",""),"&lt;",""),"---","-"),".","-"),"--","-"),"&amp;","-and-")</f>
        <v>red-numbat</v>
      </c>
      <c r="C133" s="71" t="str">
        <f>if('source-upstream'!C133="",'schema-frequency'!$B$11,vlookup('source-upstream'!C133,FREQUENCY_MAP, 3, FALSE))</f>
        <v>not-provided</v>
      </c>
      <c r="D133" s="87" t="str">
        <f>'source-upstream'!D133</f>
        <v>Landfill gas management</v>
      </c>
      <c r="E133" s="71" t="str">
        <f>if('source-upstream'!E133="",'schema-yn'!$A$5,vlookup('source-upstream'!E133,YN_MAP,3,FALSE))</f>
        <v>not-provided</v>
      </c>
      <c r="F133" s="71" t="str">
        <f>if('source-upstream'!F133="",'schema-yn'!$A$5,vlookup('source-upstream'!F133,YN_MAP,3,FALSE))</f>
        <v>not-provided</v>
      </c>
      <c r="G133" s="71" t="str">
        <f>if('source-upstream'!G133="",'schema-yn'!$A$5,vlookup('source-upstream'!G133,YN_MAP,3,FALSE))</f>
        <v>not-provided</v>
      </c>
      <c r="H133" s="71" t="str">
        <f>if('source-upstream'!H133="",'schema-yn'!$A$5,vlookup('source-upstream'!H133,RESILIENCE_OPTION_MAP,3,FALSE))</f>
        <v>not-provided</v>
      </c>
      <c r="I133" s="71" t="str">
        <f>if(iserror(vlookup('source-upstream'!I133,'data-cleansing-maps'!N$5:N$10,1,FALSE)),'source-upstream'!I133,"")</f>
        <v/>
      </c>
      <c r="J133" s="87" t="str">
        <f>'source-upstream'!J133</f>
        <v>Landfill A</v>
      </c>
      <c r="K133" s="71" t="str">
        <f>if('source-upstream'!K133="",'schema-yn'!$A$5,vlookup('source-upstream'!K133,YN_MAP,3,FALSE))</f>
        <v>not-provided</v>
      </c>
      <c r="L133" s="88" t="str">
        <f>if('source-upstream'!L133="Not provided","",'source-upstream'!L133)</f>
        <v/>
      </c>
      <c r="M133" s="66" t="str">
        <f>if('source-upstream'!M133="",'schema-rv-services'!$B$26,vlookup(vlookup('source-upstream'!$M133,'analysis-rv-services'!$C:$E,3,FALSE),'schema-rv-services'!$A:$B,2, FALSE))</f>
        <v>gas</v>
      </c>
      <c r="N133" s="71"/>
    </row>
    <row r="134" ht="15.0" customHeight="1">
      <c r="A134" s="86" t="str">
        <f>Substitute(SUBSTITUTE(substitute(substitute(substitute(substitute(substitute(substitute(substitute(lower('source-upstream'!A134)," ","-"),"(",""),")",""),"&gt;",""),"&lt;",""),"---","-"),".","-"),"--","-"),"&amp;","-and-")</f>
        <v>red-lyrebird</v>
      </c>
      <c r="B134" s="86" t="str">
        <f>Substitute(SUBSTITUTE(substitute(substitute(substitute(substitute(substitute(substitute(substitute(lower('source-upstream'!B134)," ","-"),"(",""),")",""),"&gt;",""),"&lt;",""),"---","-"),".","-"),"--","-"),"&amp;","-and-")</f>
        <v>red-numbat</v>
      </c>
      <c r="C134" s="71" t="str">
        <f>if('source-upstream'!C134="",'schema-frequency'!$B$11,vlookup('source-upstream'!C134,FREQUENCY_MAP, 3, FALSE))</f>
        <v>not-provided</v>
      </c>
      <c r="D134" s="87" t="str">
        <f>'source-upstream'!D134</f>
        <v>Landfill gas management</v>
      </c>
      <c r="E134" s="71" t="str">
        <f>if('source-upstream'!E134="",'schema-yn'!$A$5,vlookup('source-upstream'!E134,YN_MAP,3,FALSE))</f>
        <v>not-provided</v>
      </c>
      <c r="F134" s="71" t="str">
        <f>if('source-upstream'!F134="",'schema-yn'!$A$5,vlookup('source-upstream'!F134,YN_MAP,3,FALSE))</f>
        <v>not-provided</v>
      </c>
      <c r="G134" s="71" t="str">
        <f>if('source-upstream'!G134="",'schema-yn'!$A$5,vlookup('source-upstream'!G134,YN_MAP,3,FALSE))</f>
        <v>not-provided</v>
      </c>
      <c r="H134" s="71" t="str">
        <f>if('source-upstream'!H134="",'schema-yn'!$A$5,vlookup('source-upstream'!H134,RESILIENCE_OPTION_MAP,3,FALSE))</f>
        <v>not-provided</v>
      </c>
      <c r="I134" s="71" t="str">
        <f>if(iserror(vlookup('source-upstream'!I134,'data-cleansing-maps'!N$5:N$10,1,FALSE)),'source-upstream'!I134,"")</f>
        <v/>
      </c>
      <c r="J134" s="87" t="str">
        <f>'source-upstream'!J134</f>
        <v>Landfill B</v>
      </c>
      <c r="K134" s="71" t="str">
        <f>if('source-upstream'!K134="",'schema-yn'!$A$5,vlookup('source-upstream'!K134,YN_MAP,3,FALSE))</f>
        <v>not-provided</v>
      </c>
      <c r="L134" s="88" t="str">
        <f>if('source-upstream'!L134="Not provided","",'source-upstream'!L134)</f>
        <v/>
      </c>
      <c r="M134" s="66" t="str">
        <f>if('source-upstream'!M134="",'schema-rv-services'!$B$26,vlookup(vlookup('source-upstream'!$M134,'analysis-rv-services'!$C:$E,3,FALSE),'schema-rv-services'!$A:$B,2, FALSE))</f>
        <v>gas</v>
      </c>
      <c r="N134" s="71"/>
    </row>
    <row r="135" ht="15.0" customHeight="1">
      <c r="A135" s="86" t="str">
        <f>Substitute(SUBSTITUTE(substitute(substitute(substitute(substitute(substitute(substitute(substitute(lower('source-upstream'!A135)," ","-"),"(",""),")",""),"&gt;",""),"&lt;",""),"---","-"),".","-"),"--","-"),"&amp;","-and-")</f>
        <v>red-lyrebird</v>
      </c>
      <c r="B135" s="86" t="str">
        <f>Substitute(SUBSTITUTE(substitute(substitute(substitute(substitute(substitute(substitute(substitute(lower('source-upstream'!B135)," ","-"),"(",""),")",""),"&gt;",""),"&lt;",""),"---","-"),".","-"),"--","-"),"&amp;","-and-")</f>
        <v>red-numbat</v>
      </c>
      <c r="C135" s="71" t="str">
        <f>if('source-upstream'!C135="",'schema-frequency'!$B$11,vlookup('source-upstream'!C135,FREQUENCY_MAP, 3, FALSE))</f>
        <v>not-provided</v>
      </c>
      <c r="D135" s="87" t="str">
        <f>'source-upstream'!D135</f>
        <v>Landfill gas management</v>
      </c>
      <c r="E135" s="71" t="str">
        <f>if('source-upstream'!E135="",'schema-yn'!$A$5,vlookup('source-upstream'!E135,YN_MAP,3,FALSE))</f>
        <v>not-provided</v>
      </c>
      <c r="F135" s="71" t="str">
        <f>if('source-upstream'!F135="",'schema-yn'!$A$5,vlookup('source-upstream'!F135,YN_MAP,3,FALSE))</f>
        <v>not-provided</v>
      </c>
      <c r="G135" s="71" t="str">
        <f>if('source-upstream'!G135="",'schema-yn'!$A$5,vlookup('source-upstream'!G135,YN_MAP,3,FALSE))</f>
        <v>not-provided</v>
      </c>
      <c r="H135" s="71" t="str">
        <f>if('source-upstream'!H135="",'schema-yn'!$A$5,vlookup('source-upstream'!H135,RESILIENCE_OPTION_MAP,3,FALSE))</f>
        <v>not-provided</v>
      </c>
      <c r="I135" s="71" t="str">
        <f>if(iserror(vlookup('source-upstream'!I135,'data-cleansing-maps'!N$5:N$10,1,FALSE)),'source-upstream'!I135,"")</f>
        <v/>
      </c>
      <c r="J135" s="87" t="str">
        <f>'source-upstream'!J135</f>
        <v>Landfill C</v>
      </c>
      <c r="K135" s="71" t="str">
        <f>if('source-upstream'!K135="",'schema-yn'!$A$5,vlookup('source-upstream'!K135,YN_MAP,3,FALSE))</f>
        <v>not-provided</v>
      </c>
      <c r="L135" s="88" t="str">
        <f>if('source-upstream'!L135="Not provided","",'source-upstream'!L135)</f>
        <v/>
      </c>
      <c r="M135" s="66" t="str">
        <f>if('source-upstream'!M135="",'schema-rv-services'!$B$26,vlookup(vlookup('source-upstream'!$M135,'analysis-rv-services'!$C:$E,3,FALSE),'schema-rv-services'!$A:$B,2, FALSE))</f>
        <v>gas</v>
      </c>
      <c r="N135" s="71"/>
    </row>
    <row r="136" ht="15.0" customHeight="1">
      <c r="A136" s="86" t="str">
        <f>Substitute(SUBSTITUTE(substitute(substitute(substitute(substitute(substitute(substitute(substitute(lower('source-upstream'!A136)," ","-"),"(",""),")",""),"&gt;",""),"&lt;",""),"---","-"),".","-"),"--","-"),"&amp;","-and-")</f>
        <v>red-lyrebird</v>
      </c>
      <c r="B136" s="86" t="str">
        <f>Substitute(SUBSTITUTE(substitute(substitute(substitute(substitute(substitute(substitute(substitute(lower('source-upstream'!B136)," ","-"),"(",""),")",""),"&gt;",""),"&lt;",""),"---","-"),".","-"),"--","-"),"&amp;","-and-")</f>
        <v>red-numbat</v>
      </c>
      <c r="C136" s="71" t="str">
        <f>if('source-upstream'!C136="",'schema-frequency'!$B$11,vlookup('source-upstream'!C136,FREQUENCY_MAP, 3, FALSE))</f>
        <v>not-provided</v>
      </c>
      <c r="D136" s="87" t="str">
        <f>'source-upstream'!D136</f>
        <v>Landfill gas management</v>
      </c>
      <c r="E136" s="71" t="str">
        <f>if('source-upstream'!E136="",'schema-yn'!$A$5,vlookup('source-upstream'!E136,YN_MAP,3,FALSE))</f>
        <v>not-provided</v>
      </c>
      <c r="F136" s="71" t="str">
        <f>if('source-upstream'!F136="",'schema-yn'!$A$5,vlookup('source-upstream'!F136,YN_MAP,3,FALSE))</f>
        <v>not-provided</v>
      </c>
      <c r="G136" s="71" t="str">
        <f>if('source-upstream'!G136="",'schema-yn'!$A$5,vlookup('source-upstream'!G136,YN_MAP,3,FALSE))</f>
        <v>not-provided</v>
      </c>
      <c r="H136" s="71" t="str">
        <f>if('source-upstream'!H136="",'schema-yn'!$A$5,vlookup('source-upstream'!H136,RESILIENCE_OPTION_MAP,3,FALSE))</f>
        <v>not-provided</v>
      </c>
      <c r="I136" s="71" t="str">
        <f>if(iserror(vlookup('source-upstream'!I136,'data-cleansing-maps'!N$5:N$10,1,FALSE)),'source-upstream'!I136,"")</f>
        <v/>
      </c>
      <c r="J136" s="87" t="str">
        <f>'source-upstream'!J136</f>
        <v>Landfill D</v>
      </c>
      <c r="K136" s="71" t="str">
        <f>if('source-upstream'!K136="",'schema-yn'!$A$5,vlookup('source-upstream'!K136,YN_MAP,3,FALSE))</f>
        <v>not-provided</v>
      </c>
      <c r="L136" s="88" t="str">
        <f>if('source-upstream'!L136="Not provided","",'source-upstream'!L136)</f>
        <v/>
      </c>
      <c r="M136" s="66" t="str">
        <f>if('source-upstream'!M136="",'schema-rv-services'!$B$26,vlookup(vlookup('source-upstream'!$M136,'analysis-rv-services'!$C:$E,3,FALSE),'schema-rv-services'!$A:$B,2, FALSE))</f>
        <v>gas</v>
      </c>
      <c r="N136" s="71"/>
    </row>
    <row r="137" ht="15.0" customHeight="1">
      <c r="A137" s="86" t="str">
        <f>Substitute(SUBSTITUTE(substitute(substitute(substitute(substitute(substitute(substitute(substitute(lower('source-upstream'!A137)," ","-"),"(",""),")",""),"&gt;",""),"&lt;",""),"---","-"),".","-"),"--","-"),"&amp;","-and-")</f>
        <v>red-lyrebird</v>
      </c>
      <c r="B137" s="86" t="str">
        <f>Substitute(SUBSTITUTE(substitute(substitute(substitute(substitute(substitute(substitute(substitute(lower('source-upstream'!B137)," ","-"),"(",""),")",""),"&gt;",""),"&lt;",""),"---","-"),".","-"),"--","-"),"&amp;","-and-")</f>
        <v>red-numbat</v>
      </c>
      <c r="C137" s="71" t="str">
        <f>if('source-upstream'!C137="",'schema-frequency'!$B$11,vlookup('source-upstream'!C137,FREQUENCY_MAP, 3, FALSE))</f>
        <v>not-provided</v>
      </c>
      <c r="D137" s="87" t="str">
        <f>'source-upstream'!D137</f>
        <v>Landfill gas management</v>
      </c>
      <c r="E137" s="71" t="str">
        <f>if('source-upstream'!E137="",'schema-yn'!$A$5,vlookup('source-upstream'!E137,YN_MAP,3,FALSE))</f>
        <v>not-provided</v>
      </c>
      <c r="F137" s="71" t="str">
        <f>if('source-upstream'!F137="",'schema-yn'!$A$5,vlookup('source-upstream'!F137,YN_MAP,3,FALSE))</f>
        <v>not-provided</v>
      </c>
      <c r="G137" s="71" t="str">
        <f>if('source-upstream'!G137="",'schema-yn'!$A$5,vlookup('source-upstream'!G137,YN_MAP,3,FALSE))</f>
        <v>not-provided</v>
      </c>
      <c r="H137" s="71" t="str">
        <f>if('source-upstream'!H137="",'schema-yn'!$A$5,vlookup('source-upstream'!H137,RESILIENCE_OPTION_MAP,3,FALSE))</f>
        <v>not-provided</v>
      </c>
      <c r="I137" s="71" t="str">
        <f>if(iserror(vlookup('source-upstream'!I137,'data-cleansing-maps'!N$5:N$10,1,FALSE)),'source-upstream'!I137,"")</f>
        <v/>
      </c>
      <c r="J137" s="87" t="str">
        <f>'source-upstream'!J137</f>
        <v>Landfill E</v>
      </c>
      <c r="K137" s="71" t="str">
        <f>if('source-upstream'!K137="",'schema-yn'!$A$5,vlookup('source-upstream'!K137,YN_MAP,3,FALSE))</f>
        <v>not-provided</v>
      </c>
      <c r="L137" s="88" t="str">
        <f>if('source-upstream'!L137="Not provided","",'source-upstream'!L137)</f>
        <v/>
      </c>
      <c r="M137" s="66" t="str">
        <f>if('source-upstream'!M137="",'schema-rv-services'!$B$26,vlookup(vlookup('source-upstream'!$M137,'analysis-rv-services'!$C:$E,3,FALSE),'schema-rv-services'!$A:$B,2, FALSE))</f>
        <v>gas</v>
      </c>
      <c r="N137" s="71"/>
    </row>
    <row r="138" ht="15.0" customHeight="1">
      <c r="A138" s="86" t="str">
        <f>Substitute(SUBSTITUTE(substitute(substitute(substitute(substitute(substitute(substitute(substitute(lower('source-upstream'!A138)," ","-"),"(",""),")",""),"&gt;",""),"&lt;",""),"---","-"),".","-"),"--","-"),"&amp;","-and-")</f>
        <v>red-lyrebird</v>
      </c>
      <c r="B138" s="86" t="str">
        <f>Substitute(SUBSTITUTE(substitute(substitute(substitute(substitute(substitute(substitute(substitute(lower('source-upstream'!B138)," ","-"),"(",""),")",""),"&gt;",""),"&lt;",""),"---","-"),".","-"),"--","-"),"&amp;","-and-")</f>
        <v>wild-possum</v>
      </c>
      <c r="C138" s="71" t="str">
        <f>if('source-upstream'!C138="",'schema-frequency'!$B$11,vlookup('source-upstream'!C138,FREQUENCY_MAP, 3, FALSE))</f>
        <v>not-provided</v>
      </c>
      <c r="D138" s="87" t="str">
        <f>'source-upstream'!D138</f>
        <v>Landfill gas management</v>
      </c>
      <c r="E138" s="71" t="str">
        <f>if('source-upstream'!E138="",'schema-yn'!$A$5,vlookup('source-upstream'!E138,YN_MAP,3,FALSE))</f>
        <v>not-provided</v>
      </c>
      <c r="F138" s="71" t="str">
        <f>if('source-upstream'!F138="",'schema-yn'!$A$5,vlookup('source-upstream'!F138,YN_MAP,3,FALSE))</f>
        <v>not-provided</v>
      </c>
      <c r="G138" s="71" t="str">
        <f>if('source-upstream'!G138="",'schema-yn'!$A$5,vlookup('source-upstream'!G138,YN_MAP,3,FALSE))</f>
        <v>not-provided</v>
      </c>
      <c r="H138" s="71" t="str">
        <f>if('source-upstream'!H138="",'schema-yn'!$A$5,vlookup('source-upstream'!H138,RESILIENCE_OPTION_MAP,3,FALSE))</f>
        <v>not-provided</v>
      </c>
      <c r="I138" s="71" t="str">
        <f>if(iserror(vlookup('source-upstream'!I138,'data-cleansing-maps'!N$5:N$10,1,FALSE)),'source-upstream'!I138,"")</f>
        <v/>
      </c>
      <c r="J138" s="87" t="str">
        <f>'source-upstream'!J138</f>
        <v>Landfill F and Landfill H</v>
      </c>
      <c r="K138" s="71" t="str">
        <f>if('source-upstream'!K138="",'schema-yn'!$A$5,vlookup('source-upstream'!K138,YN_MAP,3,FALSE))</f>
        <v>not-provided</v>
      </c>
      <c r="L138" s="88" t="str">
        <f>if('source-upstream'!L138="Not provided","",'source-upstream'!L138)</f>
        <v/>
      </c>
      <c r="M138" s="66" t="str">
        <f>if('source-upstream'!M138="",'schema-rv-services'!$B$26,vlookup(vlookup('source-upstream'!$M138,'analysis-rv-services'!$C:$E,3,FALSE),'schema-rv-services'!$A:$B,2, FALSE))</f>
        <v>gas</v>
      </c>
      <c r="N138" s="71"/>
    </row>
    <row r="139" ht="15.0" customHeight="1">
      <c r="A139" s="86" t="str">
        <f>Substitute(SUBSTITUTE(substitute(substitute(substitute(substitute(substitute(substitute(substitute(lower('source-upstream'!A139)," ","-"),"(",""),")",""),"&gt;",""),"&lt;",""),"---","-"),".","-"),"--","-"),"&amp;","-and-")</f>
        <v>red-lyrebird</v>
      </c>
      <c r="B139" s="86" t="str">
        <f>Substitute(SUBSTITUTE(substitute(substitute(substitute(substitute(substitute(substitute(substitute(lower('source-upstream'!B139)," ","-"),"(",""),")",""),"&gt;",""),"&lt;",""),"---","-"),".","-"),"--","-"),"&amp;","-and-")</f>
        <v>red-numbat</v>
      </c>
      <c r="C139" s="71" t="str">
        <f>if('source-upstream'!C139="",'schema-frequency'!$B$11,vlookup('source-upstream'!C139,FREQUENCY_MAP, 3, FALSE))</f>
        <v>not-provided</v>
      </c>
      <c r="D139" s="87" t="str">
        <f>'source-upstream'!D139</f>
        <v>Landfill gas management</v>
      </c>
      <c r="E139" s="71" t="str">
        <f>if('source-upstream'!E139="",'schema-yn'!$A$5,vlookup('source-upstream'!E139,YN_MAP,3,FALSE))</f>
        <v>not-provided</v>
      </c>
      <c r="F139" s="71" t="str">
        <f>if('source-upstream'!F139="",'schema-yn'!$A$5,vlookup('source-upstream'!F139,YN_MAP,3,FALSE))</f>
        <v>not-provided</v>
      </c>
      <c r="G139" s="71" t="str">
        <f>if('source-upstream'!G139="",'schema-yn'!$A$5,vlookup('source-upstream'!G139,YN_MAP,3,FALSE))</f>
        <v>not-provided</v>
      </c>
      <c r="H139" s="71" t="str">
        <f>if('source-upstream'!H139="",'schema-yn'!$A$5,vlookup('source-upstream'!H139,RESILIENCE_OPTION_MAP,3,FALSE))</f>
        <v>not-provided</v>
      </c>
      <c r="I139" s="71" t="str">
        <f>if(iserror(vlookup('source-upstream'!I139,'data-cleansing-maps'!N$5:N$10,1,FALSE)),'source-upstream'!I139,"")</f>
        <v/>
      </c>
      <c r="J139" s="87" t="str">
        <f>'source-upstream'!J139</f>
        <v>Landfill G and Landfill H</v>
      </c>
      <c r="K139" s="71" t="str">
        <f>if('source-upstream'!K139="",'schema-yn'!$A$5,vlookup('source-upstream'!K139,YN_MAP,3,FALSE))</f>
        <v>not-provided</v>
      </c>
      <c r="L139" s="88" t="str">
        <f>if('source-upstream'!L139="Not provided","",'source-upstream'!L139)</f>
        <v/>
      </c>
      <c r="M139" s="66" t="str">
        <f>if('source-upstream'!M139="",'schema-rv-services'!$B$26,vlookup(vlookup('source-upstream'!$M139,'analysis-rv-services'!$C:$E,3,FALSE),'schema-rv-services'!$A:$B,2, FALSE))</f>
        <v>gas</v>
      </c>
      <c r="N139" s="71"/>
    </row>
    <row r="140" ht="15.0" customHeight="1">
      <c r="A140" s="86" t="str">
        <f>Substitute(SUBSTITUTE(substitute(substitute(substitute(substitute(substitute(substitute(substitute(lower('source-upstream'!A140)," ","-"),"(",""),")",""),"&gt;",""),"&lt;",""),"---","-"),".","-"),"--","-"),"&amp;","-and-")</f>
        <v>red-lyrebird</v>
      </c>
      <c r="B140" s="86" t="str">
        <f>Substitute(SUBSTITUTE(substitute(substitute(substitute(substitute(substitute(substitute(substitute(lower('source-upstream'!B140)," ","-"),"(",""),")",""),"&gt;",""),"&lt;",""),"---","-"),".","-"),"--","-"),"&amp;","-and-")</f>
        <v>lazy-kangaroo</v>
      </c>
      <c r="C140" s="71" t="str">
        <f>if('source-upstream'!C140="",'schema-frequency'!$B$11,vlookup('source-upstream'!C140,FREQUENCY_MAP, 3, FALSE))</f>
        <v>not-provided</v>
      </c>
      <c r="D140" s="87" t="str">
        <f>'source-upstream'!D140</f>
        <v>Landfill gas management</v>
      </c>
      <c r="E140" s="71" t="str">
        <f>if('source-upstream'!E140="",'schema-yn'!$A$5,vlookup('source-upstream'!E140,YN_MAP,3,FALSE))</f>
        <v>not-provided</v>
      </c>
      <c r="F140" s="71" t="str">
        <f>if('source-upstream'!F140="",'schema-yn'!$A$5,vlookup('source-upstream'!F140,YN_MAP,3,FALSE))</f>
        <v>not-provided</v>
      </c>
      <c r="G140" s="71" t="str">
        <f>if('source-upstream'!G140="",'schema-yn'!$A$5,vlookup('source-upstream'!G140,YN_MAP,3,FALSE))</f>
        <v>not-provided</v>
      </c>
      <c r="H140" s="71" t="str">
        <f>if('source-upstream'!H140="",'schema-yn'!$A$5,vlookup('source-upstream'!H140,RESILIENCE_OPTION_MAP,3,FALSE))</f>
        <v>not-provided</v>
      </c>
      <c r="I140" s="71" t="str">
        <f>if(iserror(vlookup('source-upstream'!I140,'data-cleansing-maps'!N$5:N$10,1,FALSE)),'source-upstream'!I140,"")</f>
        <v/>
      </c>
      <c r="J140" s="87" t="str">
        <f>'source-upstream'!J140</f>
        <v>Landfill I</v>
      </c>
      <c r="K140" s="71" t="str">
        <f>if('source-upstream'!K140="",'schema-yn'!$A$5,vlookup('source-upstream'!K140,YN_MAP,3,FALSE))</f>
        <v>not-provided</v>
      </c>
      <c r="L140" s="88" t="str">
        <f>if('source-upstream'!L140="Not provided","",'source-upstream'!L140)</f>
        <v/>
      </c>
      <c r="M140" s="66" t="str">
        <f>if('source-upstream'!M140="",'schema-rv-services'!$B$26,vlookup(vlookup('source-upstream'!$M140,'analysis-rv-services'!$C:$E,3,FALSE),'schema-rv-services'!$A:$B,2, FALSE))</f>
        <v>gas</v>
      </c>
      <c r="N140" s="71"/>
    </row>
    <row r="141" ht="15.0" customHeight="1">
      <c r="A141" s="86" t="str">
        <f>Substitute(SUBSTITUTE(substitute(substitute(substitute(substitute(substitute(substitute(substitute(lower('source-upstream'!A141)," ","-"),"(",""),")",""),"&gt;",""),"&lt;",""),"---","-"),".","-"),"--","-"),"&amp;","-and-")</f>
        <v>red-lyrebird</v>
      </c>
      <c r="B141" s="86" t="str">
        <f>Substitute(SUBSTITUTE(substitute(substitute(substitute(substitute(substitute(substitute(substitute(lower('source-upstream'!B141)," ","-"),"(",""),")",""),"&gt;",""),"&lt;",""),"---","-"),".","-"),"--","-"),"&amp;","-and-")</f>
        <v>red-numbat</v>
      </c>
      <c r="C141" s="71" t="str">
        <f>if('source-upstream'!C141="",'schema-frequency'!$B$11,vlookup('source-upstream'!C141,FREQUENCY_MAP, 3, FALSE))</f>
        <v>not-provided</v>
      </c>
      <c r="D141" s="87" t="str">
        <f>'source-upstream'!D141</f>
        <v>Landfill gas management</v>
      </c>
      <c r="E141" s="71" t="str">
        <f>if('source-upstream'!E141="",'schema-yn'!$A$5,vlookup('source-upstream'!E141,YN_MAP,3,FALSE))</f>
        <v>not-provided</v>
      </c>
      <c r="F141" s="71" t="str">
        <f>if('source-upstream'!F141="",'schema-yn'!$A$5,vlookup('source-upstream'!F141,YN_MAP,3,FALSE))</f>
        <v>not-provided</v>
      </c>
      <c r="G141" s="71" t="str">
        <f>if('source-upstream'!G141="",'schema-yn'!$A$5,vlookup('source-upstream'!G141,YN_MAP,3,FALSE))</f>
        <v>not-provided</v>
      </c>
      <c r="H141" s="71" t="str">
        <f>if('source-upstream'!H141="",'schema-yn'!$A$5,vlookup('source-upstream'!H141,RESILIENCE_OPTION_MAP,3,FALSE))</f>
        <v>not-provided</v>
      </c>
      <c r="I141" s="71" t="str">
        <f>if(iserror(vlookup('source-upstream'!I141,'data-cleansing-maps'!N$5:N$10,1,FALSE)),'source-upstream'!I141,"")</f>
        <v/>
      </c>
      <c r="J141" s="87" t="str">
        <f>'source-upstream'!J141</f>
        <v>Refuse Disposal Facility A</v>
      </c>
      <c r="K141" s="71" t="str">
        <f>if('source-upstream'!K141="",'schema-yn'!$A$5,vlookup('source-upstream'!K141,YN_MAP,3,FALSE))</f>
        <v>not-provided</v>
      </c>
      <c r="L141" s="88" t="str">
        <f>if('source-upstream'!L141="Not provided","",'source-upstream'!L141)</f>
        <v/>
      </c>
      <c r="M141" s="66" t="str">
        <f>if('source-upstream'!M141="",'schema-rv-services'!$B$26,vlookup(vlookup('source-upstream'!$M141,'analysis-rv-services'!$C:$E,3,FALSE),'schema-rv-services'!$A:$B,2, FALSE))</f>
        <v>gas</v>
      </c>
      <c r="N141" s="71"/>
    </row>
    <row r="142" ht="15.0" customHeight="1">
      <c r="A142" s="86" t="str">
        <f>Substitute(SUBSTITUTE(substitute(substitute(substitute(substitute(substitute(substitute(substitute(lower('source-upstream'!A142)," ","-"),"(",""),")",""),"&gt;",""),"&lt;",""),"---","-"),".","-"),"--","-"),"&amp;","-and-")</f>
        <v>red-possum</v>
      </c>
      <c r="B142" s="86" t="str">
        <f>Substitute(SUBSTITUTE(substitute(substitute(substitute(substitute(substitute(substitute(substitute(lower('source-upstream'!B142)," ","-"),"(",""),")",""),"&gt;",""),"&lt;",""),"---","-"),".","-"),"--","-"),"&amp;","-and-")</f>
        <v>fuzzy-cassowary</v>
      </c>
      <c r="C142" s="71" t="str">
        <f>if('source-upstream'!C142="",'schema-frequency'!$B$11,vlookup('source-upstream'!C142,FREQUENCY_MAP, 3, FALSE))</f>
        <v>not-provided</v>
      </c>
      <c r="D142" s="87" t="str">
        <f>'source-upstream'!D142</f>
        <v>Transport</v>
      </c>
      <c r="E142" s="71" t="str">
        <f>if('source-upstream'!E142="",'schema-yn'!$A$5,vlookup('source-upstream'!E142,YN_MAP,3,FALSE))</f>
        <v>yes</v>
      </c>
      <c r="F142" s="71" t="str">
        <f>if('source-upstream'!F142="",'schema-yn'!$A$5,vlookup('source-upstream'!F142,YN_MAP,3,FALSE))</f>
        <v>no</v>
      </c>
      <c r="G142" s="71" t="str">
        <f>if('source-upstream'!G142="",'schema-yn'!$A$5,vlookup('source-upstream'!G142,YN_MAP,3,FALSE))</f>
        <v>yes</v>
      </c>
      <c r="H142" s="71" t="str">
        <f>if('source-upstream'!H142="",'schema-yn'!$A$5,vlookup('source-upstream'!H142,RESILIENCE_OPTION_MAP,3,FALSE))</f>
        <v>alternative-supplier</v>
      </c>
      <c r="I142" s="71" t="str">
        <f>if(iserror(vlookup('source-upstream'!I142,'data-cleansing-maps'!N$5:N$10,1,FALSE)),'source-upstream'!I142,"")</f>
        <v/>
      </c>
      <c r="J142" s="87" t="str">
        <f>'source-upstream'!J142</f>
        <v>Alternative waste transporters</v>
      </c>
      <c r="K142" s="71" t="str">
        <f>if('source-upstream'!K142="",'schema-yn'!$A$5,vlookup('source-upstream'!K142,YN_MAP,3,FALSE))</f>
        <v>not-provided</v>
      </c>
      <c r="L142" s="88" t="str">
        <f>if('source-upstream'!L142="Not provided","",'source-upstream'!L142)</f>
        <v/>
      </c>
      <c r="M142" s="66" t="str">
        <f>if('source-upstream'!M142="",'schema-rv-services'!$B$26,vlookup(vlookup('source-upstream'!$M142,'analysis-rv-services'!$C:$E,3,FALSE),'schema-rv-services'!$A:$B,2, FALSE))</f>
        <v>transport</v>
      </c>
      <c r="N142" s="71"/>
    </row>
    <row r="143" ht="15.0" customHeight="1">
      <c r="A143" s="86" t="str">
        <f>Substitute(SUBSTITUTE(substitute(substitute(substitute(substitute(substitute(substitute(substitute(lower('source-upstream'!A143)," ","-"),"(",""),")",""),"&gt;",""),"&lt;",""),"---","-"),".","-"),"--","-"),"&amp;","-and-")</f>
        <v>red-possum</v>
      </c>
      <c r="B143" s="86" t="str">
        <f>Substitute(SUBSTITUTE(substitute(substitute(substitute(substitute(substitute(substitute(substitute(lower('source-upstream'!B143)," ","-"),"(",""),")",""),"&gt;",""),"&lt;",""),"---","-"),".","-"),"--","-"),"&amp;","-and-")</f>
        <v>blue-sugar-glider</v>
      </c>
      <c r="C143" s="71" t="str">
        <f>if('source-upstream'!C143="",'schema-frequency'!$B$11,vlookup('source-upstream'!C143,FREQUENCY_MAP, 3, FALSE))</f>
        <v>not-provided</v>
      </c>
      <c r="D143" s="87" t="str">
        <f>'source-upstream'!D143</f>
        <v>Transfer station</v>
      </c>
      <c r="E143" s="71" t="str">
        <f>if('source-upstream'!E143="",'schema-yn'!$A$5,vlookup('source-upstream'!E143,YN_MAP,3,FALSE))</f>
        <v>no</v>
      </c>
      <c r="F143" s="71" t="str">
        <f>if('source-upstream'!F143="",'schema-yn'!$A$5,vlookup('source-upstream'!F143,YN_MAP,3,FALSE))</f>
        <v>yes</v>
      </c>
      <c r="G143" s="71" t="str">
        <f>if('source-upstream'!G143="",'schema-yn'!$A$5,vlookup('source-upstream'!G143,YN_MAP,3,FALSE))</f>
        <v>yes</v>
      </c>
      <c r="H143" s="71" t="str">
        <f>if('source-upstream'!H143="",'schema-yn'!$A$5,vlookup('source-upstream'!H143,RESILIENCE_OPTION_MAP,3,FALSE))</f>
        <v>alternative-supplier</v>
      </c>
      <c r="I143" s="71" t="str">
        <f>if(iserror(vlookup('source-upstream'!I143,'data-cleansing-maps'!N$5:N$10,1,FALSE)),'source-upstream'!I143,"")</f>
        <v/>
      </c>
      <c r="J143" s="87" t="str">
        <f>'source-upstream'!J143</f>
        <v>Alternative waste producers</v>
      </c>
      <c r="K143" s="71" t="str">
        <f>if('source-upstream'!K143="",'schema-yn'!$A$5,vlookup('source-upstream'!K143,YN_MAP,3,FALSE))</f>
        <v>not-provided</v>
      </c>
      <c r="L143" s="88" t="str">
        <f>if('source-upstream'!L143="Not provided","",'source-upstream'!L143)</f>
        <v>Red Possum documented supplier as a single point yet noted there are alternatives</v>
      </c>
      <c r="M143" s="66" t="str">
        <f>if('source-upstream'!M143="",'schema-rv-services'!$B$26,vlookup(vlookup('source-upstream'!$M143,'analysis-rv-services'!$C:$E,3,FALSE),'schema-rv-services'!$A:$B,2, FALSE))</f>
        <v>waste-collection</v>
      </c>
      <c r="N143" s="71"/>
    </row>
    <row r="144" ht="15.0" customHeight="1">
      <c r="A144" s="86" t="str">
        <f>Substitute(SUBSTITUTE(substitute(substitute(substitute(substitute(substitute(substitute(substitute(lower('source-upstream'!A144)," ","-"),"(",""),")",""),"&gt;",""),"&lt;",""),"---","-"),".","-"),"--","-"),"&amp;","-and-")</f>
        <v>red-possum</v>
      </c>
      <c r="B144" s="86" t="str">
        <f>Substitute(SUBSTITUTE(substitute(substitute(substitute(substitute(substitute(substitute(substitute(lower('source-upstream'!B144)," ","-"),"(",""),")",""),"&gt;",""),"&lt;",""),"---","-"),".","-"),"--","-"),"&amp;","-and-")</f>
        <v>fuzzy-wallaby</v>
      </c>
      <c r="C144" s="71" t="str">
        <f>if('source-upstream'!C144="",'schema-frequency'!$B$11,vlookup('source-upstream'!C144,FREQUENCY_MAP, 3, FALSE))</f>
        <v>not-provided</v>
      </c>
      <c r="D144" s="87" t="str">
        <f>'source-upstream'!D144</f>
        <v>Transfer station</v>
      </c>
      <c r="E144" s="71" t="str">
        <f>if('source-upstream'!E144="",'schema-yn'!$A$5,vlookup('source-upstream'!E144,YN_MAP,3,FALSE))</f>
        <v>no</v>
      </c>
      <c r="F144" s="71" t="str">
        <f>if('source-upstream'!F144="",'schema-yn'!$A$5,vlookup('source-upstream'!F144,YN_MAP,3,FALSE))</f>
        <v>yes</v>
      </c>
      <c r="G144" s="71" t="str">
        <f>if('source-upstream'!G144="",'schema-yn'!$A$5,vlookup('source-upstream'!G144,YN_MAP,3,FALSE))</f>
        <v>yes</v>
      </c>
      <c r="H144" s="71" t="str">
        <f>if('source-upstream'!H144="",'schema-yn'!$A$5,vlookup('source-upstream'!H144,RESILIENCE_OPTION_MAP,3,FALSE))</f>
        <v>alternative-supplier</v>
      </c>
      <c r="I144" s="71" t="str">
        <f>if(iserror(vlookup('source-upstream'!I144,'data-cleansing-maps'!N$5:N$10,1,FALSE)),'source-upstream'!I144,"")</f>
        <v/>
      </c>
      <c r="J144" s="87" t="str">
        <f>'source-upstream'!J144</f>
        <v>Alternative waste producers</v>
      </c>
      <c r="K144" s="71" t="str">
        <f>if('source-upstream'!K144="",'schema-yn'!$A$5,vlookup('source-upstream'!K144,YN_MAP,3,FALSE))</f>
        <v>not-provided</v>
      </c>
      <c r="L144" s="88" t="str">
        <f>if('source-upstream'!L144="Not provided","",'source-upstream'!L144)</f>
        <v>Red Possum documented supplier as a single point yet noted there are alternatives</v>
      </c>
      <c r="M144" s="66" t="str">
        <f>if('source-upstream'!M144="",'schema-rv-services'!$B$26,vlookup(vlookup('source-upstream'!$M144,'analysis-rv-services'!$C:$E,3,FALSE),'schema-rv-services'!$A:$B,2, FALSE))</f>
        <v>waste-collection</v>
      </c>
      <c r="N144" s="71"/>
    </row>
    <row r="145" ht="15.0" customHeight="1">
      <c r="A145" s="86" t="str">
        <f>Substitute(SUBSTITUTE(substitute(substitute(substitute(substitute(substitute(substitute(substitute(lower('source-upstream'!A145)," ","-"),"(",""),")",""),"&gt;",""),"&lt;",""),"---","-"),".","-"),"--","-"),"&amp;","-and-")</f>
        <v>red-possum</v>
      </c>
      <c r="B145" s="86" t="str">
        <f>Substitute(SUBSTITUTE(substitute(substitute(substitute(substitute(substitute(substitute(substitute(lower('source-upstream'!B145)," ","-"),"(",""),")",""),"&gt;",""),"&lt;",""),"---","-"),".","-"),"--","-"),"&amp;","-and-")</f>
        <v>silent-rosella</v>
      </c>
      <c r="C145" s="71" t="str">
        <f>if('source-upstream'!C145="",'schema-frequency'!$B$11,vlookup('source-upstream'!C145,FREQUENCY_MAP, 3, FALSE))</f>
        <v>not-provided</v>
      </c>
      <c r="D145" s="87" t="str">
        <f>'source-upstream'!D145</f>
        <v>Waste generation</v>
      </c>
      <c r="E145" s="71" t="str">
        <f>if('source-upstream'!E145="",'schema-yn'!$A$5,vlookup('source-upstream'!E145,YN_MAP,3,FALSE))</f>
        <v>yes</v>
      </c>
      <c r="F145" s="71" t="str">
        <f>if('source-upstream'!F145="",'schema-yn'!$A$5,vlookup('source-upstream'!F145,YN_MAP,3,FALSE))</f>
        <v>yes</v>
      </c>
      <c r="G145" s="71" t="str">
        <f>if('source-upstream'!G145="",'schema-yn'!$A$5,vlookup('source-upstream'!G145,YN_MAP,3,FALSE))</f>
        <v>yes</v>
      </c>
      <c r="H145" s="71" t="str">
        <f>if('source-upstream'!H145="",'schema-yn'!$A$5,vlookup('source-upstream'!H145,RESILIENCE_OPTION_MAP,3,FALSE))</f>
        <v>alternative-supplier</v>
      </c>
      <c r="I145" s="71" t="str">
        <f>if(iserror(vlookup('source-upstream'!I145,'data-cleansing-maps'!N$5:N$10,1,FALSE)),'source-upstream'!I145,"")</f>
        <v/>
      </c>
      <c r="J145" s="87" t="str">
        <f>'source-upstream'!J145</f>
        <v>Alternative waste producers</v>
      </c>
      <c r="K145" s="71" t="str">
        <f>if('source-upstream'!K145="",'schema-yn'!$A$5,vlookup('source-upstream'!K145,YN_MAP,3,FALSE))</f>
        <v>not-provided</v>
      </c>
      <c r="L145" s="88" t="str">
        <f>if('source-upstream'!L145="Not provided","",'source-upstream'!L145)</f>
        <v>Red Possum documented supplier as a single point yet noted there are alternatives</v>
      </c>
      <c r="M145" s="66" t="str">
        <f>if('source-upstream'!M145="",'schema-rv-services'!$B$26,vlookup(vlookup('source-upstream'!$M145,'analysis-rv-services'!$C:$E,3,FALSE),'schema-rv-services'!$A:$B,2, FALSE))</f>
        <v>waste-generation</v>
      </c>
      <c r="N145" s="71"/>
    </row>
    <row r="146" ht="15.0" customHeight="1">
      <c r="A146" s="86" t="str">
        <f>Substitute(SUBSTITUTE(substitute(substitute(substitute(substitute(substitute(substitute(substitute(lower('source-upstream'!A146)," ","-"),"(",""),")",""),"&gt;",""),"&lt;",""),"---","-"),".","-"),"--","-"),"&amp;","-and-")</f>
        <v>red-possum</v>
      </c>
      <c r="B146" s="86" t="str">
        <f>Substitute(SUBSTITUTE(substitute(substitute(substitute(substitute(substitute(substitute(substitute(lower('source-upstream'!B146)," ","-"),"(",""),")",""),"&gt;",""),"&lt;",""),"---","-"),".","-"),"--","-"),"&amp;","-and-")</f>
        <v>striped-frilled-neck-lizard</v>
      </c>
      <c r="C146" s="71" t="str">
        <f>if('source-upstream'!C146="",'schema-frequency'!$B$11,vlookup('source-upstream'!C146,FREQUENCY_MAP, 3, FALSE))</f>
        <v>not-provided</v>
      </c>
      <c r="D146" s="87" t="str">
        <f>'source-upstream'!D146</f>
        <v>Waste generation</v>
      </c>
      <c r="E146" s="71" t="str">
        <f>if('source-upstream'!E146="",'schema-yn'!$A$5,vlookup('source-upstream'!E146,YN_MAP,3,FALSE))</f>
        <v>yes</v>
      </c>
      <c r="F146" s="71" t="str">
        <f>if('source-upstream'!F146="",'schema-yn'!$A$5,vlookup('source-upstream'!F146,YN_MAP,3,FALSE))</f>
        <v>no</v>
      </c>
      <c r="G146" s="71" t="str">
        <f>if('source-upstream'!G146="",'schema-yn'!$A$5,vlookup('source-upstream'!G146,YN_MAP,3,FALSE))</f>
        <v>yes</v>
      </c>
      <c r="H146" s="71" t="str">
        <f>if('source-upstream'!H146="",'schema-yn'!$A$5,vlookup('source-upstream'!H146,RESILIENCE_OPTION_MAP,3,FALSE))</f>
        <v>alternative-supplier</v>
      </c>
      <c r="I146" s="71" t="str">
        <f>if(iserror(vlookup('source-upstream'!I146,'data-cleansing-maps'!N$5:N$10,1,FALSE)),'source-upstream'!I146,"")</f>
        <v/>
      </c>
      <c r="J146" s="87" t="str">
        <f>'source-upstream'!J146</f>
        <v>Alternative waste producers</v>
      </c>
      <c r="K146" s="71" t="str">
        <f>if('source-upstream'!K146="",'schema-yn'!$A$5,vlookup('source-upstream'!K146,YN_MAP,3,FALSE))</f>
        <v>not-provided</v>
      </c>
      <c r="L146" s="88" t="str">
        <f>if('source-upstream'!L146="Not provided","",'source-upstream'!L146)</f>
        <v/>
      </c>
      <c r="M146" s="66" t="str">
        <f>if('source-upstream'!M146="",'schema-rv-services'!$B$26,vlookup(vlookup('source-upstream'!$M146,'analysis-rv-services'!$C:$E,3,FALSE),'schema-rv-services'!$A:$B,2, FALSE))</f>
        <v>waste-generation</v>
      </c>
      <c r="N146" s="71"/>
    </row>
    <row r="147" ht="15.0" customHeight="1">
      <c r="A147" s="86" t="str">
        <f>Substitute(SUBSTITUTE(substitute(substitute(substitute(substitute(substitute(substitute(substitute(lower('source-upstream'!A147)," ","-"),"(",""),")",""),"&gt;",""),"&lt;",""),"---","-"),".","-"),"--","-"),"&amp;","-and-")</f>
        <v>red-possum</v>
      </c>
      <c r="B147" s="86" t="str">
        <f>Substitute(SUBSTITUTE(substitute(substitute(substitute(substitute(substitute(substitute(substitute(lower('source-upstream'!B147)," ","-"),"(",""),")",""),"&gt;",""),"&lt;",""),"---","-"),".","-"),"--","-"),"&amp;","-and-")</f>
        <v>yellow-australian-magpie</v>
      </c>
      <c r="C147" s="71" t="str">
        <f>if('source-upstream'!C147="",'schema-frequency'!$B$11,vlookup('source-upstream'!C147,FREQUENCY_MAP, 3, FALSE))</f>
        <v>not-provided</v>
      </c>
      <c r="D147" s="87" t="str">
        <f>'source-upstream'!D147</f>
        <v>Waste generation</v>
      </c>
      <c r="E147" s="71" t="str">
        <f>if('source-upstream'!E147="",'schema-yn'!$A$5,vlookup('source-upstream'!E147,YN_MAP,3,FALSE))</f>
        <v>no</v>
      </c>
      <c r="F147" s="71" t="str">
        <f>if('source-upstream'!F147="",'schema-yn'!$A$5,vlookup('source-upstream'!F147,YN_MAP,3,FALSE))</f>
        <v>no</v>
      </c>
      <c r="G147" s="71" t="str">
        <f>if('source-upstream'!G147="",'schema-yn'!$A$5,vlookup('source-upstream'!G147,YN_MAP,3,FALSE))</f>
        <v>yes</v>
      </c>
      <c r="H147" s="71" t="str">
        <f>if('source-upstream'!H147="",'schema-yn'!$A$5,vlookup('source-upstream'!H147,RESILIENCE_OPTION_MAP,3,FALSE))</f>
        <v>alternative-supplier</v>
      </c>
      <c r="I147" s="71" t="str">
        <f>if(iserror(vlookup('source-upstream'!I147,'data-cleansing-maps'!N$5:N$10,1,FALSE)),'source-upstream'!I147,"")</f>
        <v/>
      </c>
      <c r="J147" s="87" t="str">
        <f>'source-upstream'!J147</f>
        <v>Alternative waste producers</v>
      </c>
      <c r="K147" s="71" t="str">
        <f>if('source-upstream'!K147="",'schema-yn'!$A$5,vlookup('source-upstream'!K147,YN_MAP,3,FALSE))</f>
        <v>not-provided</v>
      </c>
      <c r="L147" s="88" t="str">
        <f>if('source-upstream'!L147="Not provided","",'source-upstream'!L147)</f>
        <v/>
      </c>
      <c r="M147" s="66" t="str">
        <f>if('source-upstream'!M147="",'schema-rv-services'!$B$26,vlookup(vlookup('source-upstream'!$M147,'analysis-rv-services'!$C:$E,3,FALSE),'schema-rv-services'!$A:$B,2, FALSE))</f>
        <v>waste-generation</v>
      </c>
      <c r="N147" s="71"/>
    </row>
    <row r="148" ht="15.0" customHeight="1">
      <c r="A148" s="86" t="str">
        <f>Substitute(SUBSTITUTE(substitute(substitute(substitute(substitute(substitute(substitute(substitute(lower('source-upstream'!A148)," ","-"),"(",""),")",""),"&gt;",""),"&lt;",""),"---","-"),".","-"),"--","-"),"&amp;","-and-")</f>
        <v>red-possum</v>
      </c>
      <c r="B148" s="86" t="str">
        <f>Substitute(SUBSTITUTE(substitute(substitute(substitute(substitute(substitute(substitute(substitute(lower('source-upstream'!B148)," ","-"),"(",""),")",""),"&gt;",""),"&lt;",""),"---","-"),".","-"),"--","-"),"&amp;","-and-")</f>
        <v>noisy-dingo</v>
      </c>
      <c r="C148" s="71" t="str">
        <f>if('source-upstream'!C148="",'schema-frequency'!$B$11,vlookup('source-upstream'!C148,FREQUENCY_MAP, 3, FALSE))</f>
        <v>ceased</v>
      </c>
      <c r="D148" s="87" t="str">
        <f>'source-upstream'!D148</f>
        <v>Waste generation</v>
      </c>
      <c r="E148" s="71" t="str">
        <f>if('source-upstream'!E148="",'schema-yn'!$A$5,vlookup('source-upstream'!E148,YN_MAP,3,FALSE))</f>
        <v>no</v>
      </c>
      <c r="F148" s="71" t="str">
        <f>if('source-upstream'!F148="",'schema-yn'!$A$5,vlookup('source-upstream'!F148,YN_MAP,3,FALSE))</f>
        <v>no</v>
      </c>
      <c r="G148" s="71" t="str">
        <f>if('source-upstream'!G148="",'schema-yn'!$A$5,vlookup('source-upstream'!G148,YN_MAP,3,FALSE))</f>
        <v>yes</v>
      </c>
      <c r="H148" s="71" t="str">
        <f>if('source-upstream'!H148="",'schema-yn'!$A$5,vlookup('source-upstream'!H148,RESILIENCE_OPTION_MAP,3,FALSE))</f>
        <v>alternative-supplier</v>
      </c>
      <c r="I148" s="71" t="str">
        <f>if(iserror(vlookup('source-upstream'!I148,'data-cleansing-maps'!N$5:N$10,1,FALSE)),'source-upstream'!I148,"")</f>
        <v/>
      </c>
      <c r="J148" s="87" t="str">
        <f>'source-upstream'!J148</f>
        <v>Alternative waste producers</v>
      </c>
      <c r="K148" s="71" t="str">
        <f>if('source-upstream'!K148="",'schema-yn'!$A$5,vlookup('source-upstream'!K148,YN_MAP,3,FALSE))</f>
        <v>not-provided</v>
      </c>
      <c r="L148" s="88" t="str">
        <f>if('source-upstream'!L148="Not provided","",'source-upstream'!L148)</f>
        <v/>
      </c>
      <c r="M148" s="66" t="str">
        <f>if('source-upstream'!M148="",'schema-rv-services'!$B$26,vlookup(vlookup('source-upstream'!$M148,'analysis-rv-services'!$C:$E,3,FALSE),'schema-rv-services'!$A:$B,2, FALSE))</f>
        <v>waste-generation</v>
      </c>
      <c r="N148" s="71"/>
    </row>
    <row r="149" ht="15.0" customHeight="1">
      <c r="A149" s="86" t="str">
        <f>Substitute(SUBSTITUTE(substitute(substitute(substitute(substitute(substitute(substitute(substitute(lower('source-upstream'!A149)," ","-"),"(",""),")",""),"&gt;",""),"&lt;",""),"---","-"),".","-"),"--","-"),"&amp;","-and-")</f>
        <v>silent-rosella</v>
      </c>
      <c r="B149" s="86" t="str">
        <f>Substitute(SUBSTITUTE(substitute(substitute(substitute(substitute(substitute(substitute(substitute(lower('source-upstream'!B149)," ","-"),"(",""),")",""),"&gt;",""),"&lt;",""),"---","-"),".","-"),"--","-"),"&amp;","-and-")</f>
        <v>fuzzy-cassowary</v>
      </c>
      <c r="C149" s="71" t="str">
        <f>if('source-upstream'!C149="",'schema-frequency'!$B$11,vlookup('source-upstream'!C149,FREQUENCY_MAP, 3, FALSE))</f>
        <v>not-provided</v>
      </c>
      <c r="D149" s="87" t="str">
        <f>'source-upstream'!D149</f>
        <v>Transport</v>
      </c>
      <c r="E149" s="71" t="str">
        <f>if('source-upstream'!E149="",'schema-yn'!$A$5,vlookup('source-upstream'!E149,YN_MAP,3,FALSE))</f>
        <v>not-provided</v>
      </c>
      <c r="F149" s="71" t="str">
        <f>if('source-upstream'!F149="",'schema-yn'!$A$5,vlookup('source-upstream'!F149,YN_MAP,3,FALSE))</f>
        <v>not-provided</v>
      </c>
      <c r="G149" s="71" t="str">
        <f>if('source-upstream'!G149="",'schema-yn'!$A$5,vlookup('source-upstream'!G149,YN_MAP,3,FALSE))</f>
        <v>not-provided</v>
      </c>
      <c r="H149" s="71" t="str">
        <f>if('source-upstream'!H149="",'schema-yn'!$A$5,vlookup('source-upstream'!H149,RESILIENCE_OPTION_MAP,3,FALSE))</f>
        <v>not-provided</v>
      </c>
      <c r="I149" s="71" t="str">
        <f>if(iserror(vlookup('source-upstream'!I149,'data-cleansing-maps'!N$5:N$10,1,FALSE)),'source-upstream'!I149,"")</f>
        <v/>
      </c>
      <c r="J149" s="87" t="str">
        <f>'source-upstream'!J149</f>
        <v>Transporting of medium to major quantities of materials in bulk</v>
      </c>
      <c r="K149" s="71" t="str">
        <f>if('source-upstream'!K149="",'schema-yn'!$A$5,vlookup('source-upstream'!K149,YN_MAP,3,FALSE))</f>
        <v>not-provided</v>
      </c>
      <c r="L149" s="88" t="str">
        <f>if('source-upstream'!L149="Not provided","",'source-upstream'!L149)</f>
        <v/>
      </c>
      <c r="M149" s="66" t="str">
        <f>if('source-upstream'!M149="",'schema-rv-services'!$B$26,vlookup(vlookup('source-upstream'!$M149,'analysis-rv-services'!$C:$E,3,FALSE),'schema-rv-services'!$A:$B,2, FALSE))</f>
        <v>transport</v>
      </c>
      <c r="N149" s="71"/>
    </row>
    <row r="150" ht="15.0" customHeight="1">
      <c r="A150" s="86" t="str">
        <f>Substitute(SUBSTITUTE(substitute(substitute(substitute(substitute(substitute(substitute(substitute(lower('source-upstream'!A150)," ","-"),"(",""),")",""),"&gt;",""),"&lt;",""),"---","-"),".","-"),"--","-"),"&amp;","-and-")</f>
        <v>silent-rosella</v>
      </c>
      <c r="B150" s="86" t="str">
        <f>Substitute(SUBSTITUTE(substitute(substitute(substitute(substitute(substitute(substitute(substitute(lower('source-upstream'!B150)," ","-"),"(",""),")",""),"&gt;",""),"&lt;",""),"---","-"),".","-"),"--","-"),"&amp;","-and-")</f>
        <v>fuzzy-cassowary</v>
      </c>
      <c r="C150" s="71" t="str">
        <f>if('source-upstream'!C150="",'schema-frequency'!$B$11,vlookup('source-upstream'!C150,FREQUENCY_MAP, 3, FALSE))</f>
        <v>not-provided</v>
      </c>
      <c r="D150" s="87" t="str">
        <f>'source-upstream'!D150</f>
        <v>Maintenance and replacement of utilities, equipment, parts for the ongoing operation of vehicles and plant.</v>
      </c>
      <c r="E150" s="71" t="str">
        <f>if('source-upstream'!E150="",'schema-yn'!$A$5,vlookup('source-upstream'!E150,YN_MAP,3,FALSE))</f>
        <v>not-provided</v>
      </c>
      <c r="F150" s="71" t="str">
        <f>if('source-upstream'!F150="",'schema-yn'!$A$5,vlookup('source-upstream'!F150,YN_MAP,3,FALSE))</f>
        <v>not-provided</v>
      </c>
      <c r="G150" s="71" t="str">
        <f>if('source-upstream'!G150="",'schema-yn'!$A$5,vlookup('source-upstream'!G150,YN_MAP,3,FALSE))</f>
        <v>not-provided</v>
      </c>
      <c r="H150" s="71" t="str">
        <f>if('source-upstream'!H150="",'schema-yn'!$A$5,vlookup('source-upstream'!H150,RESILIENCE_OPTION_MAP,3,FALSE))</f>
        <v>not-provided</v>
      </c>
      <c r="I150" s="71" t="str">
        <f>if(iserror(vlookup('source-upstream'!I150,'data-cleansing-maps'!N$5:N$10,1,FALSE)),'source-upstream'!I150,"")</f>
        <v/>
      </c>
      <c r="J150" s="87" t="str">
        <f>'source-upstream'!J150</f>
        <v>Maintenance and replacement of utilities, equipment, parts for the ongoing operation of vehicles and plant.</v>
      </c>
      <c r="K150" s="71" t="str">
        <f>if('source-upstream'!K150="",'schema-yn'!$A$5,vlookup('source-upstream'!K150,YN_MAP,3,FALSE))</f>
        <v>not-provided</v>
      </c>
      <c r="L150" s="88" t="str">
        <f>if('source-upstream'!L150="Not provided","",'source-upstream'!L150)</f>
        <v/>
      </c>
      <c r="M150" s="66" t="str">
        <f>if('source-upstream'!M150="",'schema-rv-services'!$B$26,vlookup(vlookup('source-upstream'!$M150,'analysis-rv-services'!$C:$E,3,FALSE),'schema-rv-services'!$A:$B,2, FALSE))</f>
        <v>transport</v>
      </c>
      <c r="N150" s="71"/>
    </row>
    <row r="151" ht="15.0" customHeight="1">
      <c r="A151" s="86" t="str">
        <f>Substitute(SUBSTITUTE(substitute(substitute(substitute(substitute(substitute(substitute(substitute(lower('source-upstream'!A151)," ","-"),"(",""),")",""),"&gt;",""),"&lt;",""),"---","-"),".","-"),"--","-"),"&amp;","-and-")</f>
        <v>silent-rosella</v>
      </c>
      <c r="B151" s="86" t="str">
        <f>Substitute(SUBSTITUTE(substitute(substitute(substitute(substitute(substitute(substitute(substitute(lower('source-upstream'!B151)," ","-"),"(",""),")",""),"&gt;",""),"&lt;",""),"---","-"),".","-"),"--","-"),"&amp;","-and-")</f>
        <v>fuzzy-kangaroo</v>
      </c>
      <c r="C151" s="71" t="str">
        <f>if('source-upstream'!C151="",'schema-frequency'!$B$11,vlookup('source-upstream'!C151,FREQUENCY_MAP, 3, FALSE))</f>
        <v>not-provided</v>
      </c>
      <c r="D151" s="87" t="str">
        <f>'source-upstream'!D151</f>
        <v>Maintenance and replacement of utilities, equipment, parts for the ongoing operation of vehicles and plant.</v>
      </c>
      <c r="E151" s="71" t="str">
        <f>if('source-upstream'!E151="",'schema-yn'!$A$5,vlookup('source-upstream'!E151,YN_MAP,3,FALSE))</f>
        <v>not-provided</v>
      </c>
      <c r="F151" s="71" t="str">
        <f>if('source-upstream'!F151="",'schema-yn'!$A$5,vlookup('source-upstream'!F151,YN_MAP,3,FALSE))</f>
        <v>not-provided</v>
      </c>
      <c r="G151" s="71" t="str">
        <f>if('source-upstream'!G151="",'schema-yn'!$A$5,vlookup('source-upstream'!G151,YN_MAP,3,FALSE))</f>
        <v>not-provided</v>
      </c>
      <c r="H151" s="71" t="str">
        <f>if('source-upstream'!H151="",'schema-yn'!$A$5,vlookup('source-upstream'!H151,RESILIENCE_OPTION_MAP,3,FALSE))</f>
        <v>not-provided</v>
      </c>
      <c r="I151" s="71" t="str">
        <f>if(iserror(vlookup('source-upstream'!I151,'data-cleansing-maps'!N$5:N$10,1,FALSE)),'source-upstream'!I151,"")</f>
        <v/>
      </c>
      <c r="J151" s="87" t="str">
        <f>'source-upstream'!J151</f>
        <v>Maintenance and replacement of utilities, equioment, parts for the ongoing operation of vehicoles and plant.</v>
      </c>
      <c r="K151" s="71" t="str">
        <f>if('source-upstream'!K151="",'schema-yn'!$A$5,vlookup('source-upstream'!K151,YN_MAP,3,FALSE))</f>
        <v>not-provided</v>
      </c>
      <c r="L151" s="88" t="str">
        <f>if('source-upstream'!L151="Not provided","",'source-upstream'!L151)</f>
        <v/>
      </c>
      <c r="M151" s="66" t="str">
        <f>if('source-upstream'!M151="",'schema-rv-services'!$B$26,vlookup(vlookup('source-upstream'!$M151,'analysis-rv-services'!$C:$E,3,FALSE),'schema-rv-services'!$A:$B,2, FALSE))</f>
        <v>repairs-and-maintenance</v>
      </c>
      <c r="N151" s="71"/>
    </row>
    <row r="152" ht="15.0" customHeight="1">
      <c r="A152" s="86" t="str">
        <f>Substitute(SUBSTITUTE(substitute(substitute(substitute(substitute(substitute(substitute(substitute(lower('source-upstream'!A152)," ","-"),"(",""),")",""),"&gt;",""),"&lt;",""),"---","-"),".","-"),"--","-"),"&amp;","-and-")</f>
        <v>silent-rosella</v>
      </c>
      <c r="B152" s="86" t="str">
        <f>Substitute(SUBSTITUTE(substitute(substitute(substitute(substitute(substitute(substitute(substitute(lower('source-upstream'!B152)," ","-"),"(",""),")",""),"&gt;",""),"&lt;",""),"---","-"),".","-"),"--","-"),"&amp;","-and-")</f>
        <v>red-koala</v>
      </c>
      <c r="C152" s="71" t="str">
        <f>if('source-upstream'!C152="",'schema-frequency'!$B$11,vlookup('source-upstream'!C152,FREQUENCY_MAP, 3, FALSE))</f>
        <v>not-provided</v>
      </c>
      <c r="D152" s="87" t="str">
        <f>'source-upstream'!D152</f>
        <v>Maintenance and replacement of utilities, equipment, parts for the ongoing operation of vehicles and plant.</v>
      </c>
      <c r="E152" s="71" t="str">
        <f>if('source-upstream'!E152="",'schema-yn'!$A$5,vlookup('source-upstream'!E152,YN_MAP,3,FALSE))</f>
        <v>not-provided</v>
      </c>
      <c r="F152" s="71" t="str">
        <f>if('source-upstream'!F152="",'schema-yn'!$A$5,vlookup('source-upstream'!F152,YN_MAP,3,FALSE))</f>
        <v>not-provided</v>
      </c>
      <c r="G152" s="71" t="str">
        <f>if('source-upstream'!G152="",'schema-yn'!$A$5,vlookup('source-upstream'!G152,YN_MAP,3,FALSE))</f>
        <v>not-provided</v>
      </c>
      <c r="H152" s="71" t="str">
        <f>if('source-upstream'!H152="",'schema-yn'!$A$5,vlookup('source-upstream'!H152,RESILIENCE_OPTION_MAP,3,FALSE))</f>
        <v>not-provided</v>
      </c>
      <c r="I152" s="71" t="str">
        <f>if(iserror(vlookup('source-upstream'!I152,'data-cleansing-maps'!N$5:N$10,1,FALSE)),'source-upstream'!I152,"")</f>
        <v/>
      </c>
      <c r="J152" s="87" t="str">
        <f>'source-upstream'!J152</f>
        <v>Maintenance and replacement of utilities, equioment, parts for the ongoing operation of vehicoles and plant.</v>
      </c>
      <c r="K152" s="71" t="str">
        <f>if('source-upstream'!K152="",'schema-yn'!$A$5,vlookup('source-upstream'!K152,YN_MAP,3,FALSE))</f>
        <v>not-provided</v>
      </c>
      <c r="L152" s="88" t="str">
        <f>if('source-upstream'!L152="Not provided","",'source-upstream'!L152)</f>
        <v/>
      </c>
      <c r="M152" s="66" t="str">
        <f>if('source-upstream'!M152="",'schema-rv-services'!$B$26,vlookup(vlookup('source-upstream'!$M152,'analysis-rv-services'!$C:$E,3,FALSE),'schema-rv-services'!$A:$B,2, FALSE))</f>
        <v>repairs-and-maintenance</v>
      </c>
      <c r="N152" s="71"/>
    </row>
    <row r="153" ht="15.0" customHeight="1">
      <c r="A153" s="86" t="str">
        <f>Substitute(SUBSTITUTE(substitute(substitute(substitute(substitute(substitute(substitute(substitute(lower('source-upstream'!A153)," ","-"),"(",""),")",""),"&gt;",""),"&lt;",""),"---","-"),".","-"),"--","-"),"&amp;","-and-")</f>
        <v>silent-rosella</v>
      </c>
      <c r="B153" s="86" t="str">
        <f>Substitute(SUBSTITUTE(substitute(substitute(substitute(substitute(substitute(substitute(substitute(lower('source-upstream'!B153)," ","-"),"(",""),")",""),"&gt;",""),"&lt;",""),"---","-"),".","-"),"--","-"),"&amp;","-and-")</f>
        <v>sleepy-possum</v>
      </c>
      <c r="C153" s="71" t="str">
        <f>if('source-upstream'!C153="",'schema-frequency'!$B$11,vlookup('source-upstream'!C153,FREQUENCY_MAP, 3, FALSE))</f>
        <v>not-provided</v>
      </c>
      <c r="D153" s="87" t="str">
        <f>'source-upstream'!D153</f>
        <v>Maintenance and replacement of utilities, equipment, parts for the ongoing operation of vehicles and plant.</v>
      </c>
      <c r="E153" s="71" t="str">
        <f>if('source-upstream'!E153="",'schema-yn'!$A$5,vlookup('source-upstream'!E153,YN_MAP,3,FALSE))</f>
        <v>not-provided</v>
      </c>
      <c r="F153" s="71" t="str">
        <f>if('source-upstream'!F153="",'schema-yn'!$A$5,vlookup('source-upstream'!F153,YN_MAP,3,FALSE))</f>
        <v>not-provided</v>
      </c>
      <c r="G153" s="71" t="str">
        <f>if('source-upstream'!G153="",'schema-yn'!$A$5,vlookup('source-upstream'!G153,YN_MAP,3,FALSE))</f>
        <v>not-provided</v>
      </c>
      <c r="H153" s="71" t="str">
        <f>if('source-upstream'!H153="",'schema-yn'!$A$5,vlookup('source-upstream'!H153,RESILIENCE_OPTION_MAP,3,FALSE))</f>
        <v>not-provided</v>
      </c>
      <c r="I153" s="71" t="str">
        <f>if(iserror(vlookup('source-upstream'!I153,'data-cleansing-maps'!N$5:N$10,1,FALSE)),'source-upstream'!I153,"")</f>
        <v/>
      </c>
      <c r="J153" s="87" t="str">
        <f>'source-upstream'!J153</f>
        <v>Maintenance and replacement of utilities, equioment, parts for the ongoing operation of vehicoles and plant.</v>
      </c>
      <c r="K153" s="71" t="str">
        <f>if('source-upstream'!K153="",'schema-yn'!$A$5,vlookup('source-upstream'!K153,YN_MAP,3,FALSE))</f>
        <v>not-provided</v>
      </c>
      <c r="L153" s="88" t="str">
        <f>if('source-upstream'!L153="Not provided","",'source-upstream'!L153)</f>
        <v/>
      </c>
      <c r="M153" s="66" t="str">
        <f>if('source-upstream'!M153="",'schema-rv-services'!$B$26,vlookup(vlookup('source-upstream'!$M153,'analysis-rv-services'!$C:$E,3,FALSE),'schema-rv-services'!$A:$B,2, FALSE))</f>
        <v>repairs-and-maintenance</v>
      </c>
      <c r="N153" s="71"/>
    </row>
    <row r="154" ht="15.0" customHeight="1">
      <c r="A154" s="86" t="str">
        <f>Substitute(SUBSTITUTE(substitute(substitute(substitute(substitute(substitute(substitute(substitute(lower('source-upstream'!A154)," ","-"),"(",""),")",""),"&gt;",""),"&lt;",""),"---","-"),".","-"),"--","-"),"&amp;","-and-")</f>
        <v>silent-rosella</v>
      </c>
      <c r="B154" s="86" t="str">
        <f>Substitute(SUBSTITUTE(substitute(substitute(substitute(substitute(substitute(substitute(substitute(lower('source-upstream'!B154)," ","-"),"(",""),")",""),"&gt;",""),"&lt;",""),"---","-"),".","-"),"--","-"),"&amp;","-and-")</f>
        <v>striped-echidna</v>
      </c>
      <c r="C154" s="71" t="str">
        <f>if('source-upstream'!C154="",'schema-frequency'!$B$11,vlookup('source-upstream'!C154,FREQUENCY_MAP, 3, FALSE))</f>
        <v>not-provided</v>
      </c>
      <c r="D154" s="87" t="str">
        <f>'source-upstream'!D154</f>
        <v>Maintenance and replacement of utilities, equipment, parts for the ongoing operation of vehicles and plant.</v>
      </c>
      <c r="E154" s="71" t="str">
        <f>if('source-upstream'!E154="",'schema-yn'!$A$5,vlookup('source-upstream'!E154,YN_MAP,3,FALSE))</f>
        <v>not-provided</v>
      </c>
      <c r="F154" s="71" t="str">
        <f>if('source-upstream'!F154="",'schema-yn'!$A$5,vlookup('source-upstream'!F154,YN_MAP,3,FALSE))</f>
        <v>not-provided</v>
      </c>
      <c r="G154" s="71" t="str">
        <f>if('source-upstream'!G154="",'schema-yn'!$A$5,vlookup('source-upstream'!G154,YN_MAP,3,FALSE))</f>
        <v>not-provided</v>
      </c>
      <c r="H154" s="71" t="str">
        <f>if('source-upstream'!H154="",'schema-yn'!$A$5,vlookup('source-upstream'!H154,RESILIENCE_OPTION_MAP,3,FALSE))</f>
        <v>not-provided</v>
      </c>
      <c r="I154" s="71" t="str">
        <f>if(iserror(vlookup('source-upstream'!I154,'data-cleansing-maps'!N$5:N$10,1,FALSE)),'source-upstream'!I154,"")</f>
        <v/>
      </c>
      <c r="J154" s="87" t="str">
        <f>'source-upstream'!J154</f>
        <v>Maintenance and replacement of utilities, equioment, parts for the ongoing operation of vehicoles and plant.</v>
      </c>
      <c r="K154" s="71" t="str">
        <f>if('source-upstream'!K154="",'schema-yn'!$A$5,vlookup('source-upstream'!K154,YN_MAP,3,FALSE))</f>
        <v>not-provided</v>
      </c>
      <c r="L154" s="88" t="str">
        <f>if('source-upstream'!L154="Not provided","",'source-upstream'!L154)</f>
        <v/>
      </c>
      <c r="M154" s="66" t="str">
        <f>if('source-upstream'!M154="",'schema-rv-services'!$B$26,vlookup(vlookup('source-upstream'!$M154,'analysis-rv-services'!$C:$E,3,FALSE),'schema-rv-services'!$A:$B,2, FALSE))</f>
        <v>repairs-and-maintenance</v>
      </c>
      <c r="N154" s="71"/>
    </row>
    <row r="155" ht="15.0" customHeight="1">
      <c r="A155" s="86" t="str">
        <f>Substitute(SUBSTITUTE(substitute(substitute(substitute(substitute(substitute(substitute(substitute(lower('source-upstream'!A155)," ","-"),"(",""),")",""),"&gt;",""),"&lt;",""),"---","-"),".","-"),"--","-"),"&amp;","-and-")</f>
        <v>silent-rosella</v>
      </c>
      <c r="B155" s="86" t="str">
        <f>Substitute(SUBSTITUTE(substitute(substitute(substitute(substitute(substitute(substitute(substitute(lower('source-upstream'!B155)," ","-"),"(",""),")",""),"&gt;",""),"&lt;",""),"---","-"),".","-"),"--","-"),"&amp;","-and-")</f>
        <v>blue-tasmanian-devil</v>
      </c>
      <c r="C155" s="71" t="str">
        <f>if('source-upstream'!C155="",'schema-frequency'!$B$11,vlookup('source-upstream'!C155,FREQUENCY_MAP, 3, FALSE))</f>
        <v>not-provided</v>
      </c>
      <c r="D155" s="87" t="str">
        <f>'source-upstream'!D155</f>
        <v>Maintenance and replacement of utilities, equipment, parts for the ongoing operation of vehicles and plant.</v>
      </c>
      <c r="E155" s="71" t="str">
        <f>if('source-upstream'!E155="",'schema-yn'!$A$5,vlookup('source-upstream'!E155,YN_MAP,3,FALSE))</f>
        <v>not-provided</v>
      </c>
      <c r="F155" s="71" t="str">
        <f>if('source-upstream'!F155="",'schema-yn'!$A$5,vlookup('source-upstream'!F155,YN_MAP,3,FALSE))</f>
        <v>not-provided</v>
      </c>
      <c r="G155" s="71" t="str">
        <f>if('source-upstream'!G155="",'schema-yn'!$A$5,vlookup('source-upstream'!G155,YN_MAP,3,FALSE))</f>
        <v>not-provided</v>
      </c>
      <c r="H155" s="71" t="str">
        <f>if('source-upstream'!H155="",'schema-yn'!$A$5,vlookup('source-upstream'!H155,RESILIENCE_OPTION_MAP,3,FALSE))</f>
        <v>not-provided</v>
      </c>
      <c r="I155" s="71" t="str">
        <f>if(iserror(vlookup('source-upstream'!I155,'data-cleansing-maps'!N$5:N$10,1,FALSE)),'source-upstream'!I155,"")</f>
        <v/>
      </c>
      <c r="J155" s="87" t="str">
        <f>'source-upstream'!J155</f>
        <v>Maintenance and replacement of utilities, equioment, parts for the ongoing operation of vehicoles and plant.</v>
      </c>
      <c r="K155" s="71" t="str">
        <f>if('source-upstream'!K155="",'schema-yn'!$A$5,vlookup('source-upstream'!K155,YN_MAP,3,FALSE))</f>
        <v>not-provided</v>
      </c>
      <c r="L155" s="88" t="str">
        <f>if('source-upstream'!L155="Not provided","",'source-upstream'!L155)</f>
        <v/>
      </c>
      <c r="M155" s="66" t="str">
        <f>if('source-upstream'!M155="",'schema-rv-services'!$B$26,vlookup(vlookup('source-upstream'!$M155,'analysis-rv-services'!$C:$E,3,FALSE),'schema-rv-services'!$A:$B,2, FALSE))</f>
        <v>repairs-and-maintenance</v>
      </c>
      <c r="N155" s="71"/>
    </row>
    <row r="156" ht="15.0" customHeight="1">
      <c r="A156" s="86" t="str">
        <f>Substitute(SUBSTITUTE(substitute(substitute(substitute(substitute(substitute(substitute(substitute(lower('source-upstream'!A156)," ","-"),"(",""),")",""),"&gt;",""),"&lt;",""),"---","-"),".","-"),"--","-"),"&amp;","-and-")</f>
        <v>silent-rosella</v>
      </c>
      <c r="B156" s="86" t="str">
        <f>Substitute(SUBSTITUTE(substitute(substitute(substitute(substitute(substitute(substitute(substitute(lower('source-upstream'!B156)," ","-"),"(",""),")",""),"&gt;",""),"&lt;",""),"---","-"),".","-"),"--","-"),"&amp;","-and-")</f>
        <v>striped-bush-stone-curlew</v>
      </c>
      <c r="C156" s="71" t="str">
        <f>if('source-upstream'!C156="",'schema-frequency'!$B$11,vlookup('source-upstream'!C156,FREQUENCY_MAP, 3, FALSE))</f>
        <v>not-provided</v>
      </c>
      <c r="D156" s="87" t="str">
        <f>'source-upstream'!D156</f>
        <v>Maintenance and replacement of utilities, equipment, parts for the ongoing operation of vehicles and plant.</v>
      </c>
      <c r="E156" s="71" t="str">
        <f>if('source-upstream'!E156="",'schema-yn'!$A$5,vlookup('source-upstream'!E156,YN_MAP,3,FALSE))</f>
        <v>not-provided</v>
      </c>
      <c r="F156" s="71" t="str">
        <f>if('source-upstream'!F156="",'schema-yn'!$A$5,vlookup('source-upstream'!F156,YN_MAP,3,FALSE))</f>
        <v>not-provided</v>
      </c>
      <c r="G156" s="71" t="str">
        <f>if('source-upstream'!G156="",'schema-yn'!$A$5,vlookup('source-upstream'!G156,YN_MAP,3,FALSE))</f>
        <v>not-provided</v>
      </c>
      <c r="H156" s="71" t="str">
        <f>if('source-upstream'!H156="",'schema-yn'!$A$5,vlookup('source-upstream'!H156,RESILIENCE_OPTION_MAP,3,FALSE))</f>
        <v>not-provided</v>
      </c>
      <c r="I156" s="71" t="str">
        <f>if(iserror(vlookup('source-upstream'!I156,'data-cleansing-maps'!N$5:N$10,1,FALSE)),'source-upstream'!I156,"")</f>
        <v/>
      </c>
      <c r="J156" s="87" t="str">
        <f>'source-upstream'!J156</f>
        <v>Maintenance and replacement of utilities, equioment, parts for the ongoing operation of vehicoles and plant.</v>
      </c>
      <c r="K156" s="71" t="str">
        <f>if('source-upstream'!K156="",'schema-yn'!$A$5,vlookup('source-upstream'!K156,YN_MAP,3,FALSE))</f>
        <v>not-provided</v>
      </c>
      <c r="L156" s="88" t="str">
        <f>if('source-upstream'!L156="Not provided","",'source-upstream'!L156)</f>
        <v/>
      </c>
      <c r="M156" s="66" t="str">
        <f>if('source-upstream'!M156="",'schema-rv-services'!$B$26,vlookup(vlookup('source-upstream'!$M156,'analysis-rv-services'!$C:$E,3,FALSE),'schema-rv-services'!$A:$B,2, FALSE))</f>
        <v>repairs-and-maintenance</v>
      </c>
      <c r="N156" s="71"/>
    </row>
    <row r="157" ht="15.0" customHeight="1">
      <c r="A157" s="86" t="str">
        <f>Substitute(SUBSTITUTE(substitute(substitute(substitute(substitute(substitute(substitute(substitute(lower('source-upstream'!A157)," ","-"),"(",""),")",""),"&gt;",""),"&lt;",""),"---","-"),".","-"),"--","-"),"&amp;","-and-")</f>
        <v>silent-rosella</v>
      </c>
      <c r="B157" s="86" t="str">
        <f>Substitute(SUBSTITUTE(substitute(substitute(substitute(substitute(substitute(substitute(substitute(lower('source-upstream'!B157)," ","-"),"(",""),")",""),"&gt;",""),"&lt;",""),"---","-"),".","-"),"--","-"),"&amp;","-and-")</f>
        <v>red-frilled-neck-lizard</v>
      </c>
      <c r="C157" s="71" t="str">
        <f>if('source-upstream'!C157="",'schema-frequency'!$B$11,vlookup('source-upstream'!C157,FREQUENCY_MAP, 3, FALSE))</f>
        <v>not-provided</v>
      </c>
      <c r="D157" s="87" t="str">
        <f>'source-upstream'!D157</f>
        <v>Maintenance and replacement of utilities, equipment, parts for the ongoing operation of vehicles and plant.</v>
      </c>
      <c r="E157" s="71" t="str">
        <f>if('source-upstream'!E157="",'schema-yn'!$A$5,vlookup('source-upstream'!E157,YN_MAP,3,FALSE))</f>
        <v>not-provided</v>
      </c>
      <c r="F157" s="71" t="str">
        <f>if('source-upstream'!F157="",'schema-yn'!$A$5,vlookup('source-upstream'!F157,YN_MAP,3,FALSE))</f>
        <v>not-provided</v>
      </c>
      <c r="G157" s="71" t="str">
        <f>if('source-upstream'!G157="",'schema-yn'!$A$5,vlookup('source-upstream'!G157,YN_MAP,3,FALSE))</f>
        <v>not-provided</v>
      </c>
      <c r="H157" s="71" t="str">
        <f>if('source-upstream'!H157="",'schema-yn'!$A$5,vlookup('source-upstream'!H157,RESILIENCE_OPTION_MAP,3,FALSE))</f>
        <v>not-provided</v>
      </c>
      <c r="I157" s="71" t="str">
        <f>if(iserror(vlookup('source-upstream'!I157,'data-cleansing-maps'!N$5:N$10,1,FALSE)),'source-upstream'!I157,"")</f>
        <v/>
      </c>
      <c r="J157" s="87" t="str">
        <f>'source-upstream'!J157</f>
        <v>Maintenance and replacement of utilities, equioment, parts for the ongoing operation of vehicoles and plant.</v>
      </c>
      <c r="K157" s="71" t="str">
        <f>if('source-upstream'!K157="",'schema-yn'!$A$5,vlookup('source-upstream'!K157,YN_MAP,3,FALSE))</f>
        <v>not-provided</v>
      </c>
      <c r="L157" s="88" t="str">
        <f>if('source-upstream'!L157="Not provided","",'source-upstream'!L157)</f>
        <v/>
      </c>
      <c r="M157" s="66" t="str">
        <f>if('source-upstream'!M157="",'schema-rv-services'!$B$26,vlookup(vlookup('source-upstream'!$M157,'analysis-rv-services'!$C:$E,3,FALSE),'schema-rv-services'!$A:$B,2, FALSE))</f>
        <v>hse</v>
      </c>
      <c r="N157" s="71"/>
    </row>
    <row r="158" ht="15.0" customHeight="1">
      <c r="A158" s="86" t="str">
        <f>Substitute(SUBSTITUTE(substitute(substitute(substitute(substitute(substitute(substitute(substitute(lower('source-upstream'!A158)," ","-"),"(",""),")",""),"&gt;",""),"&lt;",""),"---","-"),".","-"),"--","-"),"&amp;","-and-")</f>
        <v>silent-rosella</v>
      </c>
      <c r="B158" s="86" t="str">
        <f>Substitute(SUBSTITUTE(substitute(substitute(substitute(substitute(substitute(substitute(substitute(lower('source-upstream'!B158)," ","-"),"(",""),")",""),"&gt;",""),"&lt;",""),"---","-"),".","-"),"--","-"),"&amp;","-and-")</f>
        <v>yellow-platypus</v>
      </c>
      <c r="C158" s="71" t="str">
        <f>if('source-upstream'!C158="",'schema-frequency'!$B$11,vlookup('source-upstream'!C158,FREQUENCY_MAP, 3, FALSE))</f>
        <v>not-provided</v>
      </c>
      <c r="D158" s="87" t="str">
        <f>'source-upstream'!D158</f>
        <v>Maintenance and replacement of utilities, equipment, parts for the ongoing operation of vehicles and plant.</v>
      </c>
      <c r="E158" s="71" t="str">
        <f>if('source-upstream'!E158="",'schema-yn'!$A$5,vlookup('source-upstream'!E158,YN_MAP,3,FALSE))</f>
        <v>not-provided</v>
      </c>
      <c r="F158" s="71" t="str">
        <f>if('source-upstream'!F158="",'schema-yn'!$A$5,vlookup('source-upstream'!F158,YN_MAP,3,FALSE))</f>
        <v>not-provided</v>
      </c>
      <c r="G158" s="71" t="str">
        <f>if('source-upstream'!G158="",'schema-yn'!$A$5,vlookup('source-upstream'!G158,YN_MAP,3,FALSE))</f>
        <v>not-provided</v>
      </c>
      <c r="H158" s="71" t="str">
        <f>if('source-upstream'!H158="",'schema-yn'!$A$5,vlookup('source-upstream'!H158,RESILIENCE_OPTION_MAP,3,FALSE))</f>
        <v>not-provided</v>
      </c>
      <c r="I158" s="71" t="str">
        <f>if(iserror(vlookup('source-upstream'!I158,'data-cleansing-maps'!N$5:N$10,1,FALSE)),'source-upstream'!I158,"")</f>
        <v/>
      </c>
      <c r="J158" s="87" t="str">
        <f>'source-upstream'!J158</f>
        <v>Maintenance and replacement of utilities, equioment, parts for the ongoing operation of vehicoles and plant.</v>
      </c>
      <c r="K158" s="71" t="str">
        <f>if('source-upstream'!K158="",'schema-yn'!$A$5,vlookup('source-upstream'!K158,YN_MAP,3,FALSE))</f>
        <v>not-provided</v>
      </c>
      <c r="L158" s="88" t="str">
        <f>if('source-upstream'!L158="Not provided","",'source-upstream'!L158)</f>
        <v/>
      </c>
      <c r="M158" s="66" t="str">
        <f>if('source-upstream'!M158="",'schema-rv-services'!$B$26,vlookup(vlookup('source-upstream'!$M158,'analysis-rv-services'!$C:$E,3,FALSE),'schema-rv-services'!$A:$B,2, FALSE))</f>
        <v>repairs-and-maintenance</v>
      </c>
      <c r="N158" s="71"/>
    </row>
    <row r="159" ht="15.0" customHeight="1">
      <c r="A159" s="86" t="str">
        <f>Substitute(SUBSTITUTE(substitute(substitute(substitute(substitute(substitute(substitute(substitute(lower('source-upstream'!A159)," ","-"),"(",""),")",""),"&gt;",""),"&lt;",""),"---","-"),".","-"),"--","-"),"&amp;","-and-")</f>
        <v>silent-rosella</v>
      </c>
      <c r="B159" s="86" t="str">
        <f>Substitute(SUBSTITUTE(substitute(substitute(substitute(substitute(substitute(substitute(substitute(lower('source-upstream'!B159)," ","-"),"(",""),")",""),"&gt;",""),"&lt;",""),"---","-"),".","-"),"--","-"),"&amp;","-and-")</f>
        <v>brave-kookaburra</v>
      </c>
      <c r="C159" s="71" t="str">
        <f>if('source-upstream'!C159="",'schema-frequency'!$B$11,vlookup('source-upstream'!C159,FREQUENCY_MAP, 3, FALSE))</f>
        <v>not-provided</v>
      </c>
      <c r="D159" s="87" t="str">
        <f>'source-upstream'!D159</f>
        <v>Maintenance and replacement of utilities, equipment, parts for the ongoing operation of vehicles and plant.</v>
      </c>
      <c r="E159" s="71" t="str">
        <f>if('source-upstream'!E159="",'schema-yn'!$A$5,vlookup('source-upstream'!E159,YN_MAP,3,FALSE))</f>
        <v>not-provided</v>
      </c>
      <c r="F159" s="71" t="str">
        <f>if('source-upstream'!F159="",'schema-yn'!$A$5,vlookup('source-upstream'!F159,YN_MAP,3,FALSE))</f>
        <v>not-provided</v>
      </c>
      <c r="G159" s="71" t="str">
        <f>if('source-upstream'!G159="",'schema-yn'!$A$5,vlookup('source-upstream'!G159,YN_MAP,3,FALSE))</f>
        <v>not-provided</v>
      </c>
      <c r="H159" s="71" t="str">
        <f>if('source-upstream'!H159="",'schema-yn'!$A$5,vlookup('source-upstream'!H159,RESILIENCE_OPTION_MAP,3,FALSE))</f>
        <v>not-provided</v>
      </c>
      <c r="I159" s="71" t="str">
        <f>if(iserror(vlookup('source-upstream'!I159,'data-cleansing-maps'!N$5:N$10,1,FALSE)),'source-upstream'!I159,"")</f>
        <v/>
      </c>
      <c r="J159" s="87" t="str">
        <f>'source-upstream'!J159</f>
        <v>Maintenance and replacement of utilities, equioment, parts for the ongoing operation of vehicoles and plant.</v>
      </c>
      <c r="K159" s="71" t="str">
        <f>if('source-upstream'!K159="",'schema-yn'!$A$5,vlookup('source-upstream'!K159,YN_MAP,3,FALSE))</f>
        <v>not-provided</v>
      </c>
      <c r="L159" s="88" t="str">
        <f>if('source-upstream'!L159="Not provided","",'source-upstream'!L159)</f>
        <v/>
      </c>
      <c r="M159" s="66" t="str">
        <f>if('source-upstream'!M159="",'schema-rv-services'!$B$26,vlookup(vlookup('source-upstream'!$M159,'analysis-rv-services'!$C:$E,3,FALSE),'schema-rv-services'!$A:$B,2, FALSE))</f>
        <v>repairs-and-maintenance</v>
      </c>
      <c r="N159" s="71"/>
    </row>
    <row r="160" ht="15.0" customHeight="1">
      <c r="A160" s="86" t="str">
        <f>Substitute(SUBSTITUTE(substitute(substitute(substitute(substitute(substitute(substitute(substitute(lower('source-upstream'!A160)," ","-"),"(",""),")",""),"&gt;",""),"&lt;",""),"---","-"),".","-"),"--","-"),"&amp;","-and-")</f>
        <v>silent-rosella</v>
      </c>
      <c r="B160" s="86" t="str">
        <f>Substitute(SUBSTITUTE(substitute(substitute(substitute(substitute(substitute(substitute(substitute(lower('source-upstream'!B160)," ","-"),"(",""),")",""),"&gt;",""),"&lt;",""),"---","-"),".","-"),"--","-"),"&amp;","-and-")</f>
        <v>green-tasmanian-devil</v>
      </c>
      <c r="C160" s="71" t="str">
        <f>if('source-upstream'!C160="",'schema-frequency'!$B$11,vlookup('source-upstream'!C160,FREQUENCY_MAP, 3, FALSE))</f>
        <v>not-provided</v>
      </c>
      <c r="D160" s="87" t="str">
        <f>'source-upstream'!D160</f>
        <v>Maintenance and replacement of utilities, equipment, parts for the ongoing operation of vehicles and plant.</v>
      </c>
      <c r="E160" s="71" t="str">
        <f>if('source-upstream'!E160="",'schema-yn'!$A$5,vlookup('source-upstream'!E160,YN_MAP,3,FALSE))</f>
        <v>not-provided</v>
      </c>
      <c r="F160" s="71" t="str">
        <f>if('source-upstream'!F160="",'schema-yn'!$A$5,vlookup('source-upstream'!F160,YN_MAP,3,FALSE))</f>
        <v>not-provided</v>
      </c>
      <c r="G160" s="71" t="str">
        <f>if('source-upstream'!G160="",'schema-yn'!$A$5,vlookup('source-upstream'!G160,YN_MAP,3,FALSE))</f>
        <v>not-provided</v>
      </c>
      <c r="H160" s="71" t="str">
        <f>if('source-upstream'!H160="",'schema-yn'!$A$5,vlookup('source-upstream'!H160,RESILIENCE_OPTION_MAP,3,FALSE))</f>
        <v>not-provided</v>
      </c>
      <c r="I160" s="71" t="str">
        <f>if(iserror(vlookup('source-upstream'!I160,'data-cleansing-maps'!N$5:N$10,1,FALSE)),'source-upstream'!I160,"")</f>
        <v/>
      </c>
      <c r="J160" s="87" t="str">
        <f>'source-upstream'!J160</f>
        <v>Maintenance and replacement of utilities, equioment, parts for the ongoing operation of vehicoles and plant.</v>
      </c>
      <c r="K160" s="71" t="str">
        <f>if('source-upstream'!K160="",'schema-yn'!$A$5,vlookup('source-upstream'!K160,YN_MAP,3,FALSE))</f>
        <v>not-provided</v>
      </c>
      <c r="L160" s="88" t="str">
        <f>if('source-upstream'!L160="Not provided","",'source-upstream'!L160)</f>
        <v/>
      </c>
      <c r="M160" s="66" t="str">
        <f>if('source-upstream'!M160="",'schema-rv-services'!$B$26,vlookup(vlookup('source-upstream'!$M160,'analysis-rv-services'!$C:$E,3,FALSE),'schema-rv-services'!$A:$B,2, FALSE))</f>
        <v>repairs-and-maintenance</v>
      </c>
      <c r="N160" s="71"/>
    </row>
    <row r="161" ht="15.0" customHeight="1">
      <c r="A161" s="86" t="str">
        <f>Substitute(SUBSTITUTE(substitute(substitute(substitute(substitute(substitute(substitute(substitute(lower('source-upstream'!A161)," ","-"),"(",""),")",""),"&gt;",""),"&lt;",""),"---","-"),".","-"),"--","-"),"&amp;","-and-")</f>
        <v>silent-rosella</v>
      </c>
      <c r="B161" s="86" t="str">
        <f>Substitute(SUBSTITUTE(substitute(substitute(substitute(substitute(substitute(substitute(substitute(lower('source-upstream'!B161)," ","-"),"(",""),")",""),"&gt;",""),"&lt;",""),"---","-"),".","-"),"--","-"),"&amp;","-and-")</f>
        <v>golden-fairy-penguin</v>
      </c>
      <c r="C161" s="71" t="str">
        <f>if('source-upstream'!C161="",'schema-frequency'!$B$11,vlookup('source-upstream'!C161,FREQUENCY_MAP, 3, FALSE))</f>
        <v>not-provided</v>
      </c>
      <c r="D161" s="87" t="str">
        <f>'source-upstream'!D161</f>
        <v>Maintenance and replacement of utilities, equipment, parts for the ongoing operation of vehicles and plant.</v>
      </c>
      <c r="E161" s="71" t="str">
        <f>if('source-upstream'!E161="",'schema-yn'!$A$5,vlookup('source-upstream'!E161,YN_MAP,3,FALSE))</f>
        <v>not-provided</v>
      </c>
      <c r="F161" s="71" t="str">
        <f>if('source-upstream'!F161="",'schema-yn'!$A$5,vlookup('source-upstream'!F161,YN_MAP,3,FALSE))</f>
        <v>not-provided</v>
      </c>
      <c r="G161" s="71" t="str">
        <f>if('source-upstream'!G161="",'schema-yn'!$A$5,vlookup('source-upstream'!G161,YN_MAP,3,FALSE))</f>
        <v>not-provided</v>
      </c>
      <c r="H161" s="71" t="str">
        <f>if('source-upstream'!H161="",'schema-yn'!$A$5,vlookup('source-upstream'!H161,RESILIENCE_OPTION_MAP,3,FALSE))</f>
        <v>not-provided</v>
      </c>
      <c r="I161" s="71" t="str">
        <f>if(iserror(vlookup('source-upstream'!I161,'data-cleansing-maps'!N$5:N$10,1,FALSE)),'source-upstream'!I161,"")</f>
        <v/>
      </c>
      <c r="J161" s="87" t="str">
        <f>'source-upstream'!J161</f>
        <v>Maintenance and replacement of utilities, equioment, parts for the ongoing operation of vehicoles and plant.</v>
      </c>
      <c r="K161" s="71" t="str">
        <f>if('source-upstream'!K161="",'schema-yn'!$A$5,vlookup('source-upstream'!K161,YN_MAP,3,FALSE))</f>
        <v>not-provided</v>
      </c>
      <c r="L161" s="88" t="str">
        <f>if('source-upstream'!L161="Not provided","",'source-upstream'!L161)</f>
        <v/>
      </c>
      <c r="M161" s="66" t="str">
        <f>if('source-upstream'!M161="",'schema-rv-services'!$B$26,vlookup(vlookup('source-upstream'!$M161,'analysis-rv-services'!$C:$E,3,FALSE),'schema-rv-services'!$A:$B,2, FALSE))</f>
        <v>repairs-and-maintenance</v>
      </c>
      <c r="N161" s="71"/>
    </row>
    <row r="162" ht="15.0" customHeight="1">
      <c r="A162" s="86" t="str">
        <f>Substitute(SUBSTITUTE(substitute(substitute(substitute(substitute(substitute(substitute(substitute(lower('source-upstream'!A162)," ","-"),"(",""),")",""),"&gt;",""),"&lt;",""),"---","-"),".","-"),"--","-"),"&amp;","-and-")</f>
        <v>silent-rosella</v>
      </c>
      <c r="B162" s="86" t="str">
        <f>Substitute(SUBSTITUTE(substitute(substitute(substitute(substitute(substitute(substitute(substitute(lower('source-upstream'!B162)," ","-"),"(",""),")",""),"&gt;",""),"&lt;",""),"---","-"),".","-"),"--","-"),"&amp;","-and-")</f>
        <v>clever-perentie</v>
      </c>
      <c r="C162" s="71" t="str">
        <f>if('source-upstream'!C162="",'schema-frequency'!$B$11,vlookup('source-upstream'!C162,FREQUENCY_MAP, 3, FALSE))</f>
        <v>not-provided</v>
      </c>
      <c r="D162" s="87" t="str">
        <f>'source-upstream'!D162</f>
        <v>Maintenance and replacement of utilities, equipment, parts for the ongoing operation of vehicles and plant.</v>
      </c>
      <c r="E162" s="71" t="str">
        <f>if('source-upstream'!E162="",'schema-yn'!$A$5,vlookup('source-upstream'!E162,YN_MAP,3,FALSE))</f>
        <v>not-provided</v>
      </c>
      <c r="F162" s="71" t="str">
        <f>if('source-upstream'!F162="",'schema-yn'!$A$5,vlookup('source-upstream'!F162,YN_MAP,3,FALSE))</f>
        <v>not-provided</v>
      </c>
      <c r="G162" s="71" t="str">
        <f>if('source-upstream'!G162="",'schema-yn'!$A$5,vlookup('source-upstream'!G162,YN_MAP,3,FALSE))</f>
        <v>not-provided</v>
      </c>
      <c r="H162" s="71" t="str">
        <f>if('source-upstream'!H162="",'schema-yn'!$A$5,vlookup('source-upstream'!H162,RESILIENCE_OPTION_MAP,3,FALSE))</f>
        <v>not-provided</v>
      </c>
      <c r="I162" s="71" t="str">
        <f>if(iserror(vlookup('source-upstream'!I162,'data-cleansing-maps'!N$5:N$10,1,FALSE)),'source-upstream'!I162,"")</f>
        <v/>
      </c>
      <c r="J162" s="87" t="str">
        <f>'source-upstream'!J162</f>
        <v>Maintenance and replacement of utilities, equioment, parts for the ongoing operation of vehicoles and plant.</v>
      </c>
      <c r="K162" s="71" t="str">
        <f>if('source-upstream'!K162="",'schema-yn'!$A$5,vlookup('source-upstream'!K162,YN_MAP,3,FALSE))</f>
        <v>not-provided</v>
      </c>
      <c r="L162" s="88" t="str">
        <f>if('source-upstream'!L162="Not provided","",'source-upstream'!L162)</f>
        <v/>
      </c>
      <c r="M162" s="66" t="str">
        <f>if('source-upstream'!M162="",'schema-rv-services'!$B$26,vlookup(vlookup('source-upstream'!$M162,'analysis-rv-services'!$C:$E,3,FALSE),'schema-rv-services'!$A:$B,2, FALSE))</f>
        <v>repairs-and-maintenance</v>
      </c>
      <c r="N162" s="71"/>
    </row>
    <row r="163" ht="15.0" customHeight="1">
      <c r="A163" s="86" t="str">
        <f>Substitute(SUBSTITUTE(substitute(substitute(substitute(substitute(substitute(substitute(substitute(lower('source-upstream'!A163)," ","-"),"(",""),")",""),"&gt;",""),"&lt;",""),"---","-"),".","-"),"--","-"),"&amp;","-and-")</f>
        <v>silent-rosella</v>
      </c>
      <c r="B163" s="86" t="str">
        <f>Substitute(SUBSTITUTE(substitute(substitute(substitute(substitute(substitute(substitute(substitute(lower('source-upstream'!B163)," ","-"),"(",""),")",""),"&gt;",""),"&lt;",""),"---","-"),".","-"),"--","-"),"&amp;","-and-")</f>
        <v>sleepy-bandicoot</v>
      </c>
      <c r="C163" s="71" t="str">
        <f>if('source-upstream'!C163="",'schema-frequency'!$B$11,vlookup('source-upstream'!C163,FREQUENCY_MAP, 3, FALSE))</f>
        <v>not-provided</v>
      </c>
      <c r="D163" s="87" t="str">
        <f>'source-upstream'!D163</f>
        <v>Maintenance and replacement of utilities, equipment, parts for the ongoing operation of vehicles and plant.</v>
      </c>
      <c r="E163" s="71" t="str">
        <f>if('source-upstream'!E163="",'schema-yn'!$A$5,vlookup('source-upstream'!E163,YN_MAP,3,FALSE))</f>
        <v>not-provided</v>
      </c>
      <c r="F163" s="71" t="str">
        <f>if('source-upstream'!F163="",'schema-yn'!$A$5,vlookup('source-upstream'!F163,YN_MAP,3,FALSE))</f>
        <v>not-provided</v>
      </c>
      <c r="G163" s="71" t="str">
        <f>if('source-upstream'!G163="",'schema-yn'!$A$5,vlookup('source-upstream'!G163,YN_MAP,3,FALSE))</f>
        <v>not-provided</v>
      </c>
      <c r="H163" s="71" t="str">
        <f>if('source-upstream'!H163="",'schema-yn'!$A$5,vlookup('source-upstream'!H163,RESILIENCE_OPTION_MAP,3,FALSE))</f>
        <v>not-provided</v>
      </c>
      <c r="I163" s="71" t="str">
        <f>if(iserror(vlookup('source-upstream'!I163,'data-cleansing-maps'!N$5:N$10,1,FALSE)),'source-upstream'!I163,"")</f>
        <v/>
      </c>
      <c r="J163" s="87" t="str">
        <f>'source-upstream'!J163</f>
        <v>Maintenance and replacement of utilities, equioment, parts for the ongoing operation of vehicoles and plant.</v>
      </c>
      <c r="K163" s="71" t="str">
        <f>if('source-upstream'!K163="",'schema-yn'!$A$5,vlookup('source-upstream'!K163,YN_MAP,3,FALSE))</f>
        <v>not-provided</v>
      </c>
      <c r="L163" s="88" t="str">
        <f>if('source-upstream'!L163="Not provided","",'source-upstream'!L163)</f>
        <v/>
      </c>
      <c r="M163" s="66" t="str">
        <f>if('source-upstream'!M163="",'schema-rv-services'!$B$26,vlookup(vlookup('source-upstream'!$M163,'analysis-rv-services'!$C:$E,3,FALSE),'schema-rv-services'!$A:$B,2, FALSE))</f>
        <v>repairs-and-maintenance</v>
      </c>
      <c r="N163" s="71"/>
    </row>
    <row r="164" ht="15.0" customHeight="1">
      <c r="A164" s="86" t="str">
        <f>Substitute(SUBSTITUTE(substitute(substitute(substitute(substitute(substitute(substitute(substitute(lower('source-upstream'!A164)," ","-"),"(",""),")",""),"&gt;",""),"&lt;",""),"---","-"),".","-"),"--","-"),"&amp;","-and-")</f>
        <v>silent-rosella</v>
      </c>
      <c r="B164" s="86" t="str">
        <f>Substitute(SUBSTITUTE(substitute(substitute(substitute(substitute(substitute(substitute(substitute(lower('source-upstream'!B164)," ","-"),"(",""),")",""),"&gt;",""),"&lt;",""),"---","-"),".","-"),"--","-"),"&amp;","-and-")</f>
        <v>blue-wallaby</v>
      </c>
      <c r="C164" s="71" t="str">
        <f>if('source-upstream'!C164="",'schema-frequency'!$B$11,vlookup('source-upstream'!C164,FREQUENCY_MAP, 3, FALSE))</f>
        <v>not-provided</v>
      </c>
      <c r="D164" s="87" t="str">
        <f>'source-upstream'!D164</f>
        <v>Maintenance and replacement of utilities, equipment, parts for the ongoing operation of vehicles and plant.</v>
      </c>
      <c r="E164" s="71" t="str">
        <f>if('source-upstream'!E164="",'schema-yn'!$A$5,vlookup('source-upstream'!E164,YN_MAP,3,FALSE))</f>
        <v>not-provided</v>
      </c>
      <c r="F164" s="71" t="str">
        <f>if('source-upstream'!F164="",'schema-yn'!$A$5,vlookup('source-upstream'!F164,YN_MAP,3,FALSE))</f>
        <v>not-provided</v>
      </c>
      <c r="G164" s="71" t="str">
        <f>if('source-upstream'!G164="",'schema-yn'!$A$5,vlookup('source-upstream'!G164,YN_MAP,3,FALSE))</f>
        <v>not-provided</v>
      </c>
      <c r="H164" s="71" t="str">
        <f>if('source-upstream'!H164="",'schema-yn'!$A$5,vlookup('source-upstream'!H164,RESILIENCE_OPTION_MAP,3,FALSE))</f>
        <v>not-provided</v>
      </c>
      <c r="I164" s="71" t="str">
        <f>if(iserror(vlookup('source-upstream'!I164,'data-cleansing-maps'!N$5:N$10,1,FALSE)),'source-upstream'!I164,"")</f>
        <v/>
      </c>
      <c r="J164" s="87" t="str">
        <f>'source-upstream'!J164</f>
        <v>Maintenance and replacement of utilities, equioment, parts for the ongoing operation of vehicoles and plant.</v>
      </c>
      <c r="K164" s="71" t="str">
        <f>if('source-upstream'!K164="",'schema-yn'!$A$5,vlookup('source-upstream'!K164,YN_MAP,3,FALSE))</f>
        <v>not-provided</v>
      </c>
      <c r="L164" s="88" t="str">
        <f>if('source-upstream'!L164="Not provided","",'source-upstream'!L164)</f>
        <v/>
      </c>
      <c r="M164" s="66" t="str">
        <f>if('source-upstream'!M164="",'schema-rv-services'!$B$26,vlookup(vlookup('source-upstream'!$M164,'analysis-rv-services'!$C:$E,3,FALSE),'schema-rv-services'!$A:$B,2, FALSE))</f>
        <v>repairs-and-maintenance</v>
      </c>
      <c r="N164" s="71"/>
    </row>
    <row r="165" ht="15.0" customHeight="1">
      <c r="A165" s="86" t="str">
        <f>Substitute(SUBSTITUTE(substitute(substitute(substitute(substitute(substitute(substitute(substitute(lower('source-upstream'!A165)," ","-"),"(",""),")",""),"&gt;",""),"&lt;",""),"---","-"),".","-"),"--","-"),"&amp;","-and-")</f>
        <v>silent-rosella</v>
      </c>
      <c r="B165" s="86" t="str">
        <f>Substitute(SUBSTITUTE(substitute(substitute(substitute(substitute(substitute(substitute(substitute(lower('source-upstream'!B165)," ","-"),"(",""),")",""),"&gt;",""),"&lt;",""),"---","-"),".","-"),"--","-"),"&amp;","-and-")</f>
        <v>blue-fairy-penguin</v>
      </c>
      <c r="C165" s="71" t="str">
        <f>if('source-upstream'!C165="",'schema-frequency'!$B$11,vlookup('source-upstream'!C165,FREQUENCY_MAP, 3, FALSE))</f>
        <v>not-provided</v>
      </c>
      <c r="D165" s="87" t="str">
        <f>'source-upstream'!D165</f>
        <v>Maintenance and replacement of utilities, equipment, parts for the ongoing operation of vehicles and plant.</v>
      </c>
      <c r="E165" s="71" t="str">
        <f>if('source-upstream'!E165="",'schema-yn'!$A$5,vlookup('source-upstream'!E165,YN_MAP,3,FALSE))</f>
        <v>not-provided</v>
      </c>
      <c r="F165" s="71" t="str">
        <f>if('source-upstream'!F165="",'schema-yn'!$A$5,vlookup('source-upstream'!F165,YN_MAP,3,FALSE))</f>
        <v>not-provided</v>
      </c>
      <c r="G165" s="71" t="str">
        <f>if('source-upstream'!G165="",'schema-yn'!$A$5,vlookup('source-upstream'!G165,YN_MAP,3,FALSE))</f>
        <v>not-provided</v>
      </c>
      <c r="H165" s="71" t="str">
        <f>if('source-upstream'!H165="",'schema-yn'!$A$5,vlookup('source-upstream'!H165,RESILIENCE_OPTION_MAP,3,FALSE))</f>
        <v>not-provided</v>
      </c>
      <c r="I165" s="71" t="str">
        <f>if(iserror(vlookup('source-upstream'!I165,'data-cleansing-maps'!N$5:N$10,1,FALSE)),'source-upstream'!I165,"")</f>
        <v/>
      </c>
      <c r="J165" s="87" t="str">
        <f>'source-upstream'!J165</f>
        <v>Maintenance and replacement of utilities, equioment, parts for the ongoing operation of vehicoles and plant.</v>
      </c>
      <c r="K165" s="71" t="str">
        <f>if('source-upstream'!K165="",'schema-yn'!$A$5,vlookup('source-upstream'!K165,YN_MAP,3,FALSE))</f>
        <v>not-provided</v>
      </c>
      <c r="L165" s="88" t="str">
        <f>if('source-upstream'!L165="Not provided","",'source-upstream'!L165)</f>
        <v/>
      </c>
      <c r="M165" s="66" t="str">
        <f>if('source-upstream'!M165="",'schema-rv-services'!$B$26,vlookup(vlookup('source-upstream'!$M165,'analysis-rv-services'!$C:$E,3,FALSE),'schema-rv-services'!$A:$B,2, FALSE))</f>
        <v>repairs-and-maintenance</v>
      </c>
      <c r="N165" s="71"/>
    </row>
    <row r="166" ht="15.0" customHeight="1">
      <c r="A166" s="86" t="str">
        <f>Substitute(SUBSTITUTE(substitute(substitute(substitute(substitute(substitute(substitute(substitute(lower('source-upstream'!A166)," ","-"),"(",""),")",""),"&gt;",""),"&lt;",""),"---","-"),".","-"),"--","-"),"&amp;","-and-")</f>
        <v>silent-rosella</v>
      </c>
      <c r="B166" s="86" t="str">
        <f>Substitute(SUBSTITUTE(substitute(substitute(substitute(substitute(substitute(substitute(substitute(lower('source-upstream'!B166)," ","-"),"(",""),")",""),"&gt;",""),"&lt;",""),"---","-"),".","-"),"--","-"),"&amp;","-and-")</f>
        <v>brave-perentie</v>
      </c>
      <c r="C166" s="71" t="str">
        <f>if('source-upstream'!C166="",'schema-frequency'!$B$11,vlookup('source-upstream'!C166,FREQUENCY_MAP, 3, FALSE))</f>
        <v>not-provided</v>
      </c>
      <c r="D166" s="87" t="str">
        <f>'source-upstream'!D166</f>
        <v>Maintenance and replacement of utilities, equipment, parts for the ongoing operation of vehicles and plant.</v>
      </c>
      <c r="E166" s="71" t="str">
        <f>if('source-upstream'!E166="",'schema-yn'!$A$5,vlookup('source-upstream'!E166,YN_MAP,3,FALSE))</f>
        <v>not-provided</v>
      </c>
      <c r="F166" s="71" t="str">
        <f>if('source-upstream'!F166="",'schema-yn'!$A$5,vlookup('source-upstream'!F166,YN_MAP,3,FALSE))</f>
        <v>not-provided</v>
      </c>
      <c r="G166" s="71" t="str">
        <f>if('source-upstream'!G166="",'schema-yn'!$A$5,vlookup('source-upstream'!G166,YN_MAP,3,FALSE))</f>
        <v>not-provided</v>
      </c>
      <c r="H166" s="71" t="str">
        <f>if('source-upstream'!H166="",'schema-yn'!$A$5,vlookup('source-upstream'!H166,RESILIENCE_OPTION_MAP,3,FALSE))</f>
        <v>not-provided</v>
      </c>
      <c r="I166" s="71" t="str">
        <f>if(iserror(vlookup('source-upstream'!I166,'data-cleansing-maps'!N$5:N$10,1,FALSE)),'source-upstream'!I166,"")</f>
        <v/>
      </c>
      <c r="J166" s="87" t="str">
        <f>'source-upstream'!J166</f>
        <v>Maintenance and replacement of utilities, equioment, parts for the ongoing operation of vehicoles and plant.</v>
      </c>
      <c r="K166" s="71" t="str">
        <f>if('source-upstream'!K166="",'schema-yn'!$A$5,vlookup('source-upstream'!K166,YN_MAP,3,FALSE))</f>
        <v>not-provided</v>
      </c>
      <c r="L166" s="88" t="str">
        <f>if('source-upstream'!L166="Not provided","",'source-upstream'!L166)</f>
        <v/>
      </c>
      <c r="M166" s="66" t="str">
        <f>if('source-upstream'!M166="",'schema-rv-services'!$B$26,vlookup(vlookup('source-upstream'!$M166,'analysis-rv-services'!$C:$E,3,FALSE),'schema-rv-services'!$A:$B,2, FALSE))</f>
        <v>repairs-and-maintenance</v>
      </c>
      <c r="N166" s="71"/>
    </row>
    <row r="167" ht="15.0" customHeight="1">
      <c r="A167" s="86" t="str">
        <f>Substitute(SUBSTITUTE(substitute(substitute(substitute(substitute(substitute(substitute(substitute(lower('source-upstream'!A167)," ","-"),"(",""),")",""),"&gt;",""),"&lt;",""),"---","-"),".","-"),"--","-"),"&amp;","-and-")</f>
        <v>silent-rosella</v>
      </c>
      <c r="B167" s="86" t="str">
        <f>Substitute(SUBSTITUTE(substitute(substitute(substitute(substitute(substitute(substitute(substitute(lower('source-upstream'!B167)," ","-"),"(",""),")",""),"&gt;",""),"&lt;",""),"---","-"),".","-"),"--","-"),"&amp;","-and-")</f>
        <v>lazy-goanna</v>
      </c>
      <c r="C167" s="71" t="str">
        <f>if('source-upstream'!C167="",'schema-frequency'!$B$11,vlookup('source-upstream'!C167,FREQUENCY_MAP, 3, FALSE))</f>
        <v>not-provided</v>
      </c>
      <c r="D167" s="87" t="str">
        <f>'source-upstream'!D167</f>
        <v>Maintenance and replacement of utilities, equipment, parts for the ongoing operation of vehicles and plant.</v>
      </c>
      <c r="E167" s="71" t="str">
        <f>if('source-upstream'!E167="",'schema-yn'!$A$5,vlookup('source-upstream'!E167,YN_MAP,3,FALSE))</f>
        <v>not-provided</v>
      </c>
      <c r="F167" s="71" t="str">
        <f>if('source-upstream'!F167="",'schema-yn'!$A$5,vlookup('source-upstream'!F167,YN_MAP,3,FALSE))</f>
        <v>not-provided</v>
      </c>
      <c r="G167" s="71" t="str">
        <f>if('source-upstream'!G167="",'schema-yn'!$A$5,vlookup('source-upstream'!G167,YN_MAP,3,FALSE))</f>
        <v>not-provided</v>
      </c>
      <c r="H167" s="71" t="str">
        <f>if('source-upstream'!H167="",'schema-yn'!$A$5,vlookup('source-upstream'!H167,RESILIENCE_OPTION_MAP,3,FALSE))</f>
        <v>not-provided</v>
      </c>
      <c r="I167" s="71" t="str">
        <f>if(iserror(vlookup('source-upstream'!I167,'data-cleansing-maps'!N$5:N$10,1,FALSE)),'source-upstream'!I167,"")</f>
        <v/>
      </c>
      <c r="J167" s="87" t="str">
        <f>'source-upstream'!J167</f>
        <v>Maintenance and replacement of utilities, equioment, parts for the ongoing operation of vehicoles and plant.</v>
      </c>
      <c r="K167" s="71" t="str">
        <f>if('source-upstream'!K167="",'schema-yn'!$A$5,vlookup('source-upstream'!K167,YN_MAP,3,FALSE))</f>
        <v>not-provided</v>
      </c>
      <c r="L167" s="88" t="str">
        <f>if('source-upstream'!L167="Not provided","",'source-upstream'!L167)</f>
        <v/>
      </c>
      <c r="M167" s="66" t="str">
        <f>if('source-upstream'!M167="",'schema-rv-services'!$B$26,vlookup(vlookup('source-upstream'!$M167,'analysis-rv-services'!$C:$E,3,FALSE),'schema-rv-services'!$A:$B,2, FALSE))</f>
        <v>repairs-and-maintenance</v>
      </c>
      <c r="N167" s="71"/>
    </row>
    <row r="168" ht="15.0" customHeight="1">
      <c r="A168" s="86" t="str">
        <f>Substitute(SUBSTITUTE(substitute(substitute(substitute(substitute(substitute(substitute(substitute(lower('source-upstream'!A168)," ","-"),"(",""),")",""),"&gt;",""),"&lt;",""),"---","-"),".","-"),"--","-"),"&amp;","-and-")</f>
        <v>silent-rosella</v>
      </c>
      <c r="B168" s="86" t="str">
        <f>Substitute(SUBSTITUTE(substitute(substitute(substitute(substitute(substitute(substitute(substitute(lower('source-upstream'!B168)," ","-"),"(",""),")",""),"&gt;",""),"&lt;",""),"---","-"),".","-"),"--","-"),"&amp;","-and-")</f>
        <v>sleepy-cassowary</v>
      </c>
      <c r="C168" s="71" t="str">
        <f>if('source-upstream'!C168="",'schema-frequency'!$B$11,vlookup('source-upstream'!C168,FREQUENCY_MAP, 3, FALSE))</f>
        <v>not-provided</v>
      </c>
      <c r="D168" s="87" t="str">
        <f>'source-upstream'!D168</f>
        <v>Electricity</v>
      </c>
      <c r="E168" s="71" t="str">
        <f>if('source-upstream'!E168="",'schema-yn'!$A$5,vlookup('source-upstream'!E168,YN_MAP,3,FALSE))</f>
        <v>not-provided</v>
      </c>
      <c r="F168" s="71" t="str">
        <f>if('source-upstream'!F168="",'schema-yn'!$A$5,vlookup('source-upstream'!F168,YN_MAP,3,FALSE))</f>
        <v>not-provided</v>
      </c>
      <c r="G168" s="71" t="str">
        <f>if('source-upstream'!G168="",'schema-yn'!$A$5,vlookup('source-upstream'!G168,YN_MAP,3,FALSE))</f>
        <v>not-provided</v>
      </c>
      <c r="H168" s="71" t="str">
        <f>if('source-upstream'!H168="",'schema-yn'!$A$5,vlookup('source-upstream'!H168,RESILIENCE_OPTION_MAP,3,FALSE))</f>
        <v>not-provided</v>
      </c>
      <c r="I168" s="71" t="str">
        <f>if(iserror(vlookup('source-upstream'!I168,'data-cleansing-maps'!N$5:N$10,1,FALSE)),'source-upstream'!I168,"")</f>
        <v/>
      </c>
      <c r="J168" s="87" t="str">
        <f>'source-upstream'!J168</f>
        <v>No comments provided</v>
      </c>
      <c r="K168" s="71" t="str">
        <f>if('source-upstream'!K168="",'schema-yn'!$A$5,vlookup('source-upstream'!K168,YN_MAP,3,FALSE))</f>
        <v>not-provided</v>
      </c>
      <c r="L168" s="88" t="str">
        <f>if('source-upstream'!L168="Not provided","",'source-upstream'!L168)</f>
        <v/>
      </c>
      <c r="M168" s="66" t="str">
        <f>if('source-upstream'!M168="",'schema-rv-services'!$B$26,vlookup(vlookup('source-upstream'!$M168,'analysis-rv-services'!$C:$E,3,FALSE),'schema-rv-services'!$A:$B,2, FALSE))</f>
        <v>power</v>
      </c>
      <c r="N168" s="71"/>
    </row>
    <row r="169" ht="15.0" customHeight="1">
      <c r="A169" s="86" t="str">
        <f>Substitute(SUBSTITUTE(substitute(substitute(substitute(substitute(substitute(substitute(substitute(lower('source-upstream'!A169)," ","-"),"(",""),")",""),"&gt;",""),"&lt;",""),"---","-"),".","-"),"--","-"),"&amp;","-and-")</f>
        <v>silent-rosella</v>
      </c>
      <c r="B169" s="86" t="str">
        <f>Substitute(SUBSTITUTE(substitute(substitute(substitute(substitute(substitute(substitute(substitute(lower('source-upstream'!B169)," ","-"),"(",""),")",""),"&gt;",""),"&lt;",""),"---","-"),".","-"),"--","-"),"&amp;","-and-")</f>
        <v>fuzzy-platypus</v>
      </c>
      <c r="C169" s="71" t="str">
        <f>if('source-upstream'!C169="",'schema-frequency'!$B$11,vlookup('source-upstream'!C169,FREQUENCY_MAP, 3, FALSE))</f>
        <v>not-provided</v>
      </c>
      <c r="D169" s="87" t="str">
        <f>'source-upstream'!D169</f>
        <v>Water supply</v>
      </c>
      <c r="E169" s="71" t="str">
        <f>if('source-upstream'!E169="",'schema-yn'!$A$5,vlookup('source-upstream'!E169,YN_MAP,3,FALSE))</f>
        <v>not-provided</v>
      </c>
      <c r="F169" s="71" t="str">
        <f>if('source-upstream'!F169="",'schema-yn'!$A$5,vlookup('source-upstream'!F169,YN_MAP,3,FALSE))</f>
        <v>not-provided</v>
      </c>
      <c r="G169" s="71" t="str">
        <f>if('source-upstream'!G169="",'schema-yn'!$A$5,vlookup('source-upstream'!G169,YN_MAP,3,FALSE))</f>
        <v>not-provided</v>
      </c>
      <c r="H169" s="71" t="str">
        <f>if('source-upstream'!H169="",'schema-yn'!$A$5,vlookup('source-upstream'!H169,RESILIENCE_OPTION_MAP,3,FALSE))</f>
        <v>not-provided</v>
      </c>
      <c r="I169" s="71" t="str">
        <f>if(iserror(vlookup('source-upstream'!I169,'data-cleansing-maps'!N$5:N$10,1,FALSE)),'source-upstream'!I169,"")</f>
        <v/>
      </c>
      <c r="J169" s="87" t="str">
        <f>'source-upstream'!J169</f>
        <v>No comments provided</v>
      </c>
      <c r="K169" s="71" t="str">
        <f>if('source-upstream'!K169="",'schema-yn'!$A$5,vlookup('source-upstream'!K169,YN_MAP,3,FALSE))</f>
        <v>not-provided</v>
      </c>
      <c r="L169" s="88" t="str">
        <f>if('source-upstream'!L169="Not provided","",'source-upstream'!L169)</f>
        <v/>
      </c>
      <c r="M169" s="66" t="str">
        <f>if('source-upstream'!M169="",'schema-rv-services'!$B$26,vlookup(vlookup('source-upstream'!$M169,'analysis-rv-services'!$C:$E,3,FALSE),'schema-rv-services'!$A:$B,2, FALSE))</f>
        <v>water</v>
      </c>
      <c r="N169" s="71"/>
    </row>
    <row r="170" ht="15.0" customHeight="1">
      <c r="A170" s="86" t="str">
        <f>Substitute(SUBSTITUTE(substitute(substitute(substitute(substitute(substitute(substitute(substitute(lower('source-upstream'!A170)," ","-"),"(",""),")",""),"&gt;",""),"&lt;",""),"---","-"),".","-"),"--","-"),"&amp;","-and-")</f>
        <v>silent-rosella</v>
      </c>
      <c r="B170" s="86" t="str">
        <f>Substitute(SUBSTITUTE(substitute(substitute(substitute(substitute(substitute(substitute(substitute(lower('source-upstream'!B170)," ","-"),"(",""),")",""),"&gt;",""),"&lt;",""),"---","-"),".","-"),"--","-"),"&amp;","-and-")</f>
        <v>wild-dingo</v>
      </c>
      <c r="C170" s="71" t="str">
        <f>if('source-upstream'!C170="",'schema-frequency'!$B$11,vlookup('source-upstream'!C170,FREQUENCY_MAP, 3, FALSE))</f>
        <v>not-provided</v>
      </c>
      <c r="D170" s="87" t="str">
        <f>'source-upstream'!D170</f>
        <v>Electricity</v>
      </c>
      <c r="E170" s="71" t="str">
        <f>if('source-upstream'!E170="",'schema-yn'!$A$5,vlookup('source-upstream'!E170,YN_MAP,3,FALSE))</f>
        <v>not-provided</v>
      </c>
      <c r="F170" s="71" t="str">
        <f>if('source-upstream'!F170="",'schema-yn'!$A$5,vlookup('source-upstream'!F170,YN_MAP,3,FALSE))</f>
        <v>not-provided</v>
      </c>
      <c r="G170" s="71" t="str">
        <f>if('source-upstream'!G170="",'schema-yn'!$A$5,vlookup('source-upstream'!G170,YN_MAP,3,FALSE))</f>
        <v>not-provided</v>
      </c>
      <c r="H170" s="71" t="str">
        <f>if('source-upstream'!H170="",'schema-yn'!$A$5,vlookup('source-upstream'!H170,RESILIENCE_OPTION_MAP,3,FALSE))</f>
        <v>not-provided</v>
      </c>
      <c r="I170" s="71" t="str">
        <f>if(iserror(vlookup('source-upstream'!I170,'data-cleansing-maps'!N$5:N$10,1,FALSE)),'source-upstream'!I170,"")</f>
        <v/>
      </c>
      <c r="J170" s="87" t="str">
        <f>'source-upstream'!J170</f>
        <v>No comments provided</v>
      </c>
      <c r="K170" s="71" t="str">
        <f>if('source-upstream'!K170="",'schema-yn'!$A$5,vlookup('source-upstream'!K170,YN_MAP,3,FALSE))</f>
        <v>not-provided</v>
      </c>
      <c r="L170" s="88" t="str">
        <f>if('source-upstream'!L170="Not provided","",'source-upstream'!L170)</f>
        <v/>
      </c>
      <c r="M170" s="66" t="str">
        <f>if('source-upstream'!M170="",'schema-rv-services'!$B$26,vlookup(vlookup('source-upstream'!$M170,'analysis-rv-services'!$C:$E,3,FALSE),'schema-rv-services'!$A:$B,2, FALSE))</f>
        <v>power</v>
      </c>
      <c r="N170" s="71"/>
    </row>
    <row r="171" ht="15.0" customHeight="1">
      <c r="A171" s="86" t="str">
        <f>Substitute(SUBSTITUTE(substitute(substitute(substitute(substitute(substitute(substitute(substitute(lower('source-upstream'!A171)," ","-"),"(",""),")",""),"&gt;",""),"&lt;",""),"---","-"),".","-"),"--","-"),"&amp;","-and-")</f>
        <v>silent-rosella</v>
      </c>
      <c r="B171" s="86" t="str">
        <f>Substitute(SUBSTITUTE(substitute(substitute(substitute(substitute(substitute(substitute(substitute(lower('source-upstream'!B171)," ","-"),"(",""),")",""),"&gt;",""),"&lt;",""),"---","-"),".","-"),"--","-"),"&amp;","-and-")</f>
        <v>swift-bush-stone-curlew</v>
      </c>
      <c r="C171" s="71" t="str">
        <f>if('source-upstream'!C171="",'schema-frequency'!$B$11,vlookup('source-upstream'!C171,FREQUENCY_MAP, 3, FALSE))</f>
        <v>not-provided</v>
      </c>
      <c r="D171" s="87" t="str">
        <f>'source-upstream'!D171</f>
        <v>Water supply</v>
      </c>
      <c r="E171" s="71" t="str">
        <f>if('source-upstream'!E171="",'schema-yn'!$A$5,vlookup('source-upstream'!E171,YN_MAP,3,FALSE))</f>
        <v>not-provided</v>
      </c>
      <c r="F171" s="71" t="str">
        <f>if('source-upstream'!F171="",'schema-yn'!$A$5,vlookup('source-upstream'!F171,YN_MAP,3,FALSE))</f>
        <v>not-provided</v>
      </c>
      <c r="G171" s="71" t="str">
        <f>if('source-upstream'!G171="",'schema-yn'!$A$5,vlookup('source-upstream'!G171,YN_MAP,3,FALSE))</f>
        <v>not-provided</v>
      </c>
      <c r="H171" s="71" t="str">
        <f>if('source-upstream'!H171="",'schema-yn'!$A$5,vlookup('source-upstream'!H171,RESILIENCE_OPTION_MAP,3,FALSE))</f>
        <v>not-provided</v>
      </c>
      <c r="I171" s="71" t="str">
        <f>if(iserror(vlookup('source-upstream'!I171,'data-cleansing-maps'!N$5:N$10,1,FALSE)),'source-upstream'!I171,"")</f>
        <v/>
      </c>
      <c r="J171" s="87" t="str">
        <f>'source-upstream'!J171</f>
        <v>No comments provided</v>
      </c>
      <c r="K171" s="71" t="str">
        <f>if('source-upstream'!K171="",'schema-yn'!$A$5,vlookup('source-upstream'!K171,YN_MAP,3,FALSE))</f>
        <v>not-provided</v>
      </c>
      <c r="L171" s="88" t="str">
        <f>if('source-upstream'!L171="Not provided","",'source-upstream'!L171)</f>
        <v/>
      </c>
      <c r="M171" s="66" t="str">
        <f>if('source-upstream'!M171="",'schema-rv-services'!$B$26,vlookup(vlookup('source-upstream'!$M171,'analysis-rv-services'!$C:$E,3,FALSE),'schema-rv-services'!$A:$B,2, FALSE))</f>
        <v>water</v>
      </c>
      <c r="N171" s="71"/>
    </row>
    <row r="172" ht="15.0" customHeight="1">
      <c r="A172" s="86" t="str">
        <f>Substitute(SUBSTITUTE(substitute(substitute(substitute(substitute(substitute(substitute(substitute(lower('source-upstream'!A172)," ","-"),"(",""),")",""),"&gt;",""),"&lt;",""),"---","-"),".","-"),"--","-"),"&amp;","-and-")</f>
        <v>silent-rosella</v>
      </c>
      <c r="B172" s="86" t="str">
        <f>Substitute(SUBSTITUTE(substitute(substitute(substitute(substitute(substitute(substitute(substitute(lower('source-upstream'!B172)," ","-"),"(",""),")",""),"&gt;",""),"&lt;",""),"---","-"),".","-"),"--","-"),"&amp;","-and-")</f>
        <v>sleepy-platypus</v>
      </c>
      <c r="C172" s="71" t="str">
        <f>if('source-upstream'!C172="",'schema-frequency'!$B$11,vlookup('source-upstream'!C172,FREQUENCY_MAP, 3, FALSE))</f>
        <v>not-provided</v>
      </c>
      <c r="D172" s="87" t="str">
        <f>'source-upstream'!D172</f>
        <v>Electricity</v>
      </c>
      <c r="E172" s="71" t="str">
        <f>if('source-upstream'!E172="",'schema-yn'!$A$5,vlookup('source-upstream'!E172,YN_MAP,3,FALSE))</f>
        <v>not-provided</v>
      </c>
      <c r="F172" s="71" t="str">
        <f>if('source-upstream'!F172="",'schema-yn'!$A$5,vlookup('source-upstream'!F172,YN_MAP,3,FALSE))</f>
        <v>not-provided</v>
      </c>
      <c r="G172" s="71" t="str">
        <f>if('source-upstream'!G172="",'schema-yn'!$A$5,vlookup('source-upstream'!G172,YN_MAP,3,FALSE))</f>
        <v>not-provided</v>
      </c>
      <c r="H172" s="71" t="str">
        <f>if('source-upstream'!H172="",'schema-yn'!$A$5,vlookup('source-upstream'!H172,RESILIENCE_OPTION_MAP,3,FALSE))</f>
        <v>not-provided</v>
      </c>
      <c r="I172" s="71" t="str">
        <f>if(iserror(vlookup('source-upstream'!I172,'data-cleansing-maps'!N$5:N$10,1,FALSE)),'source-upstream'!I172,"")</f>
        <v/>
      </c>
      <c r="J172" s="87" t="str">
        <f>'source-upstream'!J172</f>
        <v>No comments provided</v>
      </c>
      <c r="K172" s="71" t="str">
        <f>if('source-upstream'!K172="",'schema-yn'!$A$5,vlookup('source-upstream'!K172,YN_MAP,3,FALSE))</f>
        <v>not-provided</v>
      </c>
      <c r="L172" s="88" t="str">
        <f>if('source-upstream'!L172="Not provided","",'source-upstream'!L172)</f>
        <v/>
      </c>
      <c r="M172" s="66" t="str">
        <f>if('source-upstream'!M172="",'schema-rv-services'!$B$26,vlookup(vlookup('source-upstream'!$M172,'analysis-rv-services'!$C:$E,3,FALSE),'schema-rv-services'!$A:$B,2, FALSE))</f>
        <v>power</v>
      </c>
      <c r="N172" s="71"/>
    </row>
    <row r="173" ht="15.0" customHeight="1">
      <c r="A173" s="86" t="str">
        <f>Substitute(SUBSTITUTE(substitute(substitute(substitute(substitute(substitute(substitute(substitute(lower('source-upstream'!A173)," ","-"),"(",""),")",""),"&gt;",""),"&lt;",""),"---","-"),".","-"),"--","-"),"&amp;","-and-")</f>
        <v>silent-rosella</v>
      </c>
      <c r="B173" s="86" t="str">
        <f>Substitute(SUBSTITUTE(substitute(substitute(substitute(substitute(substitute(substitute(substitute(lower('source-upstream'!B173)," ","-"),"(",""),")",""),"&gt;",""),"&lt;",""),"---","-"),".","-"),"--","-"),"&amp;","-and-")</f>
        <v>giant-blue-tongue-skink</v>
      </c>
      <c r="C173" s="71" t="str">
        <f>if('source-upstream'!C173="",'schema-frequency'!$B$11,vlookup('source-upstream'!C173,FREQUENCY_MAP, 3, FALSE))</f>
        <v>not-provided</v>
      </c>
      <c r="D173" s="87" t="str">
        <f>'source-upstream'!D173</f>
        <v>Water supply</v>
      </c>
      <c r="E173" s="71" t="str">
        <f>if('source-upstream'!E173="",'schema-yn'!$A$5,vlookup('source-upstream'!E173,YN_MAP,3,FALSE))</f>
        <v>not-provided</v>
      </c>
      <c r="F173" s="71" t="str">
        <f>if('source-upstream'!F173="",'schema-yn'!$A$5,vlookup('source-upstream'!F173,YN_MAP,3,FALSE))</f>
        <v>not-provided</v>
      </c>
      <c r="G173" s="71" t="str">
        <f>if('source-upstream'!G173="",'schema-yn'!$A$5,vlookup('source-upstream'!G173,YN_MAP,3,FALSE))</f>
        <v>not-provided</v>
      </c>
      <c r="H173" s="71" t="str">
        <f>if('source-upstream'!H173="",'schema-yn'!$A$5,vlookup('source-upstream'!H173,RESILIENCE_OPTION_MAP,3,FALSE))</f>
        <v>not-provided</v>
      </c>
      <c r="I173" s="71" t="str">
        <f>if(iserror(vlookup('source-upstream'!I173,'data-cleansing-maps'!N$5:N$10,1,FALSE)),'source-upstream'!I173,"")</f>
        <v/>
      </c>
      <c r="J173" s="87" t="str">
        <f>'source-upstream'!J173</f>
        <v>No comments provided</v>
      </c>
      <c r="K173" s="71" t="str">
        <f>if('source-upstream'!K173="",'schema-yn'!$A$5,vlookup('source-upstream'!K173,YN_MAP,3,FALSE))</f>
        <v>not-provided</v>
      </c>
      <c r="L173" s="88" t="str">
        <f>if('source-upstream'!L173="Not provided","",'source-upstream'!L173)</f>
        <v/>
      </c>
      <c r="M173" s="66" t="str">
        <f>if('source-upstream'!M173="",'schema-rv-services'!$B$26,vlookup(vlookup('source-upstream'!$M173,'analysis-rv-services'!$C:$E,3,FALSE),'schema-rv-services'!$A:$B,2, FALSE))</f>
        <v>waste-collection</v>
      </c>
      <c r="N173" s="71"/>
    </row>
    <row r="174" ht="15.0" customHeight="1">
      <c r="A174" s="86" t="str">
        <f>Substitute(SUBSTITUTE(substitute(substitute(substitute(substitute(substitute(substitute(substitute(lower('source-upstream'!A174)," ","-"),"(",""),")",""),"&gt;",""),"&lt;",""),"---","-"),".","-"),"--","-"),"&amp;","-and-")</f>
        <v>silent-rosella</v>
      </c>
      <c r="B174" s="86" t="str">
        <f>Substitute(SUBSTITUTE(substitute(substitute(substitute(substitute(substitute(substitute(substitute(lower('source-upstream'!B174)," ","-"),"(",""),")",""),"&gt;",""),"&lt;",""),"---","-"),".","-"),"--","-"),"&amp;","-and-")</f>
        <v>yellow-redback-spider</v>
      </c>
      <c r="C174" s="71" t="str">
        <f>if('source-upstream'!C174="",'schema-frequency'!$B$11,vlookup('source-upstream'!C174,FREQUENCY_MAP, 3, FALSE))</f>
        <v>not-provided</v>
      </c>
      <c r="D174" s="87" t="str">
        <f>'source-upstream'!D174</f>
        <v>Water supply</v>
      </c>
      <c r="E174" s="71" t="str">
        <f>if('source-upstream'!E174="",'schema-yn'!$A$5,vlookup('source-upstream'!E174,YN_MAP,3,FALSE))</f>
        <v>not-provided</v>
      </c>
      <c r="F174" s="71" t="str">
        <f>if('source-upstream'!F174="",'schema-yn'!$A$5,vlookup('source-upstream'!F174,YN_MAP,3,FALSE))</f>
        <v>not-provided</v>
      </c>
      <c r="G174" s="71" t="str">
        <f>if('source-upstream'!G174="",'schema-yn'!$A$5,vlookup('source-upstream'!G174,YN_MAP,3,FALSE))</f>
        <v>not-provided</v>
      </c>
      <c r="H174" s="71" t="str">
        <f>if('source-upstream'!H174="",'schema-yn'!$A$5,vlookup('source-upstream'!H174,RESILIENCE_OPTION_MAP,3,FALSE))</f>
        <v>not-provided</v>
      </c>
      <c r="I174" s="71" t="str">
        <f>if(iserror(vlookup('source-upstream'!I174,'data-cleansing-maps'!N$5:N$10,1,FALSE)),'source-upstream'!I174,"")</f>
        <v/>
      </c>
      <c r="J174" s="87" t="str">
        <f>'source-upstream'!J174</f>
        <v>No comments provided</v>
      </c>
      <c r="K174" s="71" t="str">
        <f>if('source-upstream'!K174="",'schema-yn'!$A$5,vlookup('source-upstream'!K174,YN_MAP,3,FALSE))</f>
        <v>not-provided</v>
      </c>
      <c r="L174" s="88" t="str">
        <f>if('source-upstream'!L174="Not provided","",'source-upstream'!L174)</f>
        <v/>
      </c>
      <c r="M174" s="66" t="str">
        <f>if('source-upstream'!M174="",'schema-rv-services'!$B$26,vlookup(vlookup('source-upstream'!$M174,'analysis-rv-services'!$C:$E,3,FALSE),'schema-rv-services'!$A:$B,2, FALSE))</f>
        <v>waste-collection</v>
      </c>
      <c r="N174" s="71"/>
    </row>
    <row r="175" ht="15.0" customHeight="1">
      <c r="A175" s="86" t="str">
        <f>Substitute(SUBSTITUTE(substitute(substitute(substitute(substitute(substitute(substitute(substitute(lower('source-upstream'!A175)," ","-"),"(",""),")",""),"&gt;",""),"&lt;",""),"---","-"),".","-"),"--","-"),"&amp;","-and-")</f>
        <v>spotted-cockatoo</v>
      </c>
      <c r="B175" s="86" t="str">
        <f>Substitute(SUBSTITUTE(substitute(substitute(substitute(substitute(substitute(substitute(substitute(lower('source-upstream'!B175)," ","-"),"(",""),")",""),"&gt;",""),"&lt;",""),"---","-"),".","-"),"--","-"),"&amp;","-and-")</f>
        <v>happy-perentie</v>
      </c>
      <c r="C175" s="71" t="str">
        <f>if('source-upstream'!C175="",'schema-frequency'!$B$11,vlookup('source-upstream'!C175,FREQUENCY_MAP, 3, FALSE))</f>
        <v>not-provided</v>
      </c>
      <c r="D175" s="87" t="str">
        <f>'source-upstream'!D175</f>
        <v>Transport</v>
      </c>
      <c r="E175" s="71" t="str">
        <f>if('source-upstream'!E175="",'schema-yn'!$A$5,vlookup('source-upstream'!E175,YN_MAP,3,FALSE))</f>
        <v>yes</v>
      </c>
      <c r="F175" s="71" t="str">
        <f>if('source-upstream'!F175="",'schema-yn'!$A$5,vlookup('source-upstream'!F175,YN_MAP,3,FALSE))</f>
        <v>no</v>
      </c>
      <c r="G175" s="71" t="str">
        <f>if('source-upstream'!G175="",'schema-yn'!$A$5,vlookup('source-upstream'!G175,YN_MAP,3,FALSE))</f>
        <v>yes</v>
      </c>
      <c r="H175" s="71" t="str">
        <f>if('source-upstream'!H175="",'schema-yn'!$A$5,vlookup('source-upstream'!H175,RESILIENCE_OPTION_MAP,3,FALSE))</f>
        <v>alternative-supplier</v>
      </c>
      <c r="I175" s="71" t="str">
        <f>if(iserror(vlookup('source-upstream'!I175,'data-cleansing-maps'!N$5:N$10,1,FALSE)),'source-upstream'!I175,"")</f>
        <v/>
      </c>
      <c r="J175" s="87" t="str">
        <f>'source-upstream'!J175</f>
        <v>No comments provided</v>
      </c>
      <c r="K175" s="71" t="str">
        <f>if('source-upstream'!K175="",'schema-yn'!$A$5,vlookup('source-upstream'!K175,YN_MAP,3,FALSE))</f>
        <v>not-provided</v>
      </c>
      <c r="L175" s="88" t="str">
        <f>if('source-upstream'!L175="Not provided","",'source-upstream'!L175)</f>
        <v/>
      </c>
      <c r="M175" s="66" t="str">
        <f>if('source-upstream'!M175="",'schema-rv-services'!$B$26,vlookup(vlookup('source-upstream'!$M175,'analysis-rv-services'!$C:$E,3,FALSE),'schema-rv-services'!$A:$B,2, FALSE))</f>
        <v>transport</v>
      </c>
      <c r="N175" s="71"/>
    </row>
    <row r="176" ht="15.0" customHeight="1">
      <c r="A176" s="86" t="str">
        <f>Substitute(SUBSTITUTE(substitute(substitute(substitute(substitute(substitute(substitute(substitute(lower('source-upstream'!A176)," ","-"),"(",""),")",""),"&gt;",""),"&lt;",""),"---","-"),".","-"),"--","-"),"&amp;","-and-")</f>
        <v>spotted-cockatoo</v>
      </c>
      <c r="B176" s="86" t="str">
        <f>Substitute(SUBSTITUTE(substitute(substitute(substitute(substitute(substitute(substitute(substitute(lower('source-upstream'!B176)," ","-"),"(",""),")",""),"&gt;",""),"&lt;",""),"---","-"),".","-"),"--","-"),"&amp;","-and-")</f>
        <v>swift-blue-tongue-skink</v>
      </c>
      <c r="C176" s="71" t="str">
        <f>if('source-upstream'!C176="",'schema-frequency'!$B$11,vlookup('source-upstream'!C176,FREQUENCY_MAP, 3, FALSE))</f>
        <v>not-provided</v>
      </c>
      <c r="D176" s="87" t="str">
        <f>'source-upstream'!D176</f>
        <v>Transport</v>
      </c>
      <c r="E176" s="71" t="str">
        <f>if('source-upstream'!E176="",'schema-yn'!$A$5,vlookup('source-upstream'!E176,YN_MAP,3,FALSE))</f>
        <v>yes</v>
      </c>
      <c r="F176" s="71" t="str">
        <f>if('source-upstream'!F176="",'schema-yn'!$A$5,vlookup('source-upstream'!F176,YN_MAP,3,FALSE))</f>
        <v>no</v>
      </c>
      <c r="G176" s="71" t="str">
        <f>if('source-upstream'!G176="",'schema-yn'!$A$5,vlookup('source-upstream'!G176,YN_MAP,3,FALSE))</f>
        <v>yes</v>
      </c>
      <c r="H176" s="71" t="str">
        <f>if('source-upstream'!H176="",'schema-yn'!$A$5,vlookup('source-upstream'!H176,RESILIENCE_OPTION_MAP,3,FALSE))</f>
        <v>alternative-supplier</v>
      </c>
      <c r="I176" s="71" t="str">
        <f>if(iserror(vlookup('source-upstream'!I176,'data-cleansing-maps'!N$5:N$10,1,FALSE)),'source-upstream'!I176,"")</f>
        <v/>
      </c>
      <c r="J176" s="87" t="str">
        <f>'source-upstream'!J176</f>
        <v>No comments provided</v>
      </c>
      <c r="K176" s="71" t="str">
        <f>if('source-upstream'!K176="",'schema-yn'!$A$5,vlookup('source-upstream'!K176,YN_MAP,3,FALSE))</f>
        <v>not-provided</v>
      </c>
      <c r="L176" s="88" t="str">
        <f>if('source-upstream'!L176="Not provided","",'source-upstream'!L176)</f>
        <v/>
      </c>
      <c r="M176" s="66" t="str">
        <f>if('source-upstream'!M176="",'schema-rv-services'!$B$26,vlookup(vlookup('source-upstream'!$M176,'analysis-rv-services'!$C:$E,3,FALSE),'schema-rv-services'!$A:$B,2, FALSE))</f>
        <v>transport</v>
      </c>
      <c r="N176" s="71"/>
    </row>
    <row r="177" ht="15.0" customHeight="1">
      <c r="A177" s="86" t="str">
        <f>Substitute(SUBSTITUTE(substitute(substitute(substitute(substitute(substitute(substitute(substitute(lower('source-upstream'!A177)," ","-"),"(",""),")",""),"&gt;",""),"&lt;",""),"---","-"),".","-"),"--","-"),"&amp;","-and-")</f>
        <v>spotted-cockatoo</v>
      </c>
      <c r="B177" s="86" t="str">
        <f>Substitute(SUBSTITUTE(substitute(substitute(substitute(substitute(substitute(substitute(substitute(lower('source-upstream'!B177)," ","-"),"(",""),")",""),"&gt;",""),"&lt;",""),"---","-"),".","-"),"--","-"),"&amp;","-and-")</f>
        <v>tiny-goanna</v>
      </c>
      <c r="C177" s="71" t="str">
        <f>if('source-upstream'!C177="",'schema-frequency'!$B$11,vlookup('source-upstream'!C177,FREQUENCY_MAP, 3, FALSE))</f>
        <v>not-provided</v>
      </c>
      <c r="D177" s="87" t="str">
        <f>'source-upstream'!D177</f>
        <v>Transport</v>
      </c>
      <c r="E177" s="71" t="str">
        <f>if('source-upstream'!E177="",'schema-yn'!$A$5,vlookup('source-upstream'!E177,YN_MAP,3,FALSE))</f>
        <v>yes</v>
      </c>
      <c r="F177" s="71" t="str">
        <f>if('source-upstream'!F177="",'schema-yn'!$A$5,vlookup('source-upstream'!F177,YN_MAP,3,FALSE))</f>
        <v>no</v>
      </c>
      <c r="G177" s="71" t="str">
        <f>if('source-upstream'!G177="",'schema-yn'!$A$5,vlookup('source-upstream'!G177,YN_MAP,3,FALSE))</f>
        <v>yes</v>
      </c>
      <c r="H177" s="71" t="str">
        <f>if('source-upstream'!H177="",'schema-yn'!$A$5,vlookup('source-upstream'!H177,RESILIENCE_OPTION_MAP,3,FALSE))</f>
        <v>alternative-supplier</v>
      </c>
      <c r="I177" s="71" t="str">
        <f>if(iserror(vlookup('source-upstream'!I177,'data-cleansing-maps'!N$5:N$10,1,FALSE)),'source-upstream'!I177,"")</f>
        <v/>
      </c>
      <c r="J177" s="87" t="str">
        <f>'source-upstream'!J177</f>
        <v>No comments provided</v>
      </c>
      <c r="K177" s="71" t="str">
        <f>if('source-upstream'!K177="",'schema-yn'!$A$5,vlookup('source-upstream'!K177,YN_MAP,3,FALSE))</f>
        <v>not-provided</v>
      </c>
      <c r="L177" s="88" t="str">
        <f>if('source-upstream'!L177="Not provided","",'source-upstream'!L177)</f>
        <v/>
      </c>
      <c r="M177" s="66" t="str">
        <f>if('source-upstream'!M177="",'schema-rv-services'!$B$26,vlookup(vlookup('source-upstream'!$M177,'analysis-rv-services'!$C:$E,3,FALSE),'schema-rv-services'!$A:$B,2, FALSE))</f>
        <v>transport</v>
      </c>
      <c r="N177" s="71"/>
    </row>
    <row r="178" ht="15.0" customHeight="1">
      <c r="A178" s="86" t="str">
        <f>Substitute(SUBSTITUTE(substitute(substitute(substitute(substitute(substitute(substitute(substitute(lower('source-upstream'!A178)," ","-"),"(",""),")",""),"&gt;",""),"&lt;",""),"---","-"),".","-"),"--","-"),"&amp;","-and-")</f>
        <v>spotted-cockatoo</v>
      </c>
      <c r="B178" s="86" t="str">
        <f>Substitute(SUBSTITUTE(substitute(substitute(substitute(substitute(substitute(substitute(substitute(lower('source-upstream'!B178)," ","-"),"(",""),")",""),"&gt;",""),"&lt;",""),"---","-"),".","-"),"--","-"),"&amp;","-and-")</f>
        <v>giant-bush-stone-curlew</v>
      </c>
      <c r="C178" s="71" t="str">
        <f>if('source-upstream'!C178="",'schema-frequency'!$B$11,vlookup('source-upstream'!C178,FREQUENCY_MAP, 3, FALSE))</f>
        <v>not-provided</v>
      </c>
      <c r="D178" s="87" t="str">
        <f>'source-upstream'!D178</f>
        <v>4PL</v>
      </c>
      <c r="E178" s="71" t="str">
        <f>if('source-upstream'!E178="",'schema-yn'!$A$5,vlookup('source-upstream'!E178,YN_MAP,3,FALSE))</f>
        <v>yes</v>
      </c>
      <c r="F178" s="71" t="str">
        <f>if('source-upstream'!F178="",'schema-yn'!$A$5,vlookup('source-upstream'!F178,YN_MAP,3,FALSE))</f>
        <v>no</v>
      </c>
      <c r="G178" s="71" t="str">
        <f>if('source-upstream'!G178="",'schema-yn'!$A$5,vlookup('source-upstream'!G178,YN_MAP,3,FALSE))</f>
        <v>yes</v>
      </c>
      <c r="H178" s="71" t="str">
        <f>if('source-upstream'!H178="",'schema-yn'!$A$5,vlookup('source-upstream'!H178,RESILIENCE_OPTION_MAP,3,FALSE))</f>
        <v>alternative-supplier</v>
      </c>
      <c r="I178" s="71" t="str">
        <f>if(iserror(vlookup('source-upstream'!I178,'data-cleansing-maps'!N$5:N$10,1,FALSE)),'source-upstream'!I178,"")</f>
        <v/>
      </c>
      <c r="J178" s="87" t="str">
        <f>'source-upstream'!J178</f>
        <v>No comments provided</v>
      </c>
      <c r="K178" s="71" t="str">
        <f>if('source-upstream'!K178="",'schema-yn'!$A$5,vlookup('source-upstream'!K178,YN_MAP,3,FALSE))</f>
        <v>not-provided</v>
      </c>
      <c r="L178" s="88" t="str">
        <f>if('source-upstream'!L178="Not provided","",'source-upstream'!L178)</f>
        <v/>
      </c>
      <c r="M178" s="66" t="str">
        <f>if('source-upstream'!M178="",'schema-rv-services'!$B$26,vlookup(vlookup('source-upstream'!$M178,'analysis-rv-services'!$C:$E,3,FALSE),'schema-rv-services'!$A:$B,2, FALSE))</f>
        <v>not-provided</v>
      </c>
      <c r="N178" s="71"/>
    </row>
    <row r="179" ht="15.0" customHeight="1">
      <c r="A179" s="86" t="str">
        <f>Substitute(SUBSTITUTE(substitute(substitute(substitute(substitute(substitute(substitute(substitute(lower('source-upstream'!A179)," ","-"),"(",""),")",""),"&gt;",""),"&lt;",""),"---","-"),".","-"),"--","-"),"&amp;","-and-")</f>
        <v>spotted-cockatoo</v>
      </c>
      <c r="B179" s="86" t="str">
        <f>Substitute(SUBSTITUTE(substitute(substitute(substitute(substitute(substitute(substitute(substitute(lower('source-upstream'!B179)," ","-"),"(",""),")",""),"&gt;",""),"&lt;",""),"---","-"),".","-"),"--","-"),"&amp;","-and-")</f>
        <v>noisy-kookaburra</v>
      </c>
      <c r="C179" s="71" t="str">
        <f>if('source-upstream'!C179="",'schema-frequency'!$B$11,vlookup('source-upstream'!C179,FREQUENCY_MAP, 3, FALSE))</f>
        <v>not-provided</v>
      </c>
      <c r="D179" s="87" t="str">
        <f>'source-upstream'!D179</f>
        <v>Cleaning</v>
      </c>
      <c r="E179" s="71" t="str">
        <f>if('source-upstream'!E179="",'schema-yn'!$A$5,vlookup('source-upstream'!E179,YN_MAP,3,FALSE))</f>
        <v>yes</v>
      </c>
      <c r="F179" s="71" t="str">
        <f>if('source-upstream'!F179="",'schema-yn'!$A$5,vlookup('source-upstream'!F179,YN_MAP,3,FALSE))</f>
        <v>no</v>
      </c>
      <c r="G179" s="71" t="str">
        <f>if('source-upstream'!G179="",'schema-yn'!$A$5,vlookup('source-upstream'!G179,YN_MAP,3,FALSE))</f>
        <v>yes</v>
      </c>
      <c r="H179" s="71" t="str">
        <f>if('source-upstream'!H179="",'schema-yn'!$A$5,vlookup('source-upstream'!H179,RESILIENCE_OPTION_MAP,3,FALSE))</f>
        <v>not-provided</v>
      </c>
      <c r="I179" s="71" t="str">
        <f>if(iserror(vlookup('source-upstream'!I179,'data-cleansing-maps'!N$5:N$10,1,FALSE)),'source-upstream'!I179,"")</f>
        <v/>
      </c>
      <c r="J179" s="87" t="str">
        <f>'source-upstream'!J179</f>
        <v>Possible short term down time. (48hr)</v>
      </c>
      <c r="K179" s="71" t="str">
        <f>if('source-upstream'!K179="",'schema-yn'!$A$5,vlookup('source-upstream'!K179,YN_MAP,3,FALSE))</f>
        <v>not-provided</v>
      </c>
      <c r="L179" s="88" t="str">
        <f>if('source-upstream'!L179="Not provided","",'source-upstream'!L179)</f>
        <v/>
      </c>
      <c r="M179" s="66" t="str">
        <f>if('source-upstream'!M179="",'schema-rv-services'!$B$26,vlookup(vlookup('source-upstream'!$M179,'analysis-rv-services'!$C:$E,3,FALSE),'schema-rv-services'!$A:$B,2, FALSE))</f>
        <v>cleaning</v>
      </c>
      <c r="N179" s="71"/>
    </row>
    <row r="180" ht="15.0" customHeight="1">
      <c r="A180" s="86" t="str">
        <f>Substitute(SUBSTITUTE(substitute(substitute(substitute(substitute(substitute(substitute(substitute(lower('source-upstream'!A180)," ","-"),"(",""),")",""),"&gt;",""),"&lt;",""),"---","-"),".","-"),"--","-"),"&amp;","-and-")</f>
        <v>spotted-cockatoo</v>
      </c>
      <c r="B180" s="86" t="str">
        <f>Substitute(SUBSTITUTE(substitute(substitute(substitute(substitute(substitute(substitute(substitute(lower('source-upstream'!B180)," ","-"),"(",""),")",""),"&gt;",""),"&lt;",""),"---","-"),".","-"),"--","-"),"&amp;","-and-")</f>
        <v>striped-bandicoot</v>
      </c>
      <c r="C180" s="71" t="str">
        <f>if('source-upstream'!C180="",'schema-frequency'!$B$11,vlookup('source-upstream'!C180,FREQUENCY_MAP, 3, FALSE))</f>
        <v>not-provided</v>
      </c>
      <c r="D180" s="87" t="str">
        <f>'source-upstream'!D180</f>
        <v>Technology maintenance</v>
      </c>
      <c r="E180" s="71" t="str">
        <f>if('source-upstream'!E180="",'schema-yn'!$A$5,vlookup('source-upstream'!E180,YN_MAP,3,FALSE))</f>
        <v>yes</v>
      </c>
      <c r="F180" s="71" t="str">
        <f>if('source-upstream'!F180="",'schema-yn'!$A$5,vlookup('source-upstream'!F180,YN_MAP,3,FALSE))</f>
        <v>not-provided</v>
      </c>
      <c r="G180" s="71" t="str">
        <f>if('source-upstream'!G180="",'schema-yn'!$A$5,vlookup('source-upstream'!G180,YN_MAP,3,FALSE))</f>
        <v>yes</v>
      </c>
      <c r="H180" s="71" t="str">
        <f>if('source-upstream'!H180="",'schema-yn'!$A$5,vlookup('source-upstream'!H180,RESILIENCE_OPTION_MAP,3,FALSE))</f>
        <v>manual-processes</v>
      </c>
      <c r="I180" s="71" t="str">
        <f>if(iserror(vlookup('source-upstream'!I180,'data-cleansing-maps'!N$5:N$10,1,FALSE)),'source-upstream'!I180,"")</f>
        <v/>
      </c>
      <c r="J180" s="87" t="str">
        <f>'source-upstream'!J180</f>
        <v>In-house management</v>
      </c>
      <c r="K180" s="71" t="str">
        <f>if('source-upstream'!K180="",'schema-yn'!$A$5,vlookup('source-upstream'!K180,YN_MAP,3,FALSE))</f>
        <v>not-provided</v>
      </c>
      <c r="L180" s="88" t="str">
        <f>if('source-upstream'!L180="Not provided","",'source-upstream'!L180)</f>
        <v/>
      </c>
      <c r="M180" s="66" t="str">
        <f>if('source-upstream'!M180="",'schema-rv-services'!$B$26,vlookup(vlookup('source-upstream'!$M180,'analysis-rv-services'!$C:$E,3,FALSE),'schema-rv-services'!$A:$B,2, FALSE))</f>
        <v>techonology</v>
      </c>
      <c r="N180" s="71"/>
    </row>
    <row r="181" ht="15.0" customHeight="1">
      <c r="A181" s="86" t="str">
        <f>Substitute(SUBSTITUTE(substitute(substitute(substitute(substitute(substitute(substitute(substitute(lower('source-upstream'!A181)," ","-"),"(",""),")",""),"&gt;",""),"&lt;",""),"---","-"),".","-"),"--","-"),"&amp;","-and-")</f>
        <v>spotted-cockatoo</v>
      </c>
      <c r="B181" s="86" t="str">
        <f>Substitute(SUBSTITUTE(substitute(substitute(substitute(substitute(substitute(substitute(substitute(lower('source-upstream'!B181)," ","-"),"(",""),")",""),"&gt;",""),"&lt;",""),"---","-"),".","-"),"--","-"),"&amp;","-and-")</f>
        <v>blue-thorny-devil</v>
      </c>
      <c r="C181" s="71" t="str">
        <f>if('source-upstream'!C181="",'schema-frequency'!$B$11,vlookup('source-upstream'!C181,FREQUENCY_MAP, 3, FALSE))</f>
        <v>not-provided</v>
      </c>
      <c r="D181" s="87" t="str">
        <f>'source-upstream'!D181</f>
        <v>Technology</v>
      </c>
      <c r="E181" s="71" t="str">
        <f>if('source-upstream'!E181="",'schema-yn'!$A$5,vlookup('source-upstream'!E181,YN_MAP,3,FALSE))</f>
        <v>yes</v>
      </c>
      <c r="F181" s="71" t="str">
        <f>if('source-upstream'!F181="",'schema-yn'!$A$5,vlookup('source-upstream'!F181,YN_MAP,3,FALSE))</f>
        <v>not-provided</v>
      </c>
      <c r="G181" s="71" t="str">
        <f>if('source-upstream'!G181="",'schema-yn'!$A$5,vlookup('source-upstream'!G181,YN_MAP,3,FALSE))</f>
        <v>yes</v>
      </c>
      <c r="H181" s="71" t="str">
        <f>if('source-upstream'!H181="",'schema-yn'!$A$5,vlookup('source-upstream'!H181,RESILIENCE_OPTION_MAP,3,FALSE))</f>
        <v>manual-processes</v>
      </c>
      <c r="I181" s="71" t="str">
        <f>if(iserror(vlookup('source-upstream'!I181,'data-cleansing-maps'!N$5:N$10,1,FALSE)),'source-upstream'!I181,"")</f>
        <v/>
      </c>
      <c r="J181" s="87" t="str">
        <f>'source-upstream'!J181</f>
        <v>In-house management possible short term downtime (24h) due to time differences (specialised support from Denmark); however, responsible entity can set up
 pop-up collections to receive and verify containers</v>
      </c>
      <c r="K181" s="71" t="str">
        <f>if('source-upstream'!K181="",'schema-yn'!$A$5,vlookup('source-upstream'!K181,YN_MAP,3,FALSE))</f>
        <v>yes</v>
      </c>
      <c r="L181" s="88" t="str">
        <f>if('source-upstream'!L181="Not provided","",'source-upstream'!L181)</f>
        <v/>
      </c>
      <c r="M181" s="66" t="str">
        <f>if('source-upstream'!M181="",'schema-rv-services'!$B$26,vlookup(vlookup('source-upstream'!$M181,'analysis-rv-services'!$C:$E,3,FALSE),'schema-rv-services'!$A:$B,2, FALSE))</f>
        <v>techonology</v>
      </c>
      <c r="N181" s="71"/>
    </row>
    <row r="182" ht="15.0" customHeight="1">
      <c r="A182" s="86" t="str">
        <f>Substitute(SUBSTITUTE(substitute(substitute(substitute(substitute(substitute(substitute(substitute(lower('source-upstream'!A182)," ","-"),"(",""),")",""),"&gt;",""),"&lt;",""),"---","-"),".","-"),"--","-"),"&amp;","-and-")</f>
        <v>spotted-cockatoo</v>
      </c>
      <c r="B182" s="86" t="str">
        <f>Substitute(SUBSTITUTE(substitute(substitute(substitute(substitute(substitute(substitute(substitute(lower('source-upstream'!B182)," ","-"),"(",""),")",""),"&gt;",""),"&lt;",""),"---","-"),".","-"),"--","-"),"&amp;","-and-")</f>
        <v>golden-lyrebird</v>
      </c>
      <c r="C182" s="71" t="str">
        <f>if('source-upstream'!C182="",'schema-frequency'!$B$11,vlookup('source-upstream'!C182,FREQUENCY_MAP, 3, FALSE))</f>
        <v>not-provided</v>
      </c>
      <c r="D182" s="87" t="str">
        <f>'source-upstream'!D182</f>
        <v>Cash Redemption terminals (CRT)</v>
      </c>
      <c r="E182" s="71" t="str">
        <f>if('source-upstream'!E182="",'schema-yn'!$A$5,vlookup('source-upstream'!E182,YN_MAP,3,FALSE))</f>
        <v>yes</v>
      </c>
      <c r="F182" s="71" t="str">
        <f>if('source-upstream'!F182="",'schema-yn'!$A$5,vlookup('source-upstream'!F182,YN_MAP,3,FALSE))</f>
        <v>not-provided</v>
      </c>
      <c r="G182" s="71" t="str">
        <f>if('source-upstream'!G182="",'schema-yn'!$A$5,vlookup('source-upstream'!G182,YN_MAP,3,FALSE))</f>
        <v>yes</v>
      </c>
      <c r="H182" s="71" t="str">
        <f>if('source-upstream'!H182="",'schema-yn'!$A$5,vlookup('source-upstream'!H182,RESILIENCE_OPTION_MAP,3,FALSE))</f>
        <v>manual-processes</v>
      </c>
      <c r="I182" s="71" t="str">
        <f>if(iserror(vlookup('source-upstream'!I182,'data-cleansing-maps'!N$5:N$10,1,FALSE)),'source-upstream'!I182,"")</f>
        <v/>
      </c>
      <c r="J182" s="87" t="str">
        <f>'source-upstream'!J182</f>
        <v>Alternative business processes (manual cash handling)</v>
      </c>
      <c r="K182" s="71" t="str">
        <f>if('source-upstream'!K182="",'schema-yn'!$A$5,vlookup('source-upstream'!K182,YN_MAP,3,FALSE))</f>
        <v>not-provided</v>
      </c>
      <c r="L182" s="88" t="str">
        <f>if('source-upstream'!L182="Not provided","",'source-upstream'!L182)</f>
        <v/>
      </c>
      <c r="M182" s="66" t="str">
        <f>if('source-upstream'!M182="",'schema-rv-services'!$B$26,vlookup(vlookup('source-upstream'!$M182,'analysis-rv-services'!$C:$E,3,FALSE),'schema-rv-services'!$A:$B,2, FALSE))</f>
        <v>techonology</v>
      </c>
      <c r="N182" s="71"/>
    </row>
    <row r="183" ht="15.0" customHeight="1">
      <c r="A183" s="86" t="str">
        <f>Substitute(SUBSTITUTE(substitute(substitute(substitute(substitute(substitute(substitute(substitute(lower('source-upstream'!A183)," ","-"),"(",""),")",""),"&gt;",""),"&lt;",""),"---","-"),".","-"),"--","-"),"&amp;","-and-")</f>
        <v>spotted-cockatoo</v>
      </c>
      <c r="B183" s="86" t="str">
        <f>Substitute(SUBSTITUTE(substitute(substitute(substitute(substitute(substitute(substitute(substitute(lower('source-upstream'!B183)," ","-"),"(",""),")",""),"&gt;",""),"&lt;",""),"---","-"),".","-"),"--","-"),"&amp;","-and-")</f>
        <v>spotted-bandicoot</v>
      </c>
      <c r="C183" s="71" t="str">
        <f>if('source-upstream'!C183="",'schema-frequency'!$B$11,vlookup('source-upstream'!C183,FREQUENCY_MAP, 3, FALSE))</f>
        <v>not-provided</v>
      </c>
      <c r="D183" s="87" t="str">
        <f>'source-upstream'!D183</f>
        <v>Recycling facilities (Hallam CSF &amp; Dandenong GBP)</v>
      </c>
      <c r="E183" s="71" t="str">
        <f>if('source-upstream'!E183="",'schema-yn'!$A$5,vlookup('source-upstream'!E183,YN_MAP,3,FALSE))</f>
        <v>yes</v>
      </c>
      <c r="F183" s="71" t="str">
        <f>if('source-upstream'!F183="",'schema-yn'!$A$5,vlookup('source-upstream'!F183,YN_MAP,3,FALSE))</f>
        <v>no</v>
      </c>
      <c r="G183" s="71" t="str">
        <f>if('source-upstream'!G183="",'schema-yn'!$A$5,vlookup('source-upstream'!G183,YN_MAP,3,FALSE))</f>
        <v>yes</v>
      </c>
      <c r="H183" s="71" t="str">
        <f>if('source-upstream'!H183="",'schema-yn'!$A$5,vlookup('source-upstream'!H183,RESILIENCE_OPTION_MAP,3,FALSE))</f>
        <v>alternative-supplier</v>
      </c>
      <c r="I183" s="71" t="str">
        <f>if(iserror(vlookup('source-upstream'!I183,'data-cleansing-maps'!N$5:N$10,1,FALSE)),'source-upstream'!I183,"")</f>
        <v/>
      </c>
      <c r="J183" s="87" t="str">
        <f>'source-upstream'!J183</f>
        <v>Alternative facilities within, and beyond, Re.Cycle Operations network.</v>
      </c>
      <c r="K183" s="71" t="str">
        <f>if('source-upstream'!K183="",'schema-yn'!$A$5,vlookup('source-upstream'!K183,YN_MAP,3,FALSE))</f>
        <v>not-provided</v>
      </c>
      <c r="L183" s="88" t="str">
        <f>if('source-upstream'!L183="Not provided","",'source-upstream'!L183)</f>
        <v/>
      </c>
      <c r="M183" s="66" t="str">
        <f>if('source-upstream'!M183="",'schema-rv-services'!$B$26,vlookup(vlookup('source-upstream'!$M183,'analysis-rv-services'!$C:$E,3,FALSE),'schema-rv-services'!$A:$B,2, FALSE))</f>
        <v>waste-collection</v>
      </c>
      <c r="N183" s="71"/>
    </row>
    <row r="184" ht="15.0" customHeight="1">
      <c r="A184" s="86" t="str">
        <f>Substitute(SUBSTITUTE(substitute(substitute(substitute(substitute(substitute(substitute(substitute(lower('source-upstream'!A184)," ","-"),"(",""),")",""),"&gt;",""),"&lt;",""),"---","-"),".","-"),"--","-"),"&amp;","-and-")</f>
        <v>spotted-cockatoo</v>
      </c>
      <c r="B184" s="86" t="str">
        <f>Substitute(SUBSTITUTE(substitute(substitute(substitute(substitute(substitute(substitute(substitute(lower('source-upstream'!B184)," ","-"),"(",""),")",""),"&gt;",""),"&lt;",""),"---","-"),".","-"),"--","-"),"&amp;","-and-")</f>
        <v>red-numbat</v>
      </c>
      <c r="C184" s="71" t="str">
        <f>if('source-upstream'!C184="",'schema-frequency'!$B$11,vlookup('source-upstream'!C184,FREQUENCY_MAP, 3, FALSE))</f>
        <v>not-provided</v>
      </c>
      <c r="D184" s="87" t="str">
        <f>'source-upstream'!D184</f>
        <v>Not provided</v>
      </c>
      <c r="E184" s="71" t="str">
        <f>if('source-upstream'!E184="",'schema-yn'!$A$5,vlookup('source-upstream'!E184,YN_MAP,3,FALSE))</f>
        <v>not-provided</v>
      </c>
      <c r="F184" s="71" t="str">
        <f>if('source-upstream'!F184="",'schema-yn'!$A$5,vlookup('source-upstream'!F184,YN_MAP,3,FALSE))</f>
        <v>not-provided</v>
      </c>
      <c r="G184" s="71" t="str">
        <f>if('source-upstream'!G184="",'schema-yn'!$A$5,vlookup('source-upstream'!G184,YN_MAP,3,FALSE))</f>
        <v>not-provided</v>
      </c>
      <c r="H184" s="71" t="str">
        <f>if('source-upstream'!H184="",'schema-yn'!$A$5,vlookup('source-upstream'!H184,RESILIENCE_OPTION_MAP,3,FALSE))</f>
        <v>not-provided</v>
      </c>
      <c r="I184" s="71" t="str">
        <f>if(iserror(vlookup('source-upstream'!I184,'data-cleansing-maps'!N$5:N$10,1,FALSE)),'source-upstream'!I184,"")</f>
        <v/>
      </c>
      <c r="J184" s="87" t="str">
        <f>'source-upstream'!J184</f>
        <v>Not provided</v>
      </c>
      <c r="K184" s="71" t="str">
        <f>if('source-upstream'!K184="",'schema-yn'!$A$5,vlookup('source-upstream'!K184,YN_MAP,3,FALSE))</f>
        <v>not-provided</v>
      </c>
      <c r="L184" s="88" t="str">
        <f>if('source-upstream'!L184="Not provided","",'source-upstream'!L184)</f>
        <v/>
      </c>
      <c r="M184" s="66" t="str">
        <f>if('source-upstream'!M184="",'schema-rv-services'!$B$26,vlookup(vlookup('source-upstream'!$M184,'analysis-rv-services'!$C:$E,3,FALSE),'schema-rv-services'!$A:$B,2, FALSE))</f>
        <v>feedstock</v>
      </c>
      <c r="N184" s="71"/>
    </row>
    <row r="185" ht="15.0" customHeight="1">
      <c r="A185" s="86" t="str">
        <f>Substitute(SUBSTITUTE(substitute(substitute(substitute(substitute(substitute(substitute(substitute(lower('source-upstream'!A185)," ","-"),"(",""),")",""),"&gt;",""),"&lt;",""),"---","-"),".","-"),"--","-"),"&amp;","-and-")</f>
        <v>spotted-cockatoo</v>
      </c>
      <c r="B185" s="86" t="str">
        <f>Substitute(SUBSTITUTE(substitute(substitute(substitute(substitute(substitute(substitute(substitute(lower('source-upstream'!B185)," ","-"),"(",""),")",""),"&gt;",""),"&lt;",""),"---","-"),".","-"),"--","-"),"&amp;","-and-")</f>
        <v>red-numbat</v>
      </c>
      <c r="C185" s="71" t="str">
        <f>if('source-upstream'!C185="",'schema-frequency'!$B$11,vlookup('source-upstream'!C185,FREQUENCY_MAP, 3, FALSE))</f>
        <v>not-provided</v>
      </c>
      <c r="D185" s="87" t="str">
        <f>'source-upstream'!D185</f>
        <v>Not provided</v>
      </c>
      <c r="E185" s="71" t="str">
        <f>if('source-upstream'!E185="",'schema-yn'!$A$5,vlookup('source-upstream'!E185,YN_MAP,3,FALSE))</f>
        <v>not-provided</v>
      </c>
      <c r="F185" s="71" t="str">
        <f>if('source-upstream'!F185="",'schema-yn'!$A$5,vlookup('source-upstream'!F185,YN_MAP,3,FALSE))</f>
        <v>not-provided</v>
      </c>
      <c r="G185" s="71" t="str">
        <f>if('source-upstream'!G185="",'schema-yn'!$A$5,vlookup('source-upstream'!G185,YN_MAP,3,FALSE))</f>
        <v>not-provided</v>
      </c>
      <c r="H185" s="71" t="str">
        <f>if('source-upstream'!H185="",'schema-yn'!$A$5,vlookup('source-upstream'!H185,RESILIENCE_OPTION_MAP,3,FALSE))</f>
        <v>not-provided</v>
      </c>
      <c r="I185" s="71" t="str">
        <f>if(iserror(vlookup('source-upstream'!I185,'data-cleansing-maps'!N$5:N$10,1,FALSE)),'source-upstream'!I185,"")</f>
        <v/>
      </c>
      <c r="J185" s="87" t="str">
        <f>'source-upstream'!J185</f>
        <v>Not provided</v>
      </c>
      <c r="K185" s="71" t="str">
        <f>if('source-upstream'!K185="",'schema-yn'!$A$5,vlookup('source-upstream'!K185,YN_MAP,3,FALSE))</f>
        <v>not-provided</v>
      </c>
      <c r="L185" s="88" t="str">
        <f>if('source-upstream'!L185="Not provided","",'source-upstream'!L185)</f>
        <v/>
      </c>
      <c r="M185" s="66" t="str">
        <f>if('source-upstream'!M185="",'schema-rv-services'!$B$26,vlookup(vlookup('source-upstream'!$M185,'analysis-rv-services'!$C:$E,3,FALSE),'schema-rv-services'!$A:$B,2, FALSE))</f>
        <v>feedstock</v>
      </c>
      <c r="N185" s="71"/>
    </row>
    <row r="186" ht="15.0" customHeight="1">
      <c r="A186" s="86" t="str">
        <f>Substitute(SUBSTITUTE(substitute(substitute(substitute(substitute(substitute(substitute(substitute(lower('source-upstream'!A186)," ","-"),"(",""),")",""),"&gt;",""),"&lt;",""),"---","-"),".","-"),"--","-"),"&amp;","-and-")</f>
        <v>spotted-cockatoo</v>
      </c>
      <c r="B186" s="86" t="str">
        <f>Substitute(SUBSTITUTE(substitute(substitute(substitute(substitute(substitute(substitute(substitute(lower('source-upstream'!B186)," ","-"),"(",""),")",""),"&gt;",""),"&lt;",""),"---","-"),".","-"),"--","-"),"&amp;","-and-")</f>
        <v>red-numbat</v>
      </c>
      <c r="C186" s="71" t="str">
        <f>if('source-upstream'!C186="",'schema-frequency'!$B$11,vlookup('source-upstream'!C186,FREQUENCY_MAP, 3, FALSE))</f>
        <v>not-provided</v>
      </c>
      <c r="D186" s="87" t="str">
        <f>'source-upstream'!D186</f>
        <v>Not provided</v>
      </c>
      <c r="E186" s="71" t="str">
        <f>if('source-upstream'!E186="",'schema-yn'!$A$5,vlookup('source-upstream'!E186,YN_MAP,3,FALSE))</f>
        <v>not-provided</v>
      </c>
      <c r="F186" s="71" t="str">
        <f>if('source-upstream'!F186="",'schema-yn'!$A$5,vlookup('source-upstream'!F186,YN_MAP,3,FALSE))</f>
        <v>not-provided</v>
      </c>
      <c r="G186" s="71" t="str">
        <f>if('source-upstream'!G186="",'schema-yn'!$A$5,vlookup('source-upstream'!G186,YN_MAP,3,FALSE))</f>
        <v>not-provided</v>
      </c>
      <c r="H186" s="71" t="str">
        <f>if('source-upstream'!H186="",'schema-yn'!$A$5,vlookup('source-upstream'!H186,RESILIENCE_OPTION_MAP,3,FALSE))</f>
        <v>not-provided</v>
      </c>
      <c r="I186" s="71" t="str">
        <f>if(iserror(vlookup('source-upstream'!I186,'data-cleansing-maps'!N$5:N$10,1,FALSE)),'source-upstream'!I186,"")</f>
        <v/>
      </c>
      <c r="J186" s="87" t="str">
        <f>'source-upstream'!J186</f>
        <v>Not provided</v>
      </c>
      <c r="K186" s="71" t="str">
        <f>if('source-upstream'!K186="",'schema-yn'!$A$5,vlookup('source-upstream'!K186,YN_MAP,3,FALSE))</f>
        <v>not-provided</v>
      </c>
      <c r="L186" s="88" t="str">
        <f>if('source-upstream'!L186="Not provided","",'source-upstream'!L186)</f>
        <v/>
      </c>
      <c r="M186" s="66" t="str">
        <f>if('source-upstream'!M186="",'schema-rv-services'!$B$26,vlookup(vlookup('source-upstream'!$M186,'analysis-rv-services'!$C:$E,3,FALSE),'schema-rv-services'!$A:$B,2, FALSE))</f>
        <v>feedstock</v>
      </c>
      <c r="N186" s="71"/>
    </row>
    <row r="187" ht="15.0" customHeight="1">
      <c r="A187" s="86" t="str">
        <f>Substitute(SUBSTITUTE(substitute(substitute(substitute(substitute(substitute(substitute(substitute(lower('source-upstream'!A187)," ","-"),"(",""),")",""),"&gt;",""),"&lt;",""),"---","-"),".","-"),"--","-"),"&amp;","-and-")</f>
        <v>spotted-cockatoo</v>
      </c>
      <c r="B187" s="86" t="str">
        <f>Substitute(SUBSTITUTE(substitute(substitute(substitute(substitute(substitute(substitute(substitute(lower('source-upstream'!B187)," ","-"),"(",""),")",""),"&gt;",""),"&lt;",""),"---","-"),".","-"),"--","-"),"&amp;","-and-")</f>
        <v>red-numbat</v>
      </c>
      <c r="C187" s="71" t="str">
        <f>if('source-upstream'!C187="",'schema-frequency'!$B$11,vlookup('source-upstream'!C187,FREQUENCY_MAP, 3, FALSE))</f>
        <v>not-provided</v>
      </c>
      <c r="D187" s="87" t="str">
        <f>'source-upstream'!D187</f>
        <v>Not provided</v>
      </c>
      <c r="E187" s="71" t="str">
        <f>if('source-upstream'!E187="",'schema-yn'!$A$5,vlookup('source-upstream'!E187,YN_MAP,3,FALSE))</f>
        <v>not-provided</v>
      </c>
      <c r="F187" s="71" t="str">
        <f>if('source-upstream'!F187="",'schema-yn'!$A$5,vlookup('source-upstream'!F187,YN_MAP,3,FALSE))</f>
        <v>not-provided</v>
      </c>
      <c r="G187" s="71" t="str">
        <f>if('source-upstream'!G187="",'schema-yn'!$A$5,vlookup('source-upstream'!G187,YN_MAP,3,FALSE))</f>
        <v>not-provided</v>
      </c>
      <c r="H187" s="71" t="str">
        <f>if('source-upstream'!H187="",'schema-yn'!$A$5,vlookup('source-upstream'!H187,RESILIENCE_OPTION_MAP,3,FALSE))</f>
        <v>not-provided</v>
      </c>
      <c r="I187" s="71" t="str">
        <f>if(iserror(vlookup('source-upstream'!I187,'data-cleansing-maps'!N$5:N$10,1,FALSE)),'source-upstream'!I187,"")</f>
        <v/>
      </c>
      <c r="J187" s="87" t="str">
        <f>'source-upstream'!J187</f>
        <v>Not provided</v>
      </c>
      <c r="K187" s="71" t="str">
        <f>if('source-upstream'!K187="",'schema-yn'!$A$5,vlookup('source-upstream'!K187,YN_MAP,3,FALSE))</f>
        <v>not-provided</v>
      </c>
      <c r="L187" s="88" t="str">
        <f>if('source-upstream'!L187="Not provided","",'source-upstream'!L187)</f>
        <v/>
      </c>
      <c r="M187" s="66" t="str">
        <f>if('source-upstream'!M187="",'schema-rv-services'!$B$26,vlookup(vlookup('source-upstream'!$M187,'analysis-rv-services'!$C:$E,3,FALSE),'schema-rv-services'!$A:$B,2, FALSE))</f>
        <v>feedstock</v>
      </c>
      <c r="N187" s="71"/>
    </row>
    <row r="188" ht="15.0" customHeight="1">
      <c r="A188" s="86" t="str">
        <f>Substitute(SUBSTITUTE(substitute(substitute(substitute(substitute(substitute(substitute(substitute(lower('source-upstream'!A188)," ","-"),"(",""),")",""),"&gt;",""),"&lt;",""),"---","-"),".","-"),"--","-"),"&amp;","-and-")</f>
        <v>spotted-cockatoo</v>
      </c>
      <c r="B188" s="86" t="str">
        <f>Substitute(SUBSTITUTE(substitute(substitute(substitute(substitute(substitute(substitute(substitute(lower('source-upstream'!B188)," ","-"),"(",""),")",""),"&gt;",""),"&lt;",""),"---","-"),".","-"),"--","-"),"&amp;","-and-")</f>
        <v>red-numbat</v>
      </c>
      <c r="C188" s="71" t="str">
        <f>if('source-upstream'!C188="",'schema-frequency'!$B$11,vlookup('source-upstream'!C188,FREQUENCY_MAP, 3, FALSE))</f>
        <v>not-provided</v>
      </c>
      <c r="D188" s="87" t="str">
        <f>'source-upstream'!D188</f>
        <v>Not provided</v>
      </c>
      <c r="E188" s="71" t="str">
        <f>if('source-upstream'!E188="",'schema-yn'!$A$5,vlookup('source-upstream'!E188,YN_MAP,3,FALSE))</f>
        <v>not-provided</v>
      </c>
      <c r="F188" s="71" t="str">
        <f>if('source-upstream'!F188="",'schema-yn'!$A$5,vlookup('source-upstream'!F188,YN_MAP,3,FALSE))</f>
        <v>not-provided</v>
      </c>
      <c r="G188" s="71" t="str">
        <f>if('source-upstream'!G188="",'schema-yn'!$A$5,vlookup('source-upstream'!G188,YN_MAP,3,FALSE))</f>
        <v>not-provided</v>
      </c>
      <c r="H188" s="71" t="str">
        <f>if('source-upstream'!H188="",'schema-yn'!$A$5,vlookup('source-upstream'!H188,RESILIENCE_OPTION_MAP,3,FALSE))</f>
        <v>not-provided</v>
      </c>
      <c r="I188" s="71" t="str">
        <f>if(iserror(vlookup('source-upstream'!I188,'data-cleansing-maps'!N$5:N$10,1,FALSE)),'source-upstream'!I188,"")</f>
        <v/>
      </c>
      <c r="J188" s="87" t="str">
        <f>'source-upstream'!J188</f>
        <v>Not provided</v>
      </c>
      <c r="K188" s="71" t="str">
        <f>if('source-upstream'!K188="",'schema-yn'!$A$5,vlookup('source-upstream'!K188,YN_MAP,3,FALSE))</f>
        <v>not-provided</v>
      </c>
      <c r="L188" s="88" t="str">
        <f>if('source-upstream'!L188="Not provided","",'source-upstream'!L188)</f>
        <v/>
      </c>
      <c r="M188" s="66" t="str">
        <f>if('source-upstream'!M188="",'schema-rv-services'!$B$26,vlookup(vlookup('source-upstream'!$M188,'analysis-rv-services'!$C:$E,3,FALSE),'schema-rv-services'!$A:$B,2, FALSE))</f>
        <v>feedstock</v>
      </c>
      <c r="N188" s="71"/>
    </row>
    <row r="189" ht="15.0" customHeight="1">
      <c r="A189" s="86" t="str">
        <f>Substitute(SUBSTITUTE(substitute(substitute(substitute(substitute(substitute(substitute(substitute(lower('source-upstream'!A189)," ","-"),"(",""),")",""),"&gt;",""),"&lt;",""),"---","-"),".","-"),"--","-"),"&amp;","-and-")</f>
        <v>spotted-cockatoo</v>
      </c>
      <c r="B189" s="86" t="str">
        <f>Substitute(SUBSTITUTE(substitute(substitute(substitute(substitute(substitute(substitute(substitute(lower('source-upstream'!B189)," ","-"),"(",""),")",""),"&gt;",""),"&lt;",""),"---","-"),".","-"),"--","-"),"&amp;","-and-")</f>
        <v>red-numbat</v>
      </c>
      <c r="C189" s="71" t="str">
        <f>if('source-upstream'!C189="",'schema-frequency'!$B$11,vlookup('source-upstream'!C189,FREQUENCY_MAP, 3, FALSE))</f>
        <v>not-provided</v>
      </c>
      <c r="D189" s="87" t="str">
        <f>'source-upstream'!D189</f>
        <v>Not provided</v>
      </c>
      <c r="E189" s="71" t="str">
        <f>if('source-upstream'!E189="",'schema-yn'!$A$5,vlookup('source-upstream'!E189,YN_MAP,3,FALSE))</f>
        <v>not-provided</v>
      </c>
      <c r="F189" s="71" t="str">
        <f>if('source-upstream'!F189="",'schema-yn'!$A$5,vlookup('source-upstream'!F189,YN_MAP,3,FALSE))</f>
        <v>not-provided</v>
      </c>
      <c r="G189" s="71" t="str">
        <f>if('source-upstream'!G189="",'schema-yn'!$A$5,vlookup('source-upstream'!G189,YN_MAP,3,FALSE))</f>
        <v>not-provided</v>
      </c>
      <c r="H189" s="71" t="str">
        <f>if('source-upstream'!H189="",'schema-yn'!$A$5,vlookup('source-upstream'!H189,RESILIENCE_OPTION_MAP,3,FALSE))</f>
        <v>not-provided</v>
      </c>
      <c r="I189" s="71" t="str">
        <f>if(iserror(vlookup('source-upstream'!I189,'data-cleansing-maps'!N$5:N$10,1,FALSE)),'source-upstream'!I189,"")</f>
        <v/>
      </c>
      <c r="J189" s="87" t="str">
        <f>'source-upstream'!J189</f>
        <v>Not provided</v>
      </c>
      <c r="K189" s="71" t="str">
        <f>if('source-upstream'!K189="",'schema-yn'!$A$5,vlookup('source-upstream'!K189,YN_MAP,3,FALSE))</f>
        <v>not-provided</v>
      </c>
      <c r="L189" s="88" t="str">
        <f>if('source-upstream'!L189="Not provided","",'source-upstream'!L189)</f>
        <v/>
      </c>
      <c r="M189" s="66" t="str">
        <f>if('source-upstream'!M189="",'schema-rv-services'!$B$26,vlookup(vlookup('source-upstream'!$M189,'analysis-rv-services'!$C:$E,3,FALSE),'schema-rv-services'!$A:$B,2, FALSE))</f>
        <v>feedstock</v>
      </c>
      <c r="N189" s="71"/>
    </row>
    <row r="190" ht="15.0" customHeight="1">
      <c r="A190" s="86" t="str">
        <f>Substitute(SUBSTITUTE(substitute(substitute(substitute(substitute(substitute(substitute(substitute(lower('source-upstream'!A190)," ","-"),"(",""),")",""),"&gt;",""),"&lt;",""),"---","-"),".","-"),"--","-"),"&amp;","-and-")</f>
        <v>spotted-cockatoo</v>
      </c>
      <c r="B190" s="86" t="str">
        <f>Substitute(SUBSTITUTE(substitute(substitute(substitute(substitute(substitute(substitute(substitute(lower('source-upstream'!B190)," ","-"),"(",""),")",""),"&gt;",""),"&lt;",""),"---","-"),".","-"),"--","-"),"&amp;","-and-")</f>
        <v>red-numbat</v>
      </c>
      <c r="C190" s="71" t="str">
        <f>if('source-upstream'!C190="",'schema-frequency'!$B$11,vlookup('source-upstream'!C190,FREQUENCY_MAP, 3, FALSE))</f>
        <v>not-provided</v>
      </c>
      <c r="D190" s="87" t="str">
        <f>'source-upstream'!D190</f>
        <v>Not provided</v>
      </c>
      <c r="E190" s="71" t="str">
        <f>if('source-upstream'!E190="",'schema-yn'!$A$5,vlookup('source-upstream'!E190,YN_MAP,3,FALSE))</f>
        <v>not-provided</v>
      </c>
      <c r="F190" s="71" t="str">
        <f>if('source-upstream'!F190="",'schema-yn'!$A$5,vlookup('source-upstream'!F190,YN_MAP,3,FALSE))</f>
        <v>not-provided</v>
      </c>
      <c r="G190" s="71" t="str">
        <f>if('source-upstream'!G190="",'schema-yn'!$A$5,vlookup('source-upstream'!G190,YN_MAP,3,FALSE))</f>
        <v>not-provided</v>
      </c>
      <c r="H190" s="71" t="str">
        <f>if('source-upstream'!H190="",'schema-yn'!$A$5,vlookup('source-upstream'!H190,RESILIENCE_OPTION_MAP,3,FALSE))</f>
        <v>not-provided</v>
      </c>
      <c r="I190" s="71" t="str">
        <f>if(iserror(vlookup('source-upstream'!I190,'data-cleansing-maps'!N$5:N$10,1,FALSE)),'source-upstream'!I190,"")</f>
        <v/>
      </c>
      <c r="J190" s="87" t="str">
        <f>'source-upstream'!J190</f>
        <v>Not provided</v>
      </c>
      <c r="K190" s="71" t="str">
        <f>if('source-upstream'!K190="",'schema-yn'!$A$5,vlookup('source-upstream'!K190,YN_MAP,3,FALSE))</f>
        <v>not-provided</v>
      </c>
      <c r="L190" s="88" t="str">
        <f>if('source-upstream'!L190="Not provided","",'source-upstream'!L190)</f>
        <v/>
      </c>
      <c r="M190" s="66" t="str">
        <f>if('source-upstream'!M190="",'schema-rv-services'!$B$26,vlookup(vlookup('source-upstream'!$M190,'analysis-rv-services'!$C:$E,3,FALSE),'schema-rv-services'!$A:$B,2, FALSE))</f>
        <v>feedstock</v>
      </c>
      <c r="N190" s="71"/>
    </row>
    <row r="191" ht="15.0" customHeight="1">
      <c r="A191" s="86" t="str">
        <f>Substitute(SUBSTITUTE(substitute(substitute(substitute(substitute(substitute(substitute(substitute(lower('source-upstream'!A191)," ","-"),"(",""),")",""),"&gt;",""),"&lt;",""),"---","-"),".","-"),"--","-"),"&amp;","-and-")</f>
        <v>spotted-cockatoo</v>
      </c>
      <c r="B191" s="86" t="str">
        <f>Substitute(SUBSTITUTE(substitute(substitute(substitute(substitute(substitute(substitute(substitute(lower('source-upstream'!B191)," ","-"),"(",""),")",""),"&gt;",""),"&lt;",""),"---","-"),".","-"),"--","-"),"&amp;","-and-")</f>
        <v>red-numbat</v>
      </c>
      <c r="C191" s="71" t="str">
        <f>if('source-upstream'!C191="",'schema-frequency'!$B$11,vlookup('source-upstream'!C191,FREQUENCY_MAP, 3, FALSE))</f>
        <v>not-provided</v>
      </c>
      <c r="D191" s="87" t="str">
        <f>'source-upstream'!D191</f>
        <v>Not provided</v>
      </c>
      <c r="E191" s="71" t="str">
        <f>if('source-upstream'!E191="",'schema-yn'!$A$5,vlookup('source-upstream'!E191,YN_MAP,3,FALSE))</f>
        <v>not-provided</v>
      </c>
      <c r="F191" s="71" t="str">
        <f>if('source-upstream'!F191="",'schema-yn'!$A$5,vlookup('source-upstream'!F191,YN_MAP,3,FALSE))</f>
        <v>not-provided</v>
      </c>
      <c r="G191" s="71" t="str">
        <f>if('source-upstream'!G191="",'schema-yn'!$A$5,vlookup('source-upstream'!G191,YN_MAP,3,FALSE))</f>
        <v>not-provided</v>
      </c>
      <c r="H191" s="71" t="str">
        <f>if('source-upstream'!H191="",'schema-yn'!$A$5,vlookup('source-upstream'!H191,RESILIENCE_OPTION_MAP,3,FALSE))</f>
        <v>not-provided</v>
      </c>
      <c r="I191" s="71" t="str">
        <f>if(iserror(vlookup('source-upstream'!I191,'data-cleansing-maps'!N$5:N$10,1,FALSE)),'source-upstream'!I191,"")</f>
        <v/>
      </c>
      <c r="J191" s="87" t="str">
        <f>'source-upstream'!J191</f>
        <v>Not provided</v>
      </c>
      <c r="K191" s="71" t="str">
        <f>if('source-upstream'!K191="",'schema-yn'!$A$5,vlookup('source-upstream'!K191,YN_MAP,3,FALSE))</f>
        <v>not-provided</v>
      </c>
      <c r="L191" s="88" t="str">
        <f>if('source-upstream'!L191="Not provided","",'source-upstream'!L191)</f>
        <v/>
      </c>
      <c r="M191" s="66" t="str">
        <f>if('source-upstream'!M191="",'schema-rv-services'!$B$26,vlookup(vlookup('source-upstream'!$M191,'analysis-rv-services'!$C:$E,3,FALSE),'schema-rv-services'!$A:$B,2, FALSE))</f>
        <v>feedstock</v>
      </c>
      <c r="N191" s="71"/>
    </row>
    <row r="192" ht="15.0" customHeight="1">
      <c r="A192" s="86" t="str">
        <f>Substitute(SUBSTITUTE(substitute(substitute(substitute(substitute(substitute(substitute(substitute(lower('source-upstream'!A192)," ","-"),"(",""),")",""),"&gt;",""),"&lt;",""),"---","-"),".","-"),"--","-"),"&amp;","-and-")</f>
        <v>spotted-cockatoo</v>
      </c>
      <c r="B192" s="86" t="str">
        <f>Substitute(SUBSTITUTE(substitute(substitute(substitute(substitute(substitute(substitute(substitute(lower('source-upstream'!B192)," ","-"),"(",""),")",""),"&gt;",""),"&lt;",""),"---","-"),".","-"),"--","-"),"&amp;","-and-")</f>
        <v>red-numbat</v>
      </c>
      <c r="C192" s="71" t="str">
        <f>if('source-upstream'!C192="",'schema-frequency'!$B$11,vlookup('source-upstream'!C192,FREQUENCY_MAP, 3, FALSE))</f>
        <v>not-provided</v>
      </c>
      <c r="D192" s="87" t="str">
        <f>'source-upstream'!D192</f>
        <v>Not provided</v>
      </c>
      <c r="E192" s="71" t="str">
        <f>if('source-upstream'!E192="",'schema-yn'!$A$5,vlookup('source-upstream'!E192,YN_MAP,3,FALSE))</f>
        <v>not-provided</v>
      </c>
      <c r="F192" s="71" t="str">
        <f>if('source-upstream'!F192="",'schema-yn'!$A$5,vlookup('source-upstream'!F192,YN_MAP,3,FALSE))</f>
        <v>not-provided</v>
      </c>
      <c r="G192" s="71" t="str">
        <f>if('source-upstream'!G192="",'schema-yn'!$A$5,vlookup('source-upstream'!G192,YN_MAP,3,FALSE))</f>
        <v>not-provided</v>
      </c>
      <c r="H192" s="71" t="str">
        <f>if('source-upstream'!H192="",'schema-yn'!$A$5,vlookup('source-upstream'!H192,RESILIENCE_OPTION_MAP,3,FALSE))</f>
        <v>not-provided</v>
      </c>
      <c r="I192" s="71" t="str">
        <f>if(iserror(vlookup('source-upstream'!I192,'data-cleansing-maps'!N$5:N$10,1,FALSE)),'source-upstream'!I192,"")</f>
        <v/>
      </c>
      <c r="J192" s="87" t="str">
        <f>'source-upstream'!J192</f>
        <v>Not provided</v>
      </c>
      <c r="K192" s="71" t="str">
        <f>if('source-upstream'!K192="",'schema-yn'!$A$5,vlookup('source-upstream'!K192,YN_MAP,3,FALSE))</f>
        <v>not-provided</v>
      </c>
      <c r="L192" s="88" t="str">
        <f>if('source-upstream'!L192="Not provided","",'source-upstream'!L192)</f>
        <v/>
      </c>
      <c r="M192" s="66" t="str">
        <f>if('source-upstream'!M192="",'schema-rv-services'!$B$26,vlookup(vlookup('source-upstream'!$M192,'analysis-rv-services'!$C:$E,3,FALSE),'schema-rv-services'!$A:$B,2, FALSE))</f>
        <v>feedstock</v>
      </c>
      <c r="N192" s="71"/>
    </row>
    <row r="193" ht="15.0" customHeight="1">
      <c r="A193" s="86" t="str">
        <f>Substitute(SUBSTITUTE(substitute(substitute(substitute(substitute(substitute(substitute(substitute(lower('source-upstream'!A193)," ","-"),"(",""),")",""),"&gt;",""),"&lt;",""),"---","-"),".","-"),"--","-"),"&amp;","-and-")</f>
        <v>spotted-cockatoo</v>
      </c>
      <c r="B193" s="86" t="str">
        <f>Substitute(SUBSTITUTE(substitute(substitute(substitute(substitute(substitute(substitute(substitute(lower('source-upstream'!B193)," ","-"),"(",""),")",""),"&gt;",""),"&lt;",""),"---","-"),".","-"),"--","-"),"&amp;","-and-")</f>
        <v>red-numbat</v>
      </c>
      <c r="C193" s="71" t="str">
        <f>if('source-upstream'!C193="",'schema-frequency'!$B$11,vlookup('source-upstream'!C193,FREQUENCY_MAP, 3, FALSE))</f>
        <v>not-provided</v>
      </c>
      <c r="D193" s="87" t="str">
        <f>'source-upstream'!D193</f>
        <v>Not provided</v>
      </c>
      <c r="E193" s="71" t="str">
        <f>if('source-upstream'!E193="",'schema-yn'!$A$5,vlookup('source-upstream'!E193,YN_MAP,3,FALSE))</f>
        <v>not-provided</v>
      </c>
      <c r="F193" s="71" t="str">
        <f>if('source-upstream'!F193="",'schema-yn'!$A$5,vlookup('source-upstream'!F193,YN_MAP,3,FALSE))</f>
        <v>not-provided</v>
      </c>
      <c r="G193" s="71" t="str">
        <f>if('source-upstream'!G193="",'schema-yn'!$A$5,vlookup('source-upstream'!G193,YN_MAP,3,FALSE))</f>
        <v>not-provided</v>
      </c>
      <c r="H193" s="71" t="str">
        <f>if('source-upstream'!H193="",'schema-yn'!$A$5,vlookup('source-upstream'!H193,RESILIENCE_OPTION_MAP,3,FALSE))</f>
        <v>not-provided</v>
      </c>
      <c r="I193" s="71" t="str">
        <f>if(iserror(vlookup('source-upstream'!I193,'data-cleansing-maps'!N$5:N$10,1,FALSE)),'source-upstream'!I193,"")</f>
        <v/>
      </c>
      <c r="J193" s="87" t="str">
        <f>'source-upstream'!J193</f>
        <v>Not provided</v>
      </c>
      <c r="K193" s="71" t="str">
        <f>if('source-upstream'!K193="",'schema-yn'!$A$5,vlookup('source-upstream'!K193,YN_MAP,3,FALSE))</f>
        <v>not-provided</v>
      </c>
      <c r="L193" s="88" t="str">
        <f>if('source-upstream'!L193="Not provided","",'source-upstream'!L193)</f>
        <v/>
      </c>
      <c r="M193" s="66" t="str">
        <f>if('source-upstream'!M193="",'schema-rv-services'!$B$26,vlookup(vlookup('source-upstream'!$M193,'analysis-rv-services'!$C:$E,3,FALSE),'schema-rv-services'!$A:$B,2, FALSE))</f>
        <v>feedstock</v>
      </c>
      <c r="N193" s="71"/>
    </row>
    <row r="194" ht="15.0" customHeight="1">
      <c r="A194" s="86" t="str">
        <f>Substitute(SUBSTITUTE(substitute(substitute(substitute(substitute(substitute(substitute(substitute(lower('source-upstream'!A194)," ","-"),"(",""),")",""),"&gt;",""),"&lt;",""),"---","-"),".","-"),"--","-"),"&amp;","-and-")</f>
        <v>spotted-cockatoo</v>
      </c>
      <c r="B194" s="86" t="str">
        <f>Substitute(SUBSTITUTE(substitute(substitute(substitute(substitute(substitute(substitute(substitute(lower('source-upstream'!B194)," ","-"),"(",""),")",""),"&gt;",""),"&lt;",""),"---","-"),".","-"),"--","-"),"&amp;","-and-")</f>
        <v>red-numbat</v>
      </c>
      <c r="C194" s="71" t="str">
        <f>if('source-upstream'!C194="",'schema-frequency'!$B$11,vlookup('source-upstream'!C194,FREQUENCY_MAP, 3, FALSE))</f>
        <v>not-provided</v>
      </c>
      <c r="D194" s="87" t="str">
        <f>'source-upstream'!D194</f>
        <v>Not provided</v>
      </c>
      <c r="E194" s="71" t="str">
        <f>if('source-upstream'!E194="",'schema-yn'!$A$5,vlookup('source-upstream'!E194,YN_MAP,3,FALSE))</f>
        <v>not-provided</v>
      </c>
      <c r="F194" s="71" t="str">
        <f>if('source-upstream'!F194="",'schema-yn'!$A$5,vlookup('source-upstream'!F194,YN_MAP,3,FALSE))</f>
        <v>not-provided</v>
      </c>
      <c r="G194" s="71" t="str">
        <f>if('source-upstream'!G194="",'schema-yn'!$A$5,vlookup('source-upstream'!G194,YN_MAP,3,FALSE))</f>
        <v>not-provided</v>
      </c>
      <c r="H194" s="71" t="str">
        <f>if('source-upstream'!H194="",'schema-yn'!$A$5,vlookup('source-upstream'!H194,RESILIENCE_OPTION_MAP,3,FALSE))</f>
        <v>not-provided</v>
      </c>
      <c r="I194" s="71" t="str">
        <f>if(iserror(vlookup('source-upstream'!I194,'data-cleansing-maps'!N$5:N$10,1,FALSE)),'source-upstream'!I194,"")</f>
        <v/>
      </c>
      <c r="J194" s="87" t="str">
        <f>'source-upstream'!J194</f>
        <v>Not provided</v>
      </c>
      <c r="K194" s="71" t="str">
        <f>if('source-upstream'!K194="",'schema-yn'!$A$5,vlookup('source-upstream'!K194,YN_MAP,3,FALSE))</f>
        <v>not-provided</v>
      </c>
      <c r="L194" s="88" t="str">
        <f>if('source-upstream'!L194="Not provided","",'source-upstream'!L194)</f>
        <v/>
      </c>
      <c r="M194" s="66" t="str">
        <f>if('source-upstream'!M194="",'schema-rv-services'!$B$26,vlookup(vlookup('source-upstream'!$M194,'analysis-rv-services'!$C:$E,3,FALSE),'schema-rv-services'!$A:$B,2, FALSE))</f>
        <v>feedstock</v>
      </c>
      <c r="N194" s="71"/>
    </row>
    <row r="195" ht="15.0" customHeight="1">
      <c r="A195" s="86" t="str">
        <f>Substitute(SUBSTITUTE(substitute(substitute(substitute(substitute(substitute(substitute(substitute(lower('source-upstream'!A195)," ","-"),"(",""),")",""),"&gt;",""),"&lt;",""),"---","-"),".","-"),"--","-"),"&amp;","-and-")</f>
        <v>spotted-cockatoo</v>
      </c>
      <c r="B195" s="86" t="str">
        <f>Substitute(SUBSTITUTE(substitute(substitute(substitute(substitute(substitute(substitute(substitute(lower('source-upstream'!B195)," ","-"),"(",""),")",""),"&gt;",""),"&lt;",""),"---","-"),".","-"),"--","-"),"&amp;","-and-")</f>
        <v>red-numbat</v>
      </c>
      <c r="C195" s="71" t="str">
        <f>if('source-upstream'!C195="",'schema-frequency'!$B$11,vlookup('source-upstream'!C195,FREQUENCY_MAP, 3, FALSE))</f>
        <v>not-provided</v>
      </c>
      <c r="D195" s="87" t="str">
        <f>'source-upstream'!D195</f>
        <v>Not provided</v>
      </c>
      <c r="E195" s="71" t="str">
        <f>if('source-upstream'!E195="",'schema-yn'!$A$5,vlookup('source-upstream'!E195,YN_MAP,3,FALSE))</f>
        <v>not-provided</v>
      </c>
      <c r="F195" s="71" t="str">
        <f>if('source-upstream'!F195="",'schema-yn'!$A$5,vlookup('source-upstream'!F195,YN_MAP,3,FALSE))</f>
        <v>not-provided</v>
      </c>
      <c r="G195" s="71" t="str">
        <f>if('source-upstream'!G195="",'schema-yn'!$A$5,vlookup('source-upstream'!G195,YN_MAP,3,FALSE))</f>
        <v>not-provided</v>
      </c>
      <c r="H195" s="71" t="str">
        <f>if('source-upstream'!H195="",'schema-yn'!$A$5,vlookup('source-upstream'!H195,RESILIENCE_OPTION_MAP,3,FALSE))</f>
        <v>not-provided</v>
      </c>
      <c r="I195" s="71" t="str">
        <f>if(iserror(vlookup('source-upstream'!I195,'data-cleansing-maps'!N$5:N$10,1,FALSE)),'source-upstream'!I195,"")</f>
        <v/>
      </c>
      <c r="J195" s="87" t="str">
        <f>'source-upstream'!J195</f>
        <v>Not provided</v>
      </c>
      <c r="K195" s="71" t="str">
        <f>if('source-upstream'!K195="",'schema-yn'!$A$5,vlookup('source-upstream'!K195,YN_MAP,3,FALSE))</f>
        <v>not-provided</v>
      </c>
      <c r="L195" s="88" t="str">
        <f>if('source-upstream'!L195="Not provided","",'source-upstream'!L195)</f>
        <v/>
      </c>
      <c r="M195" s="66" t="str">
        <f>if('source-upstream'!M195="",'schema-rv-services'!$B$26,vlookup(vlookup('source-upstream'!$M195,'analysis-rv-services'!$C:$E,3,FALSE),'schema-rv-services'!$A:$B,2, FALSE))</f>
        <v>feedstock</v>
      </c>
      <c r="N195" s="71"/>
    </row>
    <row r="196" ht="15.0" customHeight="1">
      <c r="A196" s="86" t="str">
        <f>Substitute(SUBSTITUTE(substitute(substitute(substitute(substitute(substitute(substitute(substitute(lower('source-upstream'!A196)," ","-"),"(",""),")",""),"&gt;",""),"&lt;",""),"---","-"),".","-"),"--","-"),"&amp;","-and-")</f>
        <v>spotted-cockatoo</v>
      </c>
      <c r="B196" s="86" t="str">
        <f>Substitute(SUBSTITUTE(substitute(substitute(substitute(substitute(substitute(substitute(substitute(lower('source-upstream'!B196)," ","-"),"(",""),")",""),"&gt;",""),"&lt;",""),"---","-"),".","-"),"--","-"),"&amp;","-and-")</f>
        <v>red-numbat</v>
      </c>
      <c r="C196" s="71" t="str">
        <f>if('source-upstream'!C196="",'schema-frequency'!$B$11,vlookup('source-upstream'!C196,FREQUENCY_MAP, 3, FALSE))</f>
        <v>not-provided</v>
      </c>
      <c r="D196" s="87" t="str">
        <f>'source-upstream'!D196</f>
        <v>Not provided</v>
      </c>
      <c r="E196" s="71" t="str">
        <f>if('source-upstream'!E196="",'schema-yn'!$A$5,vlookup('source-upstream'!E196,YN_MAP,3,FALSE))</f>
        <v>not-provided</v>
      </c>
      <c r="F196" s="71" t="str">
        <f>if('source-upstream'!F196="",'schema-yn'!$A$5,vlookup('source-upstream'!F196,YN_MAP,3,FALSE))</f>
        <v>not-provided</v>
      </c>
      <c r="G196" s="71" t="str">
        <f>if('source-upstream'!G196="",'schema-yn'!$A$5,vlookup('source-upstream'!G196,YN_MAP,3,FALSE))</f>
        <v>not-provided</v>
      </c>
      <c r="H196" s="71" t="str">
        <f>if('source-upstream'!H196="",'schema-yn'!$A$5,vlookup('source-upstream'!H196,RESILIENCE_OPTION_MAP,3,FALSE))</f>
        <v>not-provided</v>
      </c>
      <c r="I196" s="71" t="str">
        <f>if(iserror(vlookup('source-upstream'!I196,'data-cleansing-maps'!N$5:N$10,1,FALSE)),'source-upstream'!I196,"")</f>
        <v/>
      </c>
      <c r="J196" s="87" t="str">
        <f>'source-upstream'!J196</f>
        <v>Not provided</v>
      </c>
      <c r="K196" s="71" t="str">
        <f>if('source-upstream'!K196="",'schema-yn'!$A$5,vlookup('source-upstream'!K196,YN_MAP,3,FALSE))</f>
        <v>not-provided</v>
      </c>
      <c r="L196" s="88" t="str">
        <f>if('source-upstream'!L196="Not provided","",'source-upstream'!L196)</f>
        <v/>
      </c>
      <c r="M196" s="66" t="str">
        <f>if('source-upstream'!M196="",'schema-rv-services'!$B$26,vlookup(vlookup('source-upstream'!$M196,'analysis-rv-services'!$C:$E,3,FALSE),'schema-rv-services'!$A:$B,2, FALSE))</f>
        <v>feedstock</v>
      </c>
      <c r="N196" s="71"/>
    </row>
    <row r="197" ht="15.0" customHeight="1">
      <c r="A197" s="86" t="str">
        <f>Substitute(SUBSTITUTE(substitute(substitute(substitute(substitute(substitute(substitute(substitute(lower('source-upstream'!A197)," ","-"),"(",""),")",""),"&gt;",""),"&lt;",""),"---","-"),".","-"),"--","-"),"&amp;","-and-")</f>
        <v>spotted-cockatoo</v>
      </c>
      <c r="B197" s="86" t="str">
        <f>Substitute(SUBSTITUTE(substitute(substitute(substitute(substitute(substitute(substitute(substitute(lower('source-upstream'!B197)," ","-"),"(",""),")",""),"&gt;",""),"&lt;",""),"---","-"),".","-"),"--","-"),"&amp;","-and-")</f>
        <v>red-numbat</v>
      </c>
      <c r="C197" s="71" t="str">
        <f>if('source-upstream'!C197="",'schema-frequency'!$B$11,vlookup('source-upstream'!C197,FREQUENCY_MAP, 3, FALSE))</f>
        <v>not-provided</v>
      </c>
      <c r="D197" s="87" t="str">
        <f>'source-upstream'!D197</f>
        <v>Not provided</v>
      </c>
      <c r="E197" s="71" t="str">
        <f>if('source-upstream'!E197="",'schema-yn'!$A$5,vlookup('source-upstream'!E197,YN_MAP,3,FALSE))</f>
        <v>not-provided</v>
      </c>
      <c r="F197" s="71" t="str">
        <f>if('source-upstream'!F197="",'schema-yn'!$A$5,vlookup('source-upstream'!F197,YN_MAP,3,FALSE))</f>
        <v>not-provided</v>
      </c>
      <c r="G197" s="71" t="str">
        <f>if('source-upstream'!G197="",'schema-yn'!$A$5,vlookup('source-upstream'!G197,YN_MAP,3,FALSE))</f>
        <v>not-provided</v>
      </c>
      <c r="H197" s="71" t="str">
        <f>if('source-upstream'!H197="",'schema-yn'!$A$5,vlookup('source-upstream'!H197,RESILIENCE_OPTION_MAP,3,FALSE))</f>
        <v>not-provided</v>
      </c>
      <c r="I197" s="71" t="str">
        <f>if(iserror(vlookup('source-upstream'!I197,'data-cleansing-maps'!N$5:N$10,1,FALSE)),'source-upstream'!I197,"")</f>
        <v/>
      </c>
      <c r="J197" s="87" t="str">
        <f>'source-upstream'!J197</f>
        <v>Not provided</v>
      </c>
      <c r="K197" s="71" t="str">
        <f>if('source-upstream'!K197="",'schema-yn'!$A$5,vlookup('source-upstream'!K197,YN_MAP,3,FALSE))</f>
        <v>not-provided</v>
      </c>
      <c r="L197" s="88" t="str">
        <f>if('source-upstream'!L197="Not provided","",'source-upstream'!L197)</f>
        <v/>
      </c>
      <c r="M197" s="66" t="str">
        <f>if('source-upstream'!M197="",'schema-rv-services'!$B$26,vlookup(vlookup('source-upstream'!$M197,'analysis-rv-services'!$C:$E,3,FALSE),'schema-rv-services'!$A:$B,2, FALSE))</f>
        <v>feedstock</v>
      </c>
      <c r="N197" s="71"/>
    </row>
    <row r="198" ht="15.0" customHeight="1">
      <c r="A198" s="86" t="str">
        <f>Substitute(SUBSTITUTE(substitute(substitute(substitute(substitute(substitute(substitute(substitute(lower('source-upstream'!A198)," ","-"),"(",""),")",""),"&gt;",""),"&lt;",""),"---","-"),".","-"),"--","-"),"&amp;","-and-")</f>
        <v>spotted-cockatoo</v>
      </c>
      <c r="B198" s="86" t="str">
        <f>Substitute(SUBSTITUTE(substitute(substitute(substitute(substitute(substitute(substitute(substitute(lower('source-upstream'!B198)," ","-"),"(",""),")",""),"&gt;",""),"&lt;",""),"---","-"),".","-"),"--","-"),"&amp;","-and-")</f>
        <v>red-numbat</v>
      </c>
      <c r="C198" s="71" t="str">
        <f>if('source-upstream'!C198="",'schema-frequency'!$B$11,vlookup('source-upstream'!C198,FREQUENCY_MAP, 3, FALSE))</f>
        <v>not-provided</v>
      </c>
      <c r="D198" s="87" t="str">
        <f>'source-upstream'!D198</f>
        <v>Not provided</v>
      </c>
      <c r="E198" s="71" t="str">
        <f>if('source-upstream'!E198="",'schema-yn'!$A$5,vlookup('source-upstream'!E198,YN_MAP,3,FALSE))</f>
        <v>not-provided</v>
      </c>
      <c r="F198" s="71" t="str">
        <f>if('source-upstream'!F198="",'schema-yn'!$A$5,vlookup('source-upstream'!F198,YN_MAP,3,FALSE))</f>
        <v>not-provided</v>
      </c>
      <c r="G198" s="71" t="str">
        <f>if('source-upstream'!G198="",'schema-yn'!$A$5,vlookup('source-upstream'!G198,YN_MAP,3,FALSE))</f>
        <v>not-provided</v>
      </c>
      <c r="H198" s="71" t="str">
        <f>if('source-upstream'!H198="",'schema-yn'!$A$5,vlookup('source-upstream'!H198,RESILIENCE_OPTION_MAP,3,FALSE))</f>
        <v>not-provided</v>
      </c>
      <c r="I198" s="71" t="str">
        <f>if(iserror(vlookup('source-upstream'!I198,'data-cleansing-maps'!N$5:N$10,1,FALSE)),'source-upstream'!I198,"")</f>
        <v/>
      </c>
      <c r="J198" s="87" t="str">
        <f>'source-upstream'!J198</f>
        <v>Not provided</v>
      </c>
      <c r="K198" s="71" t="str">
        <f>if('source-upstream'!K198="",'schema-yn'!$A$5,vlookup('source-upstream'!K198,YN_MAP,3,FALSE))</f>
        <v>not-provided</v>
      </c>
      <c r="L198" s="88" t="str">
        <f>if('source-upstream'!L198="Not provided","",'source-upstream'!L198)</f>
        <v/>
      </c>
      <c r="M198" s="66" t="str">
        <f>if('source-upstream'!M198="",'schema-rv-services'!$B$26,vlookup(vlookup('source-upstream'!$M198,'analysis-rv-services'!$C:$E,3,FALSE),'schema-rv-services'!$A:$B,2, FALSE))</f>
        <v>feedstock</v>
      </c>
      <c r="N198" s="71"/>
    </row>
    <row r="199" ht="15.0" customHeight="1">
      <c r="A199" s="86" t="str">
        <f>Substitute(SUBSTITUTE(substitute(substitute(substitute(substitute(substitute(substitute(substitute(lower('source-upstream'!A199)," ","-"),"(",""),")",""),"&gt;",""),"&lt;",""),"---","-"),".","-"),"--","-"),"&amp;","-and-")</f>
        <v>spotted-cockatoo</v>
      </c>
      <c r="B199" s="86" t="str">
        <f>Substitute(SUBSTITUTE(substitute(substitute(substitute(substitute(substitute(substitute(substitute(lower('source-upstream'!B199)," ","-"),"(",""),")",""),"&gt;",""),"&lt;",""),"---","-"),".","-"),"--","-"),"&amp;","-and-")</f>
        <v>red-numbat</v>
      </c>
      <c r="C199" s="71" t="str">
        <f>if('source-upstream'!C199="",'schema-frequency'!$B$11,vlookup('source-upstream'!C199,FREQUENCY_MAP, 3, FALSE))</f>
        <v>not-provided</v>
      </c>
      <c r="D199" s="87" t="str">
        <f>'source-upstream'!D199</f>
        <v>Not provided</v>
      </c>
      <c r="E199" s="71" t="str">
        <f>if('source-upstream'!E199="",'schema-yn'!$A$5,vlookup('source-upstream'!E199,YN_MAP,3,FALSE))</f>
        <v>not-provided</v>
      </c>
      <c r="F199" s="71" t="str">
        <f>if('source-upstream'!F199="",'schema-yn'!$A$5,vlookup('source-upstream'!F199,YN_MAP,3,FALSE))</f>
        <v>not-provided</v>
      </c>
      <c r="G199" s="71" t="str">
        <f>if('source-upstream'!G199="",'schema-yn'!$A$5,vlookup('source-upstream'!G199,YN_MAP,3,FALSE))</f>
        <v>not-provided</v>
      </c>
      <c r="H199" s="71" t="str">
        <f>if('source-upstream'!H199="",'schema-yn'!$A$5,vlookup('source-upstream'!H199,RESILIENCE_OPTION_MAP,3,FALSE))</f>
        <v>not-provided</v>
      </c>
      <c r="I199" s="71" t="str">
        <f>if(iserror(vlookup('source-upstream'!I199,'data-cleansing-maps'!N$5:N$10,1,FALSE)),'source-upstream'!I199,"")</f>
        <v/>
      </c>
      <c r="J199" s="87" t="str">
        <f>'source-upstream'!J199</f>
        <v>Not provided</v>
      </c>
      <c r="K199" s="71" t="str">
        <f>if('source-upstream'!K199="",'schema-yn'!$A$5,vlookup('source-upstream'!K199,YN_MAP,3,FALSE))</f>
        <v>not-provided</v>
      </c>
      <c r="L199" s="88" t="str">
        <f>if('source-upstream'!L199="Not provided","",'source-upstream'!L199)</f>
        <v/>
      </c>
      <c r="M199" s="66" t="str">
        <f>if('source-upstream'!M199="",'schema-rv-services'!$B$26,vlookup(vlookup('source-upstream'!$M199,'analysis-rv-services'!$C:$E,3,FALSE),'schema-rv-services'!$A:$B,2, FALSE))</f>
        <v>feedstock</v>
      </c>
      <c r="N199" s="71"/>
    </row>
    <row r="200" ht="15.0" customHeight="1">
      <c r="A200" s="86" t="str">
        <f>Substitute(SUBSTITUTE(substitute(substitute(substitute(substitute(substitute(substitute(substitute(lower('source-upstream'!A200)," ","-"),"(",""),")",""),"&gt;",""),"&lt;",""),"---","-"),".","-"),"--","-"),"&amp;","-and-")</f>
        <v>spotted-cockatoo</v>
      </c>
      <c r="B200" s="86" t="str">
        <f>Substitute(SUBSTITUTE(substitute(substitute(substitute(substitute(substitute(substitute(substitute(lower('source-upstream'!B200)," ","-"),"(",""),")",""),"&gt;",""),"&lt;",""),"---","-"),".","-"),"--","-"),"&amp;","-and-")</f>
        <v>red-numbat</v>
      </c>
      <c r="C200" s="71" t="str">
        <f>if('source-upstream'!C200="",'schema-frequency'!$B$11,vlookup('source-upstream'!C200,FREQUENCY_MAP, 3, FALSE))</f>
        <v>not-provided</v>
      </c>
      <c r="D200" s="87" t="str">
        <f>'source-upstream'!D200</f>
        <v>Not provided</v>
      </c>
      <c r="E200" s="71" t="str">
        <f>if('source-upstream'!E200="",'schema-yn'!$A$5,vlookup('source-upstream'!E200,YN_MAP,3,FALSE))</f>
        <v>not-provided</v>
      </c>
      <c r="F200" s="71" t="str">
        <f>if('source-upstream'!F200="",'schema-yn'!$A$5,vlookup('source-upstream'!F200,YN_MAP,3,FALSE))</f>
        <v>not-provided</v>
      </c>
      <c r="G200" s="71" t="str">
        <f>if('source-upstream'!G200="",'schema-yn'!$A$5,vlookup('source-upstream'!G200,YN_MAP,3,FALSE))</f>
        <v>not-provided</v>
      </c>
      <c r="H200" s="71" t="str">
        <f>if('source-upstream'!H200="",'schema-yn'!$A$5,vlookup('source-upstream'!H200,RESILIENCE_OPTION_MAP,3,FALSE))</f>
        <v>not-provided</v>
      </c>
      <c r="I200" s="71" t="str">
        <f>if(iserror(vlookup('source-upstream'!I200,'data-cleansing-maps'!N$5:N$10,1,FALSE)),'source-upstream'!I200,"")</f>
        <v/>
      </c>
      <c r="J200" s="87" t="str">
        <f>'source-upstream'!J200</f>
        <v>Not provided</v>
      </c>
      <c r="K200" s="71" t="str">
        <f>if('source-upstream'!K200="",'schema-yn'!$A$5,vlookup('source-upstream'!K200,YN_MAP,3,FALSE))</f>
        <v>not-provided</v>
      </c>
      <c r="L200" s="88" t="str">
        <f>if('source-upstream'!L200="Not provided","",'source-upstream'!L200)</f>
        <v/>
      </c>
      <c r="M200" s="66" t="str">
        <f>if('source-upstream'!M200="",'schema-rv-services'!$B$26,vlookup(vlookup('source-upstream'!$M200,'analysis-rv-services'!$C:$E,3,FALSE),'schema-rv-services'!$A:$B,2, FALSE))</f>
        <v>feedstock</v>
      </c>
      <c r="N200" s="71"/>
    </row>
    <row r="201" ht="15.0" customHeight="1">
      <c r="A201" s="86" t="str">
        <f>Substitute(SUBSTITUTE(substitute(substitute(substitute(substitute(substitute(substitute(substitute(lower('source-upstream'!A201)," ","-"),"(",""),")",""),"&gt;",""),"&lt;",""),"---","-"),".","-"),"--","-"),"&amp;","-and-")</f>
        <v>spotted-koala</v>
      </c>
      <c r="B201" s="86" t="str">
        <f>Substitute(SUBSTITUTE(substitute(substitute(substitute(substitute(substitute(substitute(substitute(lower('source-upstream'!B201)," ","-"),"(",""),")",""),"&gt;",""),"&lt;",""),"---","-"),".","-"),"--","-"),"&amp;","-and-")</f>
        <v>swift-bush-stone-curlew</v>
      </c>
      <c r="C201" s="71" t="str">
        <f>if('source-upstream'!C201="",'schema-frequency'!$B$11,vlookup('source-upstream'!C201,FREQUENCY_MAP, 3, FALSE))</f>
        <v>not-provided</v>
      </c>
      <c r="D201" s="87" t="str">
        <f>'source-upstream'!D201</f>
        <v>Not provided</v>
      </c>
      <c r="E201" s="71" t="str">
        <f>if('source-upstream'!E201="",'schema-yn'!$A$5,vlookup('source-upstream'!E201,YN_MAP,3,FALSE))</f>
        <v>not-provided</v>
      </c>
      <c r="F201" s="71" t="str">
        <f>if('source-upstream'!F201="",'schema-yn'!$A$5,vlookup('source-upstream'!F201,YN_MAP,3,FALSE))</f>
        <v>not-provided</v>
      </c>
      <c r="G201" s="71" t="str">
        <f>if('source-upstream'!G201="",'schema-yn'!$A$5,vlookup('source-upstream'!G201,YN_MAP,3,FALSE))</f>
        <v>not-provided</v>
      </c>
      <c r="H201" s="71" t="str">
        <f>if('source-upstream'!H201="",'schema-yn'!$A$5,vlookup('source-upstream'!H201,RESILIENCE_OPTION_MAP,3,FALSE))</f>
        <v>not-provided</v>
      </c>
      <c r="I201" s="71" t="str">
        <f>if(iserror(vlookup('source-upstream'!I201,'data-cleansing-maps'!N$5:N$10,1,FALSE)),'source-upstream'!I201,"")</f>
        <v/>
      </c>
      <c r="J201" s="87" t="str">
        <f>'source-upstream'!J201</f>
        <v>No comments provided</v>
      </c>
      <c r="K201" s="71" t="str">
        <f>if('source-upstream'!K201="",'schema-yn'!$A$5,vlookup('source-upstream'!K201,YN_MAP,3,FALSE))</f>
        <v>not-provided</v>
      </c>
      <c r="L201" s="88" t="str">
        <f>if('source-upstream'!L201="Not provided","",'source-upstream'!L201)</f>
        <v/>
      </c>
      <c r="M201" s="66" t="str">
        <f>if('source-upstream'!M201="",'schema-rv-services'!$B$26,vlookup(vlookup('source-upstream'!$M201,'analysis-rv-services'!$C:$E,3,FALSE),'schema-rv-services'!$A:$B,2, FALSE))</f>
        <v>water</v>
      </c>
      <c r="N201" s="71"/>
    </row>
    <row r="202" ht="15.0" customHeight="1">
      <c r="A202" s="86" t="str">
        <f>Substitute(SUBSTITUTE(substitute(substitute(substitute(substitute(substitute(substitute(substitute(lower('source-upstream'!A202)," ","-"),"(",""),")",""),"&gt;",""),"&lt;",""),"---","-"),".","-"),"--","-"),"&amp;","-and-")</f>
        <v>spotted-koala</v>
      </c>
      <c r="B202" s="86" t="str">
        <f>Substitute(SUBSTITUTE(substitute(substitute(substitute(substitute(substitute(substitute(substitute(lower('source-upstream'!B202)," ","-"),"(",""),")",""),"&gt;",""),"&lt;",""),"---","-"),".","-"),"--","-"),"&amp;","-and-")</f>
        <v>yellow-redback-spider</v>
      </c>
      <c r="C202" s="71" t="str">
        <f>if('source-upstream'!C202="",'schema-frequency'!$B$11,vlookup('source-upstream'!C202,FREQUENCY_MAP, 3, FALSE))</f>
        <v>not-provided</v>
      </c>
      <c r="D202" s="87" t="str">
        <f>'source-upstream'!D202</f>
        <v>Not provided</v>
      </c>
      <c r="E202" s="71" t="str">
        <f>if('source-upstream'!E202="",'schema-yn'!$A$5,vlookup('source-upstream'!E202,YN_MAP,3,FALSE))</f>
        <v>not-provided</v>
      </c>
      <c r="F202" s="71" t="str">
        <f>if('source-upstream'!F202="",'schema-yn'!$A$5,vlookup('source-upstream'!F202,YN_MAP,3,FALSE))</f>
        <v>not-provided</v>
      </c>
      <c r="G202" s="71" t="str">
        <f>if('source-upstream'!G202="",'schema-yn'!$A$5,vlookup('source-upstream'!G202,YN_MAP,3,FALSE))</f>
        <v>not-provided</v>
      </c>
      <c r="H202" s="71" t="str">
        <f>if('source-upstream'!H202="",'schema-yn'!$A$5,vlookup('source-upstream'!H202,RESILIENCE_OPTION_MAP,3,FALSE))</f>
        <v>not-provided</v>
      </c>
      <c r="I202" s="71" t="str">
        <f>if(iserror(vlookup('source-upstream'!I202,'data-cleansing-maps'!N$5:N$10,1,FALSE)),'source-upstream'!I202,"")</f>
        <v/>
      </c>
      <c r="J202" s="87" t="str">
        <f>'source-upstream'!J202</f>
        <v>No comments provided</v>
      </c>
      <c r="K202" s="71" t="str">
        <f>if('source-upstream'!K202="",'schema-yn'!$A$5,vlookup('source-upstream'!K202,YN_MAP,3,FALSE))</f>
        <v>not-provided</v>
      </c>
      <c r="L202" s="88" t="str">
        <f>if('source-upstream'!L202="Not provided","",'source-upstream'!L202)</f>
        <v/>
      </c>
      <c r="M202" s="66" t="str">
        <f>if('source-upstream'!M202="",'schema-rv-services'!$B$26,vlookup(vlookup('source-upstream'!$M202,'analysis-rv-services'!$C:$E,3,FALSE),'schema-rv-services'!$A:$B,2, FALSE))</f>
        <v>water</v>
      </c>
      <c r="N202" s="71"/>
    </row>
    <row r="203" ht="15.0" customHeight="1">
      <c r="A203" s="86" t="str">
        <f>Substitute(SUBSTITUTE(substitute(substitute(substitute(substitute(substitute(substitute(substitute(lower('source-upstream'!A203)," ","-"),"(",""),")",""),"&gt;",""),"&lt;",""),"---","-"),".","-"),"--","-"),"&amp;","-and-")</f>
        <v>spotted-koala</v>
      </c>
      <c r="B203" s="86" t="str">
        <f>Substitute(SUBSTITUTE(substitute(substitute(substitute(substitute(substitute(substitute(substitute(lower('source-upstream'!B203)," ","-"),"(",""),")",""),"&gt;",""),"&lt;",""),"---","-"),".","-"),"--","-"),"&amp;","-and-")</f>
        <v>fuzzy-sugar-glider</v>
      </c>
      <c r="C203" s="71" t="str">
        <f>if('source-upstream'!C203="",'schema-frequency'!$B$11,vlookup('source-upstream'!C203,FREQUENCY_MAP, 3, FALSE))</f>
        <v>not-provided</v>
      </c>
      <c r="D203" s="87" t="str">
        <f>'source-upstream'!D203</f>
        <v>Not provided</v>
      </c>
      <c r="E203" s="71" t="str">
        <f>if('source-upstream'!E203="",'schema-yn'!$A$5,vlookup('source-upstream'!E203,YN_MAP,3,FALSE))</f>
        <v>not-provided</v>
      </c>
      <c r="F203" s="71" t="str">
        <f>if('source-upstream'!F203="",'schema-yn'!$A$5,vlookup('source-upstream'!F203,YN_MAP,3,FALSE))</f>
        <v>not-provided</v>
      </c>
      <c r="G203" s="71" t="str">
        <f>if('source-upstream'!G203="",'schema-yn'!$A$5,vlookup('source-upstream'!G203,YN_MAP,3,FALSE))</f>
        <v>not-provided</v>
      </c>
      <c r="H203" s="71" t="str">
        <f>if('source-upstream'!H203="",'schema-yn'!$A$5,vlookup('source-upstream'!H203,RESILIENCE_OPTION_MAP,3,FALSE))</f>
        <v>not-provided</v>
      </c>
      <c r="I203" s="71" t="str">
        <f>if(iserror(vlookup('source-upstream'!I203,'data-cleansing-maps'!N$5:N$10,1,FALSE)),'source-upstream'!I203,"")</f>
        <v/>
      </c>
      <c r="J203" s="87" t="str">
        <f>'source-upstream'!J203</f>
        <v>No comments provided</v>
      </c>
      <c r="K203" s="71" t="str">
        <f>if('source-upstream'!K203="",'schema-yn'!$A$5,vlookup('source-upstream'!K203,YN_MAP,3,FALSE))</f>
        <v>not-provided</v>
      </c>
      <c r="L203" s="88" t="str">
        <f>if('source-upstream'!L203="Not provided","",'source-upstream'!L203)</f>
        <v/>
      </c>
      <c r="M203" s="66" t="str">
        <f>if('source-upstream'!M203="",'schema-rv-services'!$B$26,vlookup(vlookup('source-upstream'!$M203,'analysis-rv-services'!$C:$E,3,FALSE),'schema-rv-services'!$A:$B,2, FALSE))</f>
        <v>not-provided</v>
      </c>
      <c r="N203" s="71"/>
    </row>
    <row r="204" ht="15.0" customHeight="1">
      <c r="A204" s="86" t="str">
        <f>Substitute(SUBSTITUTE(substitute(substitute(substitute(substitute(substitute(substitute(substitute(lower('source-upstream'!A204)," ","-"),"(",""),")",""),"&gt;",""),"&lt;",""),"---","-"),".","-"),"--","-"),"&amp;","-and-")</f>
        <v>spotted-koala</v>
      </c>
      <c r="B204" s="86" t="str">
        <f>Substitute(SUBSTITUTE(substitute(substitute(substitute(substitute(substitute(substitute(substitute(lower('source-upstream'!B204)," ","-"),"(",""),")",""),"&gt;",""),"&lt;",""),"---","-"),".","-"),"--","-"),"&amp;","-and-")</f>
        <v>noisy-quokka</v>
      </c>
      <c r="C204" s="71" t="str">
        <f>if('source-upstream'!C204="",'schema-frequency'!$B$11,vlookup('source-upstream'!C204,FREQUENCY_MAP, 3, FALSE))</f>
        <v>not-provided</v>
      </c>
      <c r="D204" s="87" t="str">
        <f>'source-upstream'!D204</f>
        <v>Not provided</v>
      </c>
      <c r="E204" s="71" t="str">
        <f>if('source-upstream'!E204="",'schema-yn'!$A$5,vlookup('source-upstream'!E204,YN_MAP,3,FALSE))</f>
        <v>not-provided</v>
      </c>
      <c r="F204" s="71" t="str">
        <f>if('source-upstream'!F204="",'schema-yn'!$A$5,vlookup('source-upstream'!F204,YN_MAP,3,FALSE))</f>
        <v>not-provided</v>
      </c>
      <c r="G204" s="71" t="str">
        <f>if('source-upstream'!G204="",'schema-yn'!$A$5,vlookup('source-upstream'!G204,YN_MAP,3,FALSE))</f>
        <v>not-provided</v>
      </c>
      <c r="H204" s="71" t="str">
        <f>if('source-upstream'!H204="",'schema-yn'!$A$5,vlookup('source-upstream'!H204,RESILIENCE_OPTION_MAP,3,FALSE))</f>
        <v>not-provided</v>
      </c>
      <c r="I204" s="71" t="str">
        <f>if(iserror(vlookup('source-upstream'!I204,'data-cleansing-maps'!N$5:N$10,1,FALSE)),'source-upstream'!I204,"")</f>
        <v/>
      </c>
      <c r="J204" s="87" t="str">
        <f>'source-upstream'!J204</f>
        <v>No comments provided</v>
      </c>
      <c r="K204" s="71" t="str">
        <f>if('source-upstream'!K204="",'schema-yn'!$A$5,vlookup('source-upstream'!K204,YN_MAP,3,FALSE))</f>
        <v>not-provided</v>
      </c>
      <c r="L204" s="88" t="str">
        <f>if('source-upstream'!L204="Not provided","",'source-upstream'!L204)</f>
        <v/>
      </c>
      <c r="M204" s="66" t="str">
        <f>if('source-upstream'!M204="",'schema-rv-services'!$B$26,vlookup(vlookup('source-upstream'!$M204,'analysis-rv-services'!$C:$E,3,FALSE),'schema-rv-services'!$A:$B,2, FALSE))</f>
        <v>transport</v>
      </c>
      <c r="N204" s="71"/>
    </row>
    <row r="205" ht="15.0" customHeight="1">
      <c r="A205" s="86" t="str">
        <f>Substitute(SUBSTITUTE(substitute(substitute(substitute(substitute(substitute(substitute(substitute(lower('source-upstream'!A205)," ","-"),"(",""),")",""),"&gt;",""),"&lt;",""),"---","-"),".","-"),"--","-"),"&amp;","-and-")</f>
        <v>spotted-koala</v>
      </c>
      <c r="B205" s="86" t="str">
        <f>Substitute(SUBSTITUTE(substitute(substitute(substitute(substitute(substitute(substitute(substitute(lower('source-upstream'!B205)," ","-"),"(",""),")",""),"&gt;",""),"&lt;",""),"---","-"),".","-"),"--","-"),"&amp;","-and-")</f>
        <v>wild-numbat</v>
      </c>
      <c r="C205" s="71" t="str">
        <f>if('source-upstream'!C205="",'schema-frequency'!$B$11,vlookup('source-upstream'!C205,FREQUENCY_MAP, 3, FALSE))</f>
        <v>not-provided</v>
      </c>
      <c r="D205" s="87" t="str">
        <f>'source-upstream'!D205</f>
        <v>Not provided</v>
      </c>
      <c r="E205" s="71" t="str">
        <f>if('source-upstream'!E205="",'schema-yn'!$A$5,vlookup('source-upstream'!E205,YN_MAP,3,FALSE))</f>
        <v>not-provided</v>
      </c>
      <c r="F205" s="71" t="str">
        <f>if('source-upstream'!F205="",'schema-yn'!$A$5,vlookup('source-upstream'!F205,YN_MAP,3,FALSE))</f>
        <v>not-provided</v>
      </c>
      <c r="G205" s="71" t="str">
        <f>if('source-upstream'!G205="",'schema-yn'!$A$5,vlookup('source-upstream'!G205,YN_MAP,3,FALSE))</f>
        <v>not-provided</v>
      </c>
      <c r="H205" s="71" t="str">
        <f>if('source-upstream'!H205="",'schema-yn'!$A$5,vlookup('source-upstream'!H205,RESILIENCE_OPTION_MAP,3,FALSE))</f>
        <v>not-provided</v>
      </c>
      <c r="I205" s="71" t="str">
        <f>if(iserror(vlookup('source-upstream'!I205,'data-cleansing-maps'!N$5:N$10,1,FALSE)),'source-upstream'!I205,"")</f>
        <v/>
      </c>
      <c r="J205" s="87" t="str">
        <f>'source-upstream'!J205</f>
        <v>No comments provided</v>
      </c>
      <c r="K205" s="71" t="str">
        <f>if('source-upstream'!K205="",'schema-yn'!$A$5,vlookup('source-upstream'!K205,YN_MAP,3,FALSE))</f>
        <v>not-provided</v>
      </c>
      <c r="L205" s="88" t="str">
        <f>if('source-upstream'!L205="Not provided","",'source-upstream'!L205)</f>
        <v/>
      </c>
      <c r="M205" s="66" t="str">
        <f>if('source-upstream'!M205="",'schema-rv-services'!$B$26,vlookup(vlookup('source-upstream'!$M205,'analysis-rv-services'!$C:$E,3,FALSE),'schema-rv-services'!$A:$B,2, FALSE))</f>
        <v>not-provided</v>
      </c>
      <c r="N205" s="71"/>
    </row>
    <row r="206" ht="15.0" customHeight="1">
      <c r="A206" s="86" t="str">
        <f>Substitute(SUBSTITUTE(substitute(substitute(substitute(substitute(substitute(substitute(substitute(lower('source-upstream'!A206)," ","-"),"(",""),")",""),"&gt;",""),"&lt;",""),"---","-"),".","-"),"--","-"),"&amp;","-and-")</f>
        <v>spotted-koala</v>
      </c>
      <c r="B206" s="86" t="str">
        <f>Substitute(SUBSTITUTE(substitute(substitute(substitute(substitute(substitute(substitute(substitute(lower('source-upstream'!B206)," ","-"),"(",""),")",""),"&gt;",""),"&lt;",""),"---","-"),".","-"),"--","-"),"&amp;","-and-")</f>
        <v>shy-numbat</v>
      </c>
      <c r="C206" s="71" t="str">
        <f>if('source-upstream'!C206="",'schema-frequency'!$B$11,vlookup('source-upstream'!C206,FREQUENCY_MAP, 3, FALSE))</f>
        <v>not-provided</v>
      </c>
      <c r="D206" s="87" t="str">
        <f>'source-upstream'!D206</f>
        <v>Not provided</v>
      </c>
      <c r="E206" s="71" t="str">
        <f>if('source-upstream'!E206="",'schema-yn'!$A$5,vlookup('source-upstream'!E206,YN_MAP,3,FALSE))</f>
        <v>not-provided</v>
      </c>
      <c r="F206" s="71" t="str">
        <f>if('source-upstream'!F206="",'schema-yn'!$A$5,vlookup('source-upstream'!F206,YN_MAP,3,FALSE))</f>
        <v>not-provided</v>
      </c>
      <c r="G206" s="71" t="str">
        <f>if('source-upstream'!G206="",'schema-yn'!$A$5,vlookup('source-upstream'!G206,YN_MAP,3,FALSE))</f>
        <v>not-provided</v>
      </c>
      <c r="H206" s="71" t="str">
        <f>if('source-upstream'!H206="",'schema-yn'!$A$5,vlookup('source-upstream'!H206,RESILIENCE_OPTION_MAP,3,FALSE))</f>
        <v>not-provided</v>
      </c>
      <c r="I206" s="71" t="str">
        <f>if(iserror(vlookup('source-upstream'!I206,'data-cleansing-maps'!N$5:N$10,1,FALSE)),'source-upstream'!I206,"")</f>
        <v/>
      </c>
      <c r="J206" s="87" t="str">
        <f>'source-upstream'!J206</f>
        <v>No comments provided</v>
      </c>
      <c r="K206" s="71" t="str">
        <f>if('source-upstream'!K206="",'schema-yn'!$A$5,vlookup('source-upstream'!K206,YN_MAP,3,FALSE))</f>
        <v>not-provided</v>
      </c>
      <c r="L206" s="88" t="str">
        <f>if('source-upstream'!L206="Not provided","",'source-upstream'!L206)</f>
        <v/>
      </c>
      <c r="M206" s="66" t="str">
        <f>if('source-upstream'!M206="",'schema-rv-services'!$B$26,vlookup(vlookup('source-upstream'!$M206,'analysis-rv-services'!$C:$E,3,FALSE),'schema-rv-services'!$A:$B,2, FALSE))</f>
        <v>not-provided</v>
      </c>
      <c r="N206" s="71"/>
    </row>
    <row r="207" ht="15.0" customHeight="1">
      <c r="A207" s="86" t="str">
        <f>Substitute(SUBSTITUTE(substitute(substitute(substitute(substitute(substitute(substitute(substitute(lower('source-upstream'!A207)," ","-"),"(",""),")",""),"&gt;",""),"&lt;",""),"---","-"),".","-"),"--","-"),"&amp;","-and-")</f>
        <v>striped-frilled-neck-lizard</v>
      </c>
      <c r="B207" s="86" t="str">
        <f>Substitute(SUBSTITUTE(substitute(substitute(substitute(substitute(substitute(substitute(substitute(lower('source-upstream'!B207)," ","-"),"(",""),")",""),"&gt;",""),"&lt;",""),"---","-"),".","-"),"--","-"),"&amp;","-and-")</f>
        <v>noisy-possum</v>
      </c>
      <c r="C207" s="71" t="str">
        <f>if('source-upstream'!C207="",'schema-frequency'!$B$11,vlookup('source-upstream'!C207,FREQUENCY_MAP, 3, FALSE))</f>
        <v>not-provided</v>
      </c>
      <c r="D207" s="87" t="str">
        <f>'source-upstream'!D207</f>
        <v>Electricity</v>
      </c>
      <c r="E207" s="71" t="str">
        <f>if('source-upstream'!E207="",'schema-yn'!$A$5,vlookup('source-upstream'!E207,YN_MAP,3,FALSE))</f>
        <v>yes</v>
      </c>
      <c r="F207" s="71" t="str">
        <f>if('source-upstream'!F207="",'schema-yn'!$A$5,vlookup('source-upstream'!F207,YN_MAP,3,FALSE))</f>
        <v>yes</v>
      </c>
      <c r="G207" s="71" t="str">
        <f>if('source-upstream'!G207="",'schema-yn'!$A$5,vlookup('source-upstream'!G207,YN_MAP,3,FALSE))</f>
        <v>yes</v>
      </c>
      <c r="H207" s="71" t="str">
        <f>if('source-upstream'!H207="",'schema-yn'!$A$5,vlookup('source-upstream'!H207,RESILIENCE_OPTION_MAP,3,FALSE))</f>
        <v>bc-strategy</v>
      </c>
      <c r="I207" s="71" t="str">
        <f>if(iserror(vlookup('source-upstream'!I207,'data-cleansing-maps'!N$5:N$10,1,FALSE)),'source-upstream'!I207,"")</f>
        <v/>
      </c>
      <c r="J207" s="87" t="str">
        <f>'source-upstream'!J207</f>
        <v>Only basic operations would be performed</v>
      </c>
      <c r="K207" s="71" t="str">
        <f>if('source-upstream'!K207="",'schema-yn'!$A$5,vlookup('source-upstream'!K207,YN_MAP,3,FALSE))</f>
        <v>not-provided</v>
      </c>
      <c r="L207" s="88" t="str">
        <f>if('source-upstream'!L207="Not provided","",'source-upstream'!L207)</f>
        <v/>
      </c>
      <c r="M207" s="66" t="str">
        <f>if('source-upstream'!M207="",'schema-rv-services'!$B$26,vlookup(vlookup('source-upstream'!$M207,'analysis-rv-services'!$C:$E,3,FALSE),'schema-rv-services'!$A:$B,2, FALSE))</f>
        <v>power</v>
      </c>
      <c r="N207" s="71"/>
    </row>
    <row r="208" ht="15.0" customHeight="1">
      <c r="A208" s="86" t="str">
        <f>Substitute(SUBSTITUTE(substitute(substitute(substitute(substitute(substitute(substitute(substitute(lower('source-upstream'!A208)," ","-"),"(",""),")",""),"&gt;",""),"&lt;",""),"---","-"),".","-"),"--","-"),"&amp;","-and-")</f>
        <v>striped-frilled-neck-lizard</v>
      </c>
      <c r="B208" s="86" t="str">
        <f>Substitute(SUBSTITUTE(substitute(substitute(substitute(substitute(substitute(substitute(substitute(lower('source-upstream'!B208)," ","-"),"(",""),")",""),"&gt;",""),"&lt;",""),"---","-"),".","-"),"--","-"),"&amp;","-and-")</f>
        <v>wild-blue-tongue-skink</v>
      </c>
      <c r="C208" s="71" t="str">
        <f>if('source-upstream'!C208="",'schema-frequency'!$B$11,vlookup('source-upstream'!C208,FREQUENCY_MAP, 3, FALSE))</f>
        <v>ad-hoc</v>
      </c>
      <c r="D208" s="87" t="str">
        <f>'source-upstream'!D208</f>
        <v>Contamination clean up</v>
      </c>
      <c r="E208" s="71" t="str">
        <f>if('source-upstream'!E208="",'schema-yn'!$A$5,vlookup('source-upstream'!E208,YN_MAP,3,FALSE))</f>
        <v>yes</v>
      </c>
      <c r="F208" s="71" t="str">
        <f>if('source-upstream'!F208="",'schema-yn'!$A$5,vlookup('source-upstream'!F208,YN_MAP,3,FALSE))</f>
        <v>no</v>
      </c>
      <c r="G208" s="71" t="str">
        <f>if('source-upstream'!G208="",'schema-yn'!$A$5,vlookup('source-upstream'!G208,YN_MAP,3,FALSE))</f>
        <v>yes</v>
      </c>
      <c r="H208" s="71" t="str">
        <f>if('source-upstream'!H208="",'schema-yn'!$A$5,vlookup('source-upstream'!H208,RESILIENCE_OPTION_MAP,3,FALSE))</f>
        <v>alternative-supplier</v>
      </c>
      <c r="I208" s="71" t="str">
        <f>if(iserror(vlookup('source-upstream'!I208,'data-cleansing-maps'!N$5:N$10,1,FALSE)),'source-upstream'!I208,"")</f>
        <v/>
      </c>
      <c r="J208" s="87" t="str">
        <f>'source-upstream'!J208</f>
        <v>No comments provided</v>
      </c>
      <c r="K208" s="71" t="str">
        <f>if('source-upstream'!K208="",'schema-yn'!$A$5,vlookup('source-upstream'!K208,YN_MAP,3,FALSE))</f>
        <v>not-provided</v>
      </c>
      <c r="L208" s="88" t="str">
        <f>if('source-upstream'!L208="Not provided","",'source-upstream'!L208)</f>
        <v/>
      </c>
      <c r="M208" s="66" t="str">
        <f>if('source-upstream'!M208="",'schema-rv-services'!$B$26,vlookup(vlookup('source-upstream'!$M208,'analysis-rv-services'!$C:$E,3,FALSE),'schema-rv-services'!$A:$B,2, FALSE))</f>
        <v>cleaning</v>
      </c>
      <c r="N208" s="71"/>
    </row>
    <row r="209" ht="15.0" customHeight="1">
      <c r="A209" s="86" t="str">
        <f>Substitute(SUBSTITUTE(substitute(substitute(substitute(substitute(substitute(substitute(substitute(lower('source-upstream'!A209)," ","-"),"(",""),")",""),"&gt;",""),"&lt;",""),"---","-"),".","-"),"--","-"),"&amp;","-and-")</f>
        <v>striped-frilled-neck-lizard</v>
      </c>
      <c r="B209" s="86" t="str">
        <f>Substitute(SUBSTITUTE(substitute(substitute(substitute(substitute(substitute(substitute(substitute(lower('source-upstream'!B209)," ","-"),"(",""),")",""),"&gt;",""),"&lt;",""),"---","-"),".","-"),"--","-"),"&amp;","-and-")</f>
        <v>happy-frilled-neck-lizard</v>
      </c>
      <c r="C209" s="71" t="str">
        <f>if('source-upstream'!C209="",'schema-frequency'!$B$11,vlookup('source-upstream'!C209,FREQUENCY_MAP, 3, FALSE))</f>
        <v>ad-hoc</v>
      </c>
      <c r="D209" s="87" t="str">
        <f>'source-upstream'!D209</f>
        <v>Maintenance</v>
      </c>
      <c r="E209" s="71" t="str">
        <f>if('source-upstream'!E209="",'schema-yn'!$A$5,vlookup('source-upstream'!E209,YN_MAP,3,FALSE))</f>
        <v>yes</v>
      </c>
      <c r="F209" s="71" t="str">
        <f>if('source-upstream'!F209="",'schema-yn'!$A$5,vlookup('source-upstream'!F209,YN_MAP,3,FALSE))</f>
        <v>no</v>
      </c>
      <c r="G209" s="71" t="str">
        <f>if('source-upstream'!G209="",'schema-yn'!$A$5,vlookup('source-upstream'!G209,YN_MAP,3,FALSE))</f>
        <v>yes</v>
      </c>
      <c r="H209" s="71" t="str">
        <f>if('source-upstream'!H209="",'schema-yn'!$A$5,vlookup('source-upstream'!H209,RESILIENCE_OPTION_MAP,3,FALSE))</f>
        <v>alternative-supplier</v>
      </c>
      <c r="I209" s="71" t="str">
        <f>if(iserror(vlookup('source-upstream'!I209,'data-cleansing-maps'!N$5:N$10,1,FALSE)),'source-upstream'!I209,"")</f>
        <v/>
      </c>
      <c r="J209" s="87" t="str">
        <f>'source-upstream'!J209</f>
        <v>No comments provided</v>
      </c>
      <c r="K209" s="71" t="str">
        <f>if('source-upstream'!K209="",'schema-yn'!$A$5,vlookup('source-upstream'!K209,YN_MAP,3,FALSE))</f>
        <v>not-provided</v>
      </c>
      <c r="L209" s="88" t="str">
        <f>if('source-upstream'!L209="Not provided","",'source-upstream'!L209)</f>
        <v/>
      </c>
      <c r="M209" s="66" t="str">
        <f>if('source-upstream'!M209="",'schema-rv-services'!$B$26,vlookup(vlookup('source-upstream'!$M209,'analysis-rv-services'!$C:$E,3,FALSE),'schema-rv-services'!$A:$B,2, FALSE))</f>
        <v>repairs-and-maintenance</v>
      </c>
      <c r="N209" s="71"/>
    </row>
    <row r="210" ht="15.0" customHeight="1">
      <c r="A210" s="86" t="str">
        <f>Substitute(SUBSTITUTE(substitute(substitute(substitute(substitute(substitute(substitute(substitute(lower('source-upstream'!A210)," ","-"),"(",""),")",""),"&gt;",""),"&lt;",""),"---","-"),".","-"),"--","-"),"&amp;","-and-")</f>
        <v>striped-frilled-neck-lizard</v>
      </c>
      <c r="B210" s="86" t="str">
        <f>Substitute(SUBSTITUTE(substitute(substitute(substitute(substitute(substitute(substitute(substitute(lower('source-upstream'!B210)," ","-"),"(",""),")",""),"&gt;",""),"&lt;",""),"---","-"),".","-"),"--","-"),"&amp;","-and-")</f>
        <v>wild-quokka</v>
      </c>
      <c r="C210" s="71" t="str">
        <f>if('source-upstream'!C210="",'schema-frequency'!$B$11,vlookup('source-upstream'!C210,FREQUENCY_MAP, 3, FALSE))</f>
        <v>not-provided</v>
      </c>
      <c r="D210" s="87" t="str">
        <f>'source-upstream'!D210</f>
        <v>Containers</v>
      </c>
      <c r="E210" s="71" t="str">
        <f>if('source-upstream'!E210="",'schema-yn'!$A$5,vlookup('source-upstream'!E210,YN_MAP,3,FALSE))</f>
        <v>yes</v>
      </c>
      <c r="F210" s="71" t="str">
        <f>if('source-upstream'!F210="",'schema-yn'!$A$5,vlookup('source-upstream'!F210,YN_MAP,3,FALSE))</f>
        <v>no</v>
      </c>
      <c r="G210" s="71" t="str">
        <f>if('source-upstream'!G210="",'schema-yn'!$A$5,vlookup('source-upstream'!G210,YN_MAP,3,FALSE))</f>
        <v>yes</v>
      </c>
      <c r="H210" s="71" t="str">
        <f>if('source-upstream'!H210="",'schema-yn'!$A$5,vlookup('source-upstream'!H210,RESILIENCE_OPTION_MAP,3,FALSE))</f>
        <v>alternative-supplier</v>
      </c>
      <c r="I210" s="71" t="str">
        <f>if(iserror(vlookup('source-upstream'!I210,'data-cleansing-maps'!N$5:N$10,1,FALSE)),'source-upstream'!I210,"")</f>
        <v/>
      </c>
      <c r="J210" s="87" t="str">
        <f>'source-upstream'!J210</f>
        <v>No comments provided</v>
      </c>
      <c r="K210" s="71" t="str">
        <f>if('source-upstream'!K210="",'schema-yn'!$A$5,vlookup('source-upstream'!K210,YN_MAP,3,FALSE))</f>
        <v>not-provided</v>
      </c>
      <c r="L210" s="88" t="str">
        <f>if('source-upstream'!L210="Not provided","",'source-upstream'!L210)</f>
        <v/>
      </c>
      <c r="M210" s="66" t="str">
        <f>if('source-upstream'!M210="",'schema-rv-services'!$B$26,vlookup(vlookup('source-upstream'!$M210,'analysis-rv-services'!$C:$E,3,FALSE),'schema-rv-services'!$A:$B,2, FALSE))</f>
        <v>plant-and-equipment</v>
      </c>
      <c r="N210" s="71"/>
    </row>
    <row r="211" ht="15.0" customHeight="1">
      <c r="A211" s="86" t="str">
        <f>Substitute(SUBSTITUTE(substitute(substitute(substitute(substitute(substitute(substitute(substitute(lower('source-upstream'!A211)," ","-"),"(",""),")",""),"&gt;",""),"&lt;",""),"---","-"),".","-"),"--","-"),"&amp;","-and-")</f>
        <v>striped-koala</v>
      </c>
      <c r="B211" s="86" t="str">
        <f>Substitute(SUBSTITUTE(substitute(substitute(substitute(substitute(substitute(substitute(substitute(lower('source-upstream'!B211)," ","-"),"(",""),")",""),"&gt;",""),"&lt;",""),"---","-"),".","-"),"--","-"),"&amp;","-and-")</f>
        <v>fuzzy-sugar-glider</v>
      </c>
      <c r="C211" s="71" t="str">
        <f>if('source-upstream'!C211="",'schema-frequency'!$B$11,vlookup('source-upstream'!C211,FREQUENCY_MAP, 3, FALSE))</f>
        <v>not-provided</v>
      </c>
      <c r="D211" s="87" t="str">
        <f>'source-upstream'!D211</f>
        <v>Freight Management</v>
      </c>
      <c r="E211" s="71" t="str">
        <f>if('source-upstream'!E211="",'schema-yn'!$A$5,vlookup('source-upstream'!E211,YN_MAP,3,FALSE))</f>
        <v>yes</v>
      </c>
      <c r="F211" s="71" t="str">
        <f>if('source-upstream'!F211="",'schema-yn'!$A$5,vlookup('source-upstream'!F211,YN_MAP,3,FALSE))</f>
        <v>not-provided</v>
      </c>
      <c r="G211" s="71" t="str">
        <f>if('source-upstream'!G211="",'schema-yn'!$A$5,vlookup('source-upstream'!G211,YN_MAP,3,FALSE))</f>
        <v>yes</v>
      </c>
      <c r="H211" s="71" t="str">
        <f>if('source-upstream'!H211="",'schema-yn'!$A$5,vlookup('source-upstream'!H211,RESILIENCE_OPTION_MAP,3,FALSE))</f>
        <v>alternative-supplier</v>
      </c>
      <c r="I211" s="71" t="str">
        <f>if(iserror(vlookup('source-upstream'!I211,'data-cleansing-maps'!N$5:N$10,1,FALSE)),'source-upstream'!I211,"")</f>
        <v/>
      </c>
      <c r="J211" s="87" t="str">
        <f>'source-upstream'!J211</f>
        <v>possible short term down time</v>
      </c>
      <c r="K211" s="71" t="str">
        <f>if('source-upstream'!K211="",'schema-yn'!$A$5,vlookup('source-upstream'!K211,YN_MAP,3,FALSE))</f>
        <v>not-provided</v>
      </c>
      <c r="L211" s="88" t="str">
        <f>if('source-upstream'!L211="Not provided","",'source-upstream'!L211)</f>
        <v/>
      </c>
      <c r="M211" s="66" t="str">
        <f>if('source-upstream'!M211="",'schema-rv-services'!$B$26,vlookup(vlookup('source-upstream'!$M211,'analysis-rv-services'!$C:$E,3,FALSE),'schema-rv-services'!$A:$B,2, FALSE))</f>
        <v>transport</v>
      </c>
      <c r="N211" s="71"/>
    </row>
    <row r="212" ht="15.0" customHeight="1">
      <c r="A212" s="86" t="str">
        <f>Substitute(SUBSTITUTE(substitute(substitute(substitute(substitute(substitute(substitute(substitute(lower('source-upstream'!A212)," ","-"),"(",""),")",""),"&gt;",""),"&lt;",""),"---","-"),".","-"),"--","-"),"&amp;","-and-")</f>
        <v>striped-koala</v>
      </c>
      <c r="B212" s="86" t="str">
        <f>Substitute(SUBSTITUTE(substitute(substitute(substitute(substitute(substitute(substitute(substitute(lower('source-upstream'!B212)," ","-"),"(",""),")",""),"&gt;",""),"&lt;",""),"---","-"),".","-"),"--","-"),"&amp;","-and-")</f>
        <v>giant-dingo</v>
      </c>
      <c r="C212" s="71" t="str">
        <f>if('source-upstream'!C212="",'schema-frequency'!$B$11,vlookup('source-upstream'!C212,FREQUENCY_MAP, 3, FALSE))</f>
        <v>not-provided</v>
      </c>
      <c r="D212" s="87" t="str">
        <f>'source-upstream'!D212</f>
        <v>Transport</v>
      </c>
      <c r="E212" s="71" t="str">
        <f>if('source-upstream'!E212="",'schema-yn'!$A$5,vlookup('source-upstream'!E212,YN_MAP,3,FALSE))</f>
        <v>yes</v>
      </c>
      <c r="F212" s="71" t="str">
        <f>if('source-upstream'!F212="",'schema-yn'!$A$5,vlookup('source-upstream'!F212,YN_MAP,3,FALSE))</f>
        <v>not-provided</v>
      </c>
      <c r="G212" s="71" t="str">
        <f>if('source-upstream'!G212="",'schema-yn'!$A$5,vlookup('source-upstream'!G212,YN_MAP,3,FALSE))</f>
        <v>yes</v>
      </c>
      <c r="H212" s="71" t="str">
        <f>if('source-upstream'!H212="",'schema-yn'!$A$5,vlookup('source-upstream'!H212,RESILIENCE_OPTION_MAP,3,FALSE))</f>
        <v>alternative-supplier</v>
      </c>
      <c r="I212" s="71" t="str">
        <f>if(iserror(vlookup('source-upstream'!I212,'data-cleansing-maps'!N$5:N$10,1,FALSE)),'source-upstream'!I212,"")</f>
        <v/>
      </c>
      <c r="J212" s="87" t="str">
        <f>'source-upstream'!J212</f>
        <v>possible short term down time</v>
      </c>
      <c r="K212" s="71" t="str">
        <f>if('source-upstream'!K212="",'schema-yn'!$A$5,vlookup('source-upstream'!K212,YN_MAP,3,FALSE))</f>
        <v>not-provided</v>
      </c>
      <c r="L212" s="88" t="str">
        <f>if('source-upstream'!L212="Not provided","",'source-upstream'!L212)</f>
        <v/>
      </c>
      <c r="M212" s="66" t="str">
        <f>if('source-upstream'!M212="",'schema-rv-services'!$B$26,vlookup(vlookup('source-upstream'!$M212,'analysis-rv-services'!$C:$E,3,FALSE),'schema-rv-services'!$A:$B,2, FALSE))</f>
        <v>transport</v>
      </c>
      <c r="N212" s="71"/>
    </row>
    <row r="213" ht="15.0" customHeight="1">
      <c r="A213" s="86" t="str">
        <f>Substitute(SUBSTITUTE(substitute(substitute(substitute(substitute(substitute(substitute(substitute(lower('source-upstream'!A213)," ","-"),"(",""),")",""),"&gt;",""),"&lt;",""),"---","-"),".","-"),"--","-"),"&amp;","-and-")</f>
        <v>striped-koala</v>
      </c>
      <c r="B213" s="86" t="str">
        <f>Substitute(SUBSTITUTE(substitute(substitute(substitute(substitute(substitute(substitute(substitute(lower('source-upstream'!B213)," ","-"),"(",""),")",""),"&gt;",""),"&lt;",""),"---","-"),".","-"),"--","-"),"&amp;","-and-")</f>
        <v>sleepy-wombat</v>
      </c>
      <c r="C213" s="71" t="str">
        <f>if('source-upstream'!C213="",'schema-frequency'!$B$11,vlookup('source-upstream'!C213,FREQUENCY_MAP, 3, FALSE))</f>
        <v>not-provided</v>
      </c>
      <c r="D213" s="87" t="str">
        <f>'source-upstream'!D213</f>
        <v>ERP System Provider</v>
      </c>
      <c r="E213" s="71" t="str">
        <f>if('source-upstream'!E213="",'schema-yn'!$A$5,vlookup('source-upstream'!E213,YN_MAP,3,FALSE))</f>
        <v>yes</v>
      </c>
      <c r="F213" s="71" t="str">
        <f>if('source-upstream'!F213="",'schema-yn'!$A$5,vlookup('source-upstream'!F213,YN_MAP,3,FALSE))</f>
        <v>not-provided</v>
      </c>
      <c r="G213" s="71" t="str">
        <f>if('source-upstream'!G213="",'schema-yn'!$A$5,vlookup('source-upstream'!G213,YN_MAP,3,FALSE))</f>
        <v>yes</v>
      </c>
      <c r="H213" s="71" t="str">
        <f>if('source-upstream'!H213="",'schema-yn'!$A$5,vlookup('source-upstream'!H213,RESILIENCE_OPTION_MAP,3,FALSE))</f>
        <v>alternative-supplier</v>
      </c>
      <c r="I213" s="71" t="str">
        <f>if(iserror(vlookup('source-upstream'!I213,'data-cleansing-maps'!N$5:N$10,1,FALSE)),'source-upstream'!I213,"")</f>
        <v/>
      </c>
      <c r="J213" s="87" t="str">
        <f>'source-upstream'!J213</f>
        <v>possible short term down time</v>
      </c>
      <c r="K213" s="71" t="str">
        <f>if('source-upstream'!K213="",'schema-yn'!$A$5,vlookup('source-upstream'!K213,YN_MAP,3,FALSE))</f>
        <v>not-provided</v>
      </c>
      <c r="L213" s="88" t="str">
        <f>if('source-upstream'!L213="Not provided","",'source-upstream'!L213)</f>
        <v/>
      </c>
      <c r="M213" s="66" t="str">
        <f>if('source-upstream'!M213="",'schema-rv-services'!$B$26,vlookup(vlookup('source-upstream'!$M213,'analysis-rv-services'!$C:$E,3,FALSE),'schema-rv-services'!$A:$B,2, FALSE))</f>
        <v>techonology</v>
      </c>
      <c r="N213" s="71"/>
    </row>
    <row r="214" ht="15.0" customHeight="1">
      <c r="A214" s="86" t="str">
        <f>Substitute(SUBSTITUTE(substitute(substitute(substitute(substitute(substitute(substitute(substitute(lower('source-upstream'!A214)," ","-"),"(",""),")",""),"&gt;",""),"&lt;",""),"---","-"),".","-"),"--","-"),"&amp;","-and-")</f>
        <v>striped-koala</v>
      </c>
      <c r="B214" s="86" t="str">
        <f>Substitute(SUBSTITUTE(substitute(substitute(substitute(substitute(substitute(substitute(substitute(lower('source-upstream'!B214)," ","-"),"(",""),")",""),"&gt;",""),"&lt;",""),"---","-"),".","-"),"--","-"),"&amp;","-and-")</f>
        <v>red-koala</v>
      </c>
      <c r="C214" s="71" t="str">
        <f>if('source-upstream'!C214="",'schema-frequency'!$B$11,vlookup('source-upstream'!C214,FREQUENCY_MAP, 3, FALSE))</f>
        <v>not-provided</v>
      </c>
      <c r="D214" s="87" t="str">
        <f>'source-upstream'!D214</f>
        <v>Diesel Supplier</v>
      </c>
      <c r="E214" s="71" t="str">
        <f>if('source-upstream'!E214="",'schema-yn'!$A$5,vlookup('source-upstream'!E214,YN_MAP,3,FALSE))</f>
        <v>yes</v>
      </c>
      <c r="F214" s="71" t="str">
        <f>if('source-upstream'!F214="",'schema-yn'!$A$5,vlookup('source-upstream'!F214,YN_MAP,3,FALSE))</f>
        <v>not-provided</v>
      </c>
      <c r="G214" s="71" t="str">
        <f>if('source-upstream'!G214="",'schema-yn'!$A$5,vlookup('source-upstream'!G214,YN_MAP,3,FALSE))</f>
        <v>yes</v>
      </c>
      <c r="H214" s="71" t="str">
        <f>if('source-upstream'!H214="",'schema-yn'!$A$5,vlookup('source-upstream'!H214,RESILIENCE_OPTION_MAP,3,FALSE))</f>
        <v>alternative-supplier</v>
      </c>
      <c r="I214" s="71" t="str">
        <f>if(iserror(vlookup('source-upstream'!I214,'data-cleansing-maps'!N$5:N$10,1,FALSE)),'source-upstream'!I214,"")</f>
        <v/>
      </c>
      <c r="J214" s="87" t="str">
        <f>'source-upstream'!J214</f>
        <v>possible short term down time</v>
      </c>
      <c r="K214" s="71" t="str">
        <f>if('source-upstream'!K214="",'schema-yn'!$A$5,vlookup('source-upstream'!K214,YN_MAP,3,FALSE))</f>
        <v>not-provided</v>
      </c>
      <c r="L214" s="88" t="str">
        <f>if('source-upstream'!L214="Not provided","",'source-upstream'!L214)</f>
        <v/>
      </c>
      <c r="M214" s="66" t="str">
        <f>if('source-upstream'!M214="",'schema-rv-services'!$B$26,vlookup(vlookup('source-upstream'!$M214,'analysis-rv-services'!$C:$E,3,FALSE),'schema-rv-services'!$A:$B,2, FALSE))</f>
        <v>fuel</v>
      </c>
      <c r="N214" s="71"/>
    </row>
    <row r="215" ht="15.0" customHeight="1">
      <c r="A215" s="86" t="str">
        <f>Substitute(SUBSTITUTE(substitute(substitute(substitute(substitute(substitute(substitute(substitute(lower('source-upstream'!A215)," ","-"),"(",""),")",""),"&gt;",""),"&lt;",""),"---","-"),".","-"),"--","-"),"&amp;","-and-")</f>
        <v>striped-koala</v>
      </c>
      <c r="B215" s="86" t="str">
        <f>Substitute(SUBSTITUTE(substitute(substitute(substitute(substitute(substitute(substitute(substitute(lower('source-upstream'!B215)," ","-"),"(",""),")",""),"&gt;",""),"&lt;",""),"---","-"),".","-"),"--","-"),"&amp;","-and-")</f>
        <v>tiny-cockatoo</v>
      </c>
      <c r="C215" s="71" t="str">
        <f>if('source-upstream'!C215="",'schema-frequency'!$B$11,vlookup('source-upstream'!C215,FREQUENCY_MAP, 3, FALSE))</f>
        <v>not-provided</v>
      </c>
      <c r="D215" s="87" t="str">
        <f>'source-upstream'!D215</f>
        <v>LPG Gas Provider</v>
      </c>
      <c r="E215" s="71" t="str">
        <f>if('source-upstream'!E215="",'schema-yn'!$A$5,vlookup('source-upstream'!E215,YN_MAP,3,FALSE))</f>
        <v>no</v>
      </c>
      <c r="F215" s="71" t="str">
        <f>if('source-upstream'!F215="",'schema-yn'!$A$5,vlookup('source-upstream'!F215,YN_MAP,3,FALSE))</f>
        <v>not-provided</v>
      </c>
      <c r="G215" s="71" t="str">
        <f>if('source-upstream'!G215="",'schema-yn'!$A$5,vlookup('source-upstream'!G215,YN_MAP,3,FALSE))</f>
        <v>yes</v>
      </c>
      <c r="H215" s="71" t="str">
        <f>if('source-upstream'!H215="",'schema-yn'!$A$5,vlookup('source-upstream'!H215,RESILIENCE_OPTION_MAP,3,FALSE))</f>
        <v>alternative-supplier</v>
      </c>
      <c r="I215" s="71" t="str">
        <f>if(iserror(vlookup('source-upstream'!I215,'data-cleansing-maps'!N$5:N$10,1,FALSE)),'source-upstream'!I215,"")</f>
        <v/>
      </c>
      <c r="J215" s="87" t="str">
        <f>'source-upstream'!J215</f>
        <v>possible short term down time</v>
      </c>
      <c r="K215" s="71" t="str">
        <f>if('source-upstream'!K215="",'schema-yn'!$A$5,vlookup('source-upstream'!K215,YN_MAP,3,FALSE))</f>
        <v>not-provided</v>
      </c>
      <c r="L215" s="88" t="str">
        <f>if('source-upstream'!L215="Not provided","",'source-upstream'!L215)</f>
        <v/>
      </c>
      <c r="M215" s="66" t="str">
        <f>if('source-upstream'!M215="",'schema-rv-services'!$B$26,vlookup(vlookup('source-upstream'!$M215,'analysis-rv-services'!$C:$E,3,FALSE),'schema-rv-services'!$A:$B,2, FALSE))</f>
        <v>fuel</v>
      </c>
      <c r="N215" s="71"/>
    </row>
    <row r="216" ht="15.0" customHeight="1">
      <c r="A216" s="86" t="str">
        <f>Substitute(SUBSTITUTE(substitute(substitute(substitute(substitute(substitute(substitute(substitute(lower('source-upstream'!A216)," ","-"),"(",""),")",""),"&gt;",""),"&lt;",""),"---","-"),".","-"),"--","-"),"&amp;","-and-")</f>
        <v>striped-koala</v>
      </c>
      <c r="B216" s="86" t="str">
        <f>Substitute(SUBSTITUTE(substitute(substitute(substitute(substitute(substitute(substitute(substitute(lower('source-upstream'!B216)," ","-"),"(",""),")",""),"&gt;",""),"&lt;",""),"---","-"),".","-"),"--","-"),"&amp;","-and-")</f>
        <v>red-numbat</v>
      </c>
      <c r="C216" s="71" t="str">
        <f>if('source-upstream'!C216="",'schema-frequency'!$B$11,vlookup('source-upstream'!C216,FREQUENCY_MAP, 3, FALSE))</f>
        <v>not-provided</v>
      </c>
      <c r="D216" s="87" t="str">
        <f>'source-upstream'!D216</f>
        <v>Ewaste</v>
      </c>
      <c r="E216" s="71" t="str">
        <f>if('source-upstream'!E216="",'schema-yn'!$A$5,vlookup('source-upstream'!E216,YN_MAP,3,FALSE))</f>
        <v>not-provided</v>
      </c>
      <c r="F216" s="71" t="str">
        <f>if('source-upstream'!F216="",'schema-yn'!$A$5,vlookup('source-upstream'!F216,YN_MAP,3,FALSE))</f>
        <v>not-provided</v>
      </c>
      <c r="G216" s="71" t="str">
        <f>if('source-upstream'!G216="",'schema-yn'!$A$5,vlookup('source-upstream'!G216,YN_MAP,3,FALSE))</f>
        <v>not-provided</v>
      </c>
      <c r="H216" s="71" t="str">
        <f>if('source-upstream'!H216="",'schema-yn'!$A$5,vlookup('source-upstream'!H216,RESILIENCE_OPTION_MAP,3,FALSE))</f>
        <v>alternative-supplier</v>
      </c>
      <c r="I216" s="71" t="str">
        <f>if(iserror(vlookup('source-upstream'!I216,'data-cleansing-maps'!N$5:N$10,1,FALSE)),'source-upstream'!I216,"")</f>
        <v/>
      </c>
      <c r="J216" s="87" t="str">
        <f>'source-upstream'!J216</f>
        <v>Not provided</v>
      </c>
      <c r="K216" s="71" t="str">
        <f>if('source-upstream'!K216="",'schema-yn'!$A$5,vlookup('source-upstream'!K216,YN_MAP,3,FALSE))</f>
        <v>no</v>
      </c>
      <c r="L216" s="88" t="str">
        <f>if('source-upstream'!L216="Not provided","",'source-upstream'!L216)</f>
        <v/>
      </c>
      <c r="M216" s="66" t="str">
        <f>if('source-upstream'!M216="",'schema-rv-services'!$B$26,vlookup(vlookup('source-upstream'!$M216,'analysis-rv-services'!$C:$E,3,FALSE),'schema-rv-services'!$A:$B,2, FALSE))</f>
        <v>feedstock</v>
      </c>
      <c r="N216" s="71"/>
    </row>
    <row r="217" ht="15.0" customHeight="1">
      <c r="A217" s="86" t="str">
        <f>Substitute(SUBSTITUTE(substitute(substitute(substitute(substitute(substitute(substitute(substitute(lower('source-upstream'!A217)," ","-"),"(",""),")",""),"&gt;",""),"&lt;",""),"---","-"),".","-"),"--","-"),"&amp;","-and-")</f>
        <v>striped-koala</v>
      </c>
      <c r="B217" s="86" t="str">
        <f>Substitute(SUBSTITUTE(substitute(substitute(substitute(substitute(substitute(substitute(substitute(lower('source-upstream'!B217)," ","-"),"(",""),")",""),"&gt;",""),"&lt;",""),"---","-"),".","-"),"--","-"),"&amp;","-and-")</f>
        <v>red-numbat</v>
      </c>
      <c r="C217" s="71" t="str">
        <f>if('source-upstream'!C217="",'schema-frequency'!$B$11,vlookup('source-upstream'!C217,FREQUENCY_MAP, 3, FALSE))</f>
        <v>not-provided</v>
      </c>
      <c r="D217" s="87" t="str">
        <f>'source-upstream'!D217</f>
        <v>Ewaste</v>
      </c>
      <c r="E217" s="71" t="str">
        <f>if('source-upstream'!E217="",'schema-yn'!$A$5,vlookup('source-upstream'!E217,YN_MAP,3,FALSE))</f>
        <v>not-provided</v>
      </c>
      <c r="F217" s="71" t="str">
        <f>if('source-upstream'!F217="",'schema-yn'!$A$5,vlookup('source-upstream'!F217,YN_MAP,3,FALSE))</f>
        <v>not-provided</v>
      </c>
      <c r="G217" s="71" t="str">
        <f>if('source-upstream'!G217="",'schema-yn'!$A$5,vlookup('source-upstream'!G217,YN_MAP,3,FALSE))</f>
        <v>not-provided</v>
      </c>
      <c r="H217" s="71" t="str">
        <f>if('source-upstream'!H217="",'schema-yn'!$A$5,vlookup('source-upstream'!H217,RESILIENCE_OPTION_MAP,3,FALSE))</f>
        <v>alternative-supplier</v>
      </c>
      <c r="I217" s="71" t="str">
        <f>if(iserror(vlookup('source-upstream'!I217,'data-cleansing-maps'!N$5:N$10,1,FALSE)),'source-upstream'!I217,"")</f>
        <v/>
      </c>
      <c r="J217" s="87" t="str">
        <f>'source-upstream'!J217</f>
        <v>Not provided</v>
      </c>
      <c r="K217" s="71" t="str">
        <f>if('source-upstream'!K217="",'schema-yn'!$A$5,vlookup('source-upstream'!K217,YN_MAP,3,FALSE))</f>
        <v>no</v>
      </c>
      <c r="L217" s="88" t="str">
        <f>if('source-upstream'!L217="Not provided","",'source-upstream'!L217)</f>
        <v/>
      </c>
      <c r="M217" s="66" t="str">
        <f>if('source-upstream'!M217="",'schema-rv-services'!$B$26,vlookup(vlookup('source-upstream'!$M217,'analysis-rv-services'!$C:$E,3,FALSE),'schema-rv-services'!$A:$B,2, FALSE))</f>
        <v>feedstock</v>
      </c>
      <c r="N217" s="71"/>
    </row>
    <row r="218" ht="15.0" customHeight="1">
      <c r="A218" s="86" t="str">
        <f>Substitute(SUBSTITUTE(substitute(substitute(substitute(substitute(substitute(substitute(substitute(lower('source-upstream'!A218)," ","-"),"(",""),")",""),"&gt;",""),"&lt;",""),"---","-"),".","-"),"--","-"),"&amp;","-and-")</f>
        <v>striped-koala</v>
      </c>
      <c r="B218" s="86" t="str">
        <f>Substitute(SUBSTITUTE(substitute(substitute(substitute(substitute(substitute(substitute(substitute(lower('source-upstream'!B218)," ","-"),"(",""),")",""),"&gt;",""),"&lt;",""),"---","-"),".","-"),"--","-"),"&amp;","-and-")</f>
        <v>red-numbat</v>
      </c>
      <c r="C218" s="71" t="str">
        <f>if('source-upstream'!C218="",'schema-frequency'!$B$11,vlookup('source-upstream'!C218,FREQUENCY_MAP, 3, FALSE))</f>
        <v>not-provided</v>
      </c>
      <c r="D218" s="87" t="str">
        <f>'source-upstream'!D218</f>
        <v>Ewaste</v>
      </c>
      <c r="E218" s="71" t="str">
        <f>if('source-upstream'!E218="",'schema-yn'!$A$5,vlookup('source-upstream'!E218,YN_MAP,3,FALSE))</f>
        <v>not-provided</v>
      </c>
      <c r="F218" s="71" t="str">
        <f>if('source-upstream'!F218="",'schema-yn'!$A$5,vlookup('source-upstream'!F218,YN_MAP,3,FALSE))</f>
        <v>not-provided</v>
      </c>
      <c r="G218" s="71" t="str">
        <f>if('source-upstream'!G218="",'schema-yn'!$A$5,vlookup('source-upstream'!G218,YN_MAP,3,FALSE))</f>
        <v>not-provided</v>
      </c>
      <c r="H218" s="71" t="str">
        <f>if('source-upstream'!H218="",'schema-yn'!$A$5,vlookup('source-upstream'!H218,RESILIENCE_OPTION_MAP,3,FALSE))</f>
        <v>alternative-supplier</v>
      </c>
      <c r="I218" s="71" t="str">
        <f>if(iserror(vlookup('source-upstream'!I218,'data-cleansing-maps'!N$5:N$10,1,FALSE)),'source-upstream'!I218,"")</f>
        <v/>
      </c>
      <c r="J218" s="87" t="str">
        <f>'source-upstream'!J218</f>
        <v>Not provided</v>
      </c>
      <c r="K218" s="71" t="str">
        <f>if('source-upstream'!K218="",'schema-yn'!$A$5,vlookup('source-upstream'!K218,YN_MAP,3,FALSE))</f>
        <v>no</v>
      </c>
      <c r="L218" s="88" t="str">
        <f>if('source-upstream'!L218="Not provided","",'source-upstream'!L218)</f>
        <v/>
      </c>
      <c r="M218" s="66" t="str">
        <f>if('source-upstream'!M218="",'schema-rv-services'!$B$26,vlookup(vlookup('source-upstream'!$M218,'analysis-rv-services'!$C:$E,3,FALSE),'schema-rv-services'!$A:$B,2, FALSE))</f>
        <v>feedstock</v>
      </c>
      <c r="N218" s="71"/>
    </row>
    <row r="219" ht="15.0" customHeight="1">
      <c r="A219" s="86" t="str">
        <f>Substitute(SUBSTITUTE(substitute(substitute(substitute(substitute(substitute(substitute(substitute(lower('source-upstream'!A219)," ","-"),"(",""),")",""),"&gt;",""),"&lt;",""),"---","-"),".","-"),"--","-"),"&amp;","-and-")</f>
        <v>striped-koala</v>
      </c>
      <c r="B219" s="86" t="str">
        <f>Substitute(SUBSTITUTE(substitute(substitute(substitute(substitute(substitute(substitute(substitute(lower('source-upstream'!B219)," ","-"),"(",""),")",""),"&gt;",""),"&lt;",""),"---","-"),".","-"),"--","-"),"&amp;","-and-")</f>
        <v>red-numbat</v>
      </c>
      <c r="C219" s="71" t="str">
        <f>if('source-upstream'!C219="",'schema-frequency'!$B$11,vlookup('source-upstream'!C219,FREQUENCY_MAP, 3, FALSE))</f>
        <v>not-provided</v>
      </c>
      <c r="D219" s="87" t="str">
        <f>'source-upstream'!D219</f>
        <v>Ewaste</v>
      </c>
      <c r="E219" s="71" t="str">
        <f>if('source-upstream'!E219="",'schema-yn'!$A$5,vlookup('source-upstream'!E219,YN_MAP,3,FALSE))</f>
        <v>not-provided</v>
      </c>
      <c r="F219" s="71" t="str">
        <f>if('source-upstream'!F219="",'schema-yn'!$A$5,vlookup('source-upstream'!F219,YN_MAP,3,FALSE))</f>
        <v>not-provided</v>
      </c>
      <c r="G219" s="71" t="str">
        <f>if('source-upstream'!G219="",'schema-yn'!$A$5,vlookup('source-upstream'!G219,YN_MAP,3,FALSE))</f>
        <v>not-provided</v>
      </c>
      <c r="H219" s="71" t="str">
        <f>if('source-upstream'!H219="",'schema-yn'!$A$5,vlookup('source-upstream'!H219,RESILIENCE_OPTION_MAP,3,FALSE))</f>
        <v>alternative-supplier</v>
      </c>
      <c r="I219" s="71" t="str">
        <f>if(iserror(vlookup('source-upstream'!I219,'data-cleansing-maps'!N$5:N$10,1,FALSE)),'source-upstream'!I219,"")</f>
        <v/>
      </c>
      <c r="J219" s="87" t="str">
        <f>'source-upstream'!J219</f>
        <v>Not provided</v>
      </c>
      <c r="K219" s="71" t="str">
        <f>if('source-upstream'!K219="",'schema-yn'!$A$5,vlookup('source-upstream'!K219,YN_MAP,3,FALSE))</f>
        <v>no</v>
      </c>
      <c r="L219" s="88" t="str">
        <f>if('source-upstream'!L219="Not provided","",'source-upstream'!L219)</f>
        <v/>
      </c>
      <c r="M219" s="66" t="str">
        <f>if('source-upstream'!M219="",'schema-rv-services'!$B$26,vlookup(vlookup('source-upstream'!$M219,'analysis-rv-services'!$C:$E,3,FALSE),'schema-rv-services'!$A:$B,2, FALSE))</f>
        <v>feedstock</v>
      </c>
      <c r="N219" s="71"/>
    </row>
    <row r="220" ht="15.0" customHeight="1">
      <c r="A220" s="86" t="str">
        <f>Substitute(SUBSTITUTE(substitute(substitute(substitute(substitute(substitute(substitute(substitute(lower('source-upstream'!A220)," ","-"),"(",""),")",""),"&gt;",""),"&lt;",""),"---","-"),".","-"),"--","-"),"&amp;","-and-")</f>
        <v>striped-koala</v>
      </c>
      <c r="B220" s="86" t="str">
        <f>Substitute(SUBSTITUTE(substitute(substitute(substitute(substitute(substitute(substitute(substitute(lower('source-upstream'!B220)," ","-"),"(",""),")",""),"&gt;",""),"&lt;",""),"---","-"),".","-"),"--","-"),"&amp;","-and-")</f>
        <v>red-numbat</v>
      </c>
      <c r="C220" s="71" t="str">
        <f>if('source-upstream'!C220="",'schema-frequency'!$B$11,vlookup('source-upstream'!C220,FREQUENCY_MAP, 3, FALSE))</f>
        <v>not-provided</v>
      </c>
      <c r="D220" s="87" t="str">
        <f>'source-upstream'!D220</f>
        <v>Ewaste</v>
      </c>
      <c r="E220" s="71" t="str">
        <f>if('source-upstream'!E220="",'schema-yn'!$A$5,vlookup('source-upstream'!E220,YN_MAP,3,FALSE))</f>
        <v>not-provided</v>
      </c>
      <c r="F220" s="71" t="str">
        <f>if('source-upstream'!F220="",'schema-yn'!$A$5,vlookup('source-upstream'!F220,YN_MAP,3,FALSE))</f>
        <v>not-provided</v>
      </c>
      <c r="G220" s="71" t="str">
        <f>if('source-upstream'!G220="",'schema-yn'!$A$5,vlookup('source-upstream'!G220,YN_MAP,3,FALSE))</f>
        <v>not-provided</v>
      </c>
      <c r="H220" s="71" t="str">
        <f>if('source-upstream'!H220="",'schema-yn'!$A$5,vlookup('source-upstream'!H220,RESILIENCE_OPTION_MAP,3,FALSE))</f>
        <v>alternative-supplier</v>
      </c>
      <c r="I220" s="71" t="str">
        <f>if(iserror(vlookup('source-upstream'!I220,'data-cleansing-maps'!N$5:N$10,1,FALSE)),'source-upstream'!I220,"")</f>
        <v/>
      </c>
      <c r="J220" s="87" t="str">
        <f>'source-upstream'!J220</f>
        <v>Not provided</v>
      </c>
      <c r="K220" s="71" t="str">
        <f>if('source-upstream'!K220="",'schema-yn'!$A$5,vlookup('source-upstream'!K220,YN_MAP,3,FALSE))</f>
        <v>no</v>
      </c>
      <c r="L220" s="88" t="str">
        <f>if('source-upstream'!L220="Not provided","",'source-upstream'!L220)</f>
        <v/>
      </c>
      <c r="M220" s="66" t="str">
        <f>if('source-upstream'!M220="",'schema-rv-services'!$B$26,vlookup(vlookup('source-upstream'!$M220,'analysis-rv-services'!$C:$E,3,FALSE),'schema-rv-services'!$A:$B,2, FALSE))</f>
        <v>feedstock</v>
      </c>
      <c r="N220" s="71"/>
    </row>
    <row r="221" ht="15.0" customHeight="1">
      <c r="A221" s="86" t="str">
        <f>Substitute(SUBSTITUTE(substitute(substitute(substitute(substitute(substitute(substitute(substitute(lower('source-upstream'!A221)," ","-"),"(",""),")",""),"&gt;",""),"&lt;",""),"---","-"),".","-"),"--","-"),"&amp;","-and-")</f>
        <v>striped-koala</v>
      </c>
      <c r="B221" s="86" t="str">
        <f>Substitute(SUBSTITUTE(substitute(substitute(substitute(substitute(substitute(substitute(substitute(lower('source-upstream'!B221)," ","-"),"(",""),")",""),"&gt;",""),"&lt;",""),"---","-"),".","-"),"--","-"),"&amp;","-and-")</f>
        <v>red-numbat</v>
      </c>
      <c r="C221" s="71" t="str">
        <f>if('source-upstream'!C221="",'schema-frequency'!$B$11,vlookup('source-upstream'!C221,FREQUENCY_MAP, 3, FALSE))</f>
        <v>not-provided</v>
      </c>
      <c r="D221" s="87" t="str">
        <f>'source-upstream'!D221</f>
        <v>Ewaste</v>
      </c>
      <c r="E221" s="71" t="str">
        <f>if('source-upstream'!E221="",'schema-yn'!$A$5,vlookup('source-upstream'!E221,YN_MAP,3,FALSE))</f>
        <v>not-provided</v>
      </c>
      <c r="F221" s="71" t="str">
        <f>if('source-upstream'!F221="",'schema-yn'!$A$5,vlookup('source-upstream'!F221,YN_MAP,3,FALSE))</f>
        <v>not-provided</v>
      </c>
      <c r="G221" s="71" t="str">
        <f>if('source-upstream'!G221="",'schema-yn'!$A$5,vlookup('source-upstream'!G221,YN_MAP,3,FALSE))</f>
        <v>not-provided</v>
      </c>
      <c r="H221" s="71" t="str">
        <f>if('source-upstream'!H221="",'schema-yn'!$A$5,vlookup('source-upstream'!H221,RESILIENCE_OPTION_MAP,3,FALSE))</f>
        <v>alternative-supplier</v>
      </c>
      <c r="I221" s="71" t="str">
        <f>if(iserror(vlookup('source-upstream'!I221,'data-cleansing-maps'!N$5:N$10,1,FALSE)),'source-upstream'!I221,"")</f>
        <v/>
      </c>
      <c r="J221" s="87" t="str">
        <f>'source-upstream'!J221</f>
        <v>Not provided</v>
      </c>
      <c r="K221" s="71" t="str">
        <f>if('source-upstream'!K221="",'schema-yn'!$A$5,vlookup('source-upstream'!K221,YN_MAP,3,FALSE))</f>
        <v>no</v>
      </c>
      <c r="L221" s="88" t="str">
        <f>if('source-upstream'!L221="Not provided","",'source-upstream'!L221)</f>
        <v/>
      </c>
      <c r="M221" s="66" t="str">
        <f>if('source-upstream'!M221="",'schema-rv-services'!$B$26,vlookup(vlookup('source-upstream'!$M221,'analysis-rv-services'!$C:$E,3,FALSE),'schema-rv-services'!$A:$B,2, FALSE))</f>
        <v>feedstock</v>
      </c>
      <c r="N221" s="71"/>
    </row>
    <row r="222" ht="15.0" customHeight="1">
      <c r="A222" s="86" t="str">
        <f>Substitute(SUBSTITUTE(substitute(substitute(substitute(substitute(substitute(substitute(substitute(lower('source-upstream'!A222)," ","-"),"(",""),")",""),"&gt;",""),"&lt;",""),"---","-"),".","-"),"--","-"),"&amp;","-and-")</f>
        <v>striped-koala</v>
      </c>
      <c r="B222" s="86" t="str">
        <f>Substitute(SUBSTITUTE(substitute(substitute(substitute(substitute(substitute(substitute(substitute(lower('source-upstream'!B222)," ","-"),"(",""),")",""),"&gt;",""),"&lt;",""),"---","-"),".","-"),"--","-"),"&amp;","-and-")</f>
        <v>red-numbat</v>
      </c>
      <c r="C222" s="71" t="str">
        <f>if('source-upstream'!C222="",'schema-frequency'!$B$11,vlookup('source-upstream'!C222,FREQUENCY_MAP, 3, FALSE))</f>
        <v>not-provided</v>
      </c>
      <c r="D222" s="87" t="str">
        <f>'source-upstream'!D222</f>
        <v>Ewaste</v>
      </c>
      <c r="E222" s="71" t="str">
        <f>if('source-upstream'!E222="",'schema-yn'!$A$5,vlookup('source-upstream'!E222,YN_MAP,3,FALSE))</f>
        <v>not-provided</v>
      </c>
      <c r="F222" s="71" t="str">
        <f>if('source-upstream'!F222="",'schema-yn'!$A$5,vlookup('source-upstream'!F222,YN_MAP,3,FALSE))</f>
        <v>not-provided</v>
      </c>
      <c r="G222" s="71" t="str">
        <f>if('source-upstream'!G222="",'schema-yn'!$A$5,vlookup('source-upstream'!G222,YN_MAP,3,FALSE))</f>
        <v>not-provided</v>
      </c>
      <c r="H222" s="71" t="str">
        <f>if('source-upstream'!H222="",'schema-yn'!$A$5,vlookup('source-upstream'!H222,RESILIENCE_OPTION_MAP,3,FALSE))</f>
        <v>alternative-supplier</v>
      </c>
      <c r="I222" s="71" t="str">
        <f>if(iserror(vlookup('source-upstream'!I222,'data-cleansing-maps'!N$5:N$10,1,FALSE)),'source-upstream'!I222,"")</f>
        <v/>
      </c>
      <c r="J222" s="87" t="str">
        <f>'source-upstream'!J222</f>
        <v>Not provided</v>
      </c>
      <c r="K222" s="71" t="str">
        <f>if('source-upstream'!K222="",'schema-yn'!$A$5,vlookup('source-upstream'!K222,YN_MAP,3,FALSE))</f>
        <v>no</v>
      </c>
      <c r="L222" s="88" t="str">
        <f>if('source-upstream'!L222="Not provided","",'source-upstream'!L222)</f>
        <v/>
      </c>
      <c r="M222" s="66" t="str">
        <f>if('source-upstream'!M222="",'schema-rv-services'!$B$26,vlookup(vlookup('source-upstream'!$M222,'analysis-rv-services'!$C:$E,3,FALSE),'schema-rv-services'!$A:$B,2, FALSE))</f>
        <v>feedstock</v>
      </c>
      <c r="N222" s="71"/>
    </row>
    <row r="223" ht="15.0" customHeight="1">
      <c r="A223" s="86" t="str">
        <f>Substitute(SUBSTITUTE(substitute(substitute(substitute(substitute(substitute(substitute(substitute(lower('source-upstream'!A223)," ","-"),"(",""),")",""),"&gt;",""),"&lt;",""),"---","-"),".","-"),"--","-"),"&amp;","-and-")</f>
        <v>striped-koala</v>
      </c>
      <c r="B223" s="86" t="str">
        <f>Substitute(SUBSTITUTE(substitute(substitute(substitute(substitute(substitute(substitute(substitute(lower('source-upstream'!B223)," ","-"),"(",""),")",""),"&gt;",""),"&lt;",""),"---","-"),".","-"),"--","-"),"&amp;","-and-")</f>
        <v>red-numbat</v>
      </c>
      <c r="C223" s="71" t="str">
        <f>if('source-upstream'!C223="",'schema-frequency'!$B$11,vlookup('source-upstream'!C223,FREQUENCY_MAP, 3, FALSE))</f>
        <v>not-provided</v>
      </c>
      <c r="D223" s="87" t="str">
        <f>'source-upstream'!D223</f>
        <v>Ewaste</v>
      </c>
      <c r="E223" s="71" t="str">
        <f>if('source-upstream'!E223="",'schema-yn'!$A$5,vlookup('source-upstream'!E223,YN_MAP,3,FALSE))</f>
        <v>not-provided</v>
      </c>
      <c r="F223" s="71" t="str">
        <f>if('source-upstream'!F223="",'schema-yn'!$A$5,vlookup('source-upstream'!F223,YN_MAP,3,FALSE))</f>
        <v>not-provided</v>
      </c>
      <c r="G223" s="71" t="str">
        <f>if('source-upstream'!G223="",'schema-yn'!$A$5,vlookup('source-upstream'!G223,YN_MAP,3,FALSE))</f>
        <v>not-provided</v>
      </c>
      <c r="H223" s="71" t="str">
        <f>if('source-upstream'!H223="",'schema-yn'!$A$5,vlookup('source-upstream'!H223,RESILIENCE_OPTION_MAP,3,FALSE))</f>
        <v>alternative-supplier</v>
      </c>
      <c r="I223" s="71" t="str">
        <f>if(iserror(vlookup('source-upstream'!I223,'data-cleansing-maps'!N$5:N$10,1,FALSE)),'source-upstream'!I223,"")</f>
        <v/>
      </c>
      <c r="J223" s="87" t="str">
        <f>'source-upstream'!J223</f>
        <v>Not provided</v>
      </c>
      <c r="K223" s="71" t="str">
        <f>if('source-upstream'!K223="",'schema-yn'!$A$5,vlookup('source-upstream'!K223,YN_MAP,3,FALSE))</f>
        <v>no</v>
      </c>
      <c r="L223" s="88" t="str">
        <f>if('source-upstream'!L223="Not provided","",'source-upstream'!L223)</f>
        <v/>
      </c>
      <c r="M223" s="66" t="str">
        <f>if('source-upstream'!M223="",'schema-rv-services'!$B$26,vlookup(vlookup('source-upstream'!$M223,'analysis-rv-services'!$C:$E,3,FALSE),'schema-rv-services'!$A:$B,2, FALSE))</f>
        <v>feedstock</v>
      </c>
      <c r="N223" s="71"/>
    </row>
    <row r="224" ht="15.0" customHeight="1">
      <c r="A224" s="86" t="str">
        <f>Substitute(SUBSTITUTE(substitute(substitute(substitute(substitute(substitute(substitute(substitute(lower('source-upstream'!A224)," ","-"),"(",""),")",""),"&gt;",""),"&lt;",""),"---","-"),".","-"),"--","-"),"&amp;","-and-")</f>
        <v>striped-koala</v>
      </c>
      <c r="B224" s="86" t="str">
        <f>Substitute(SUBSTITUTE(substitute(substitute(substitute(substitute(substitute(substitute(substitute(lower('source-upstream'!B224)," ","-"),"(",""),")",""),"&gt;",""),"&lt;",""),"---","-"),".","-"),"--","-"),"&amp;","-and-")</f>
        <v>red-numbat</v>
      </c>
      <c r="C224" s="71" t="str">
        <f>if('source-upstream'!C224="",'schema-frequency'!$B$11,vlookup('source-upstream'!C224,FREQUENCY_MAP, 3, FALSE))</f>
        <v>not-provided</v>
      </c>
      <c r="D224" s="87" t="str">
        <f>'source-upstream'!D224</f>
        <v>Ewaste</v>
      </c>
      <c r="E224" s="71" t="str">
        <f>if('source-upstream'!E224="",'schema-yn'!$A$5,vlookup('source-upstream'!E224,YN_MAP,3,FALSE))</f>
        <v>not-provided</v>
      </c>
      <c r="F224" s="71" t="str">
        <f>if('source-upstream'!F224="",'schema-yn'!$A$5,vlookup('source-upstream'!F224,YN_MAP,3,FALSE))</f>
        <v>not-provided</v>
      </c>
      <c r="G224" s="71" t="str">
        <f>if('source-upstream'!G224="",'schema-yn'!$A$5,vlookup('source-upstream'!G224,YN_MAP,3,FALSE))</f>
        <v>not-provided</v>
      </c>
      <c r="H224" s="71" t="str">
        <f>if('source-upstream'!H224="",'schema-yn'!$A$5,vlookup('source-upstream'!H224,RESILIENCE_OPTION_MAP,3,FALSE))</f>
        <v>alternative-supplier</v>
      </c>
      <c r="I224" s="71" t="str">
        <f>if(iserror(vlookup('source-upstream'!I224,'data-cleansing-maps'!N$5:N$10,1,FALSE)),'source-upstream'!I224,"")</f>
        <v/>
      </c>
      <c r="J224" s="87" t="str">
        <f>'source-upstream'!J224</f>
        <v>Not provided</v>
      </c>
      <c r="K224" s="71" t="str">
        <f>if('source-upstream'!K224="",'schema-yn'!$A$5,vlookup('source-upstream'!K224,YN_MAP,3,FALSE))</f>
        <v>no</v>
      </c>
      <c r="L224" s="88" t="str">
        <f>if('source-upstream'!L224="Not provided","",'source-upstream'!L224)</f>
        <v/>
      </c>
      <c r="M224" s="66" t="str">
        <f>if('source-upstream'!M224="",'schema-rv-services'!$B$26,vlookup(vlookup('source-upstream'!$M224,'analysis-rv-services'!$C:$E,3,FALSE),'schema-rv-services'!$A:$B,2, FALSE))</f>
        <v>feedstock</v>
      </c>
      <c r="N224" s="71"/>
    </row>
    <row r="225" ht="15.0" customHeight="1">
      <c r="A225" s="86" t="str">
        <f>Substitute(SUBSTITUTE(substitute(substitute(substitute(substitute(substitute(substitute(substitute(lower('source-upstream'!A225)," ","-"),"(",""),")",""),"&gt;",""),"&lt;",""),"---","-"),".","-"),"--","-"),"&amp;","-and-")</f>
        <v>striped-koala</v>
      </c>
      <c r="B225" s="86" t="str">
        <f>Substitute(SUBSTITUTE(substitute(substitute(substitute(substitute(substitute(substitute(substitute(lower('source-upstream'!B225)," ","-"),"(",""),")",""),"&gt;",""),"&lt;",""),"---","-"),".","-"),"--","-"),"&amp;","-and-")</f>
        <v>red-numbat</v>
      </c>
      <c r="C225" s="71" t="str">
        <f>if('source-upstream'!C225="",'schema-frequency'!$B$11,vlookup('source-upstream'!C225,FREQUENCY_MAP, 3, FALSE))</f>
        <v>not-provided</v>
      </c>
      <c r="D225" s="87" t="str">
        <f>'source-upstream'!D225</f>
        <v>Ewaste</v>
      </c>
      <c r="E225" s="71" t="str">
        <f>if('source-upstream'!E225="",'schema-yn'!$A$5,vlookup('source-upstream'!E225,YN_MAP,3,FALSE))</f>
        <v>not-provided</v>
      </c>
      <c r="F225" s="71" t="str">
        <f>if('source-upstream'!F225="",'schema-yn'!$A$5,vlookup('source-upstream'!F225,YN_MAP,3,FALSE))</f>
        <v>not-provided</v>
      </c>
      <c r="G225" s="71" t="str">
        <f>if('source-upstream'!G225="",'schema-yn'!$A$5,vlookup('source-upstream'!G225,YN_MAP,3,FALSE))</f>
        <v>not-provided</v>
      </c>
      <c r="H225" s="71" t="str">
        <f>if('source-upstream'!H225="",'schema-yn'!$A$5,vlookup('source-upstream'!H225,RESILIENCE_OPTION_MAP,3,FALSE))</f>
        <v>alternative-supplier</v>
      </c>
      <c r="I225" s="71" t="str">
        <f>if(iserror(vlookup('source-upstream'!I225,'data-cleansing-maps'!N$5:N$10,1,FALSE)),'source-upstream'!I225,"")</f>
        <v/>
      </c>
      <c r="J225" s="87" t="str">
        <f>'source-upstream'!J225</f>
        <v>Not provided</v>
      </c>
      <c r="K225" s="71" t="str">
        <f>if('source-upstream'!K225="",'schema-yn'!$A$5,vlookup('source-upstream'!K225,YN_MAP,3,FALSE))</f>
        <v>no</v>
      </c>
      <c r="L225" s="88" t="str">
        <f>if('source-upstream'!L225="Not provided","",'source-upstream'!L225)</f>
        <v/>
      </c>
      <c r="M225" s="66" t="str">
        <f>if('source-upstream'!M225="",'schema-rv-services'!$B$26,vlookup(vlookup('source-upstream'!$M225,'analysis-rv-services'!$C:$E,3,FALSE),'schema-rv-services'!$A:$B,2, FALSE))</f>
        <v>feedstock</v>
      </c>
      <c r="N225" s="71"/>
    </row>
    <row r="226" ht="15.0" customHeight="1">
      <c r="A226" s="86" t="str">
        <f>Substitute(SUBSTITUTE(substitute(substitute(substitute(substitute(substitute(substitute(substitute(lower('source-upstream'!A226)," ","-"),"(",""),")",""),"&gt;",""),"&lt;",""),"---","-"),".","-"),"--","-"),"&amp;","-and-")</f>
        <v>striped-koala</v>
      </c>
      <c r="B226" s="86" t="str">
        <f>Substitute(SUBSTITUTE(substitute(substitute(substitute(substitute(substitute(substitute(substitute(lower('source-upstream'!B226)," ","-"),"(",""),")",""),"&gt;",""),"&lt;",""),"---","-"),".","-"),"--","-"),"&amp;","-and-")</f>
        <v>red-numbat</v>
      </c>
      <c r="C226" s="71" t="str">
        <f>if('source-upstream'!C226="",'schema-frequency'!$B$11,vlookup('source-upstream'!C226,FREQUENCY_MAP, 3, FALSE))</f>
        <v>not-provided</v>
      </c>
      <c r="D226" s="87" t="str">
        <f>'source-upstream'!D226</f>
        <v>Ewaste</v>
      </c>
      <c r="E226" s="71" t="str">
        <f>if('source-upstream'!E226="",'schema-yn'!$A$5,vlookup('source-upstream'!E226,YN_MAP,3,FALSE))</f>
        <v>not-provided</v>
      </c>
      <c r="F226" s="71" t="str">
        <f>if('source-upstream'!F226="",'schema-yn'!$A$5,vlookup('source-upstream'!F226,YN_MAP,3,FALSE))</f>
        <v>not-provided</v>
      </c>
      <c r="G226" s="71" t="str">
        <f>if('source-upstream'!G226="",'schema-yn'!$A$5,vlookup('source-upstream'!G226,YN_MAP,3,FALSE))</f>
        <v>not-provided</v>
      </c>
      <c r="H226" s="71" t="str">
        <f>if('source-upstream'!H226="",'schema-yn'!$A$5,vlookup('source-upstream'!H226,RESILIENCE_OPTION_MAP,3,FALSE))</f>
        <v>alternative-supplier</v>
      </c>
      <c r="I226" s="71" t="str">
        <f>if(iserror(vlookup('source-upstream'!I226,'data-cleansing-maps'!N$5:N$10,1,FALSE)),'source-upstream'!I226,"")</f>
        <v/>
      </c>
      <c r="J226" s="87" t="str">
        <f>'source-upstream'!J226</f>
        <v>Not provided</v>
      </c>
      <c r="K226" s="71" t="str">
        <f>if('source-upstream'!K226="",'schema-yn'!$A$5,vlookup('source-upstream'!K226,YN_MAP,3,FALSE))</f>
        <v>no</v>
      </c>
      <c r="L226" s="88" t="str">
        <f>if('source-upstream'!L226="Not provided","",'source-upstream'!L226)</f>
        <v/>
      </c>
      <c r="M226" s="66" t="str">
        <f>if('source-upstream'!M226="",'schema-rv-services'!$B$26,vlookup(vlookup('source-upstream'!$M226,'analysis-rv-services'!$C:$E,3,FALSE),'schema-rv-services'!$A:$B,2, FALSE))</f>
        <v>feedstock</v>
      </c>
      <c r="N226" s="71"/>
    </row>
    <row r="227" ht="15.0" customHeight="1">
      <c r="A227" s="86" t="str">
        <f>Substitute(SUBSTITUTE(substitute(substitute(substitute(substitute(substitute(substitute(substitute(lower('source-upstream'!A227)," ","-"),"(",""),")",""),"&gt;",""),"&lt;",""),"---","-"),".","-"),"--","-"),"&amp;","-and-")</f>
        <v>striped-koala</v>
      </c>
      <c r="B227" s="86" t="str">
        <f>Substitute(SUBSTITUTE(substitute(substitute(substitute(substitute(substitute(substitute(substitute(lower('source-upstream'!B227)," ","-"),"(",""),")",""),"&gt;",""),"&lt;",""),"---","-"),".","-"),"--","-"),"&amp;","-and-")</f>
        <v>red-numbat</v>
      </c>
      <c r="C227" s="71" t="str">
        <f>if('source-upstream'!C227="",'schema-frequency'!$B$11,vlookup('source-upstream'!C227,FREQUENCY_MAP, 3, FALSE))</f>
        <v>not-provided</v>
      </c>
      <c r="D227" s="87" t="str">
        <f>'source-upstream'!D227</f>
        <v>Ewaste</v>
      </c>
      <c r="E227" s="71" t="str">
        <f>if('source-upstream'!E227="",'schema-yn'!$A$5,vlookup('source-upstream'!E227,YN_MAP,3,FALSE))</f>
        <v>not-provided</v>
      </c>
      <c r="F227" s="71" t="str">
        <f>if('source-upstream'!F227="",'schema-yn'!$A$5,vlookup('source-upstream'!F227,YN_MAP,3,FALSE))</f>
        <v>not-provided</v>
      </c>
      <c r="G227" s="71" t="str">
        <f>if('source-upstream'!G227="",'schema-yn'!$A$5,vlookup('source-upstream'!G227,YN_MAP,3,FALSE))</f>
        <v>not-provided</v>
      </c>
      <c r="H227" s="71" t="str">
        <f>if('source-upstream'!H227="",'schema-yn'!$A$5,vlookup('source-upstream'!H227,RESILIENCE_OPTION_MAP,3,FALSE))</f>
        <v>alternative-supplier</v>
      </c>
      <c r="I227" s="71" t="str">
        <f>if(iserror(vlookup('source-upstream'!I227,'data-cleansing-maps'!N$5:N$10,1,FALSE)),'source-upstream'!I227,"")</f>
        <v/>
      </c>
      <c r="J227" s="87" t="str">
        <f>'source-upstream'!J227</f>
        <v/>
      </c>
      <c r="K227" s="71" t="str">
        <f>if('source-upstream'!K227="",'schema-yn'!$A$5,vlookup('source-upstream'!K227,YN_MAP,3,FALSE))</f>
        <v>no</v>
      </c>
      <c r="L227" s="88" t="str">
        <f>if('source-upstream'!L227="Not provided","",'source-upstream'!L227)</f>
        <v/>
      </c>
      <c r="M227" s="66" t="str">
        <f>if('source-upstream'!M227="",'schema-rv-services'!$B$26,vlookup(vlookup('source-upstream'!$M227,'analysis-rv-services'!$C:$E,3,FALSE),'schema-rv-services'!$A:$B,2, FALSE))</f>
        <v>feedstock</v>
      </c>
      <c r="N227" s="71"/>
    </row>
    <row r="228" ht="15.0" customHeight="1">
      <c r="A228" s="86" t="str">
        <f>Substitute(SUBSTITUTE(substitute(substitute(substitute(substitute(substitute(substitute(substitute(lower('source-upstream'!A228)," ","-"),"(",""),")",""),"&gt;",""),"&lt;",""),"---","-"),".","-"),"--","-"),"&amp;","-and-")</f>
        <v>swift-blue-tongue-skink</v>
      </c>
      <c r="B228" s="86" t="str">
        <f>Substitute(SUBSTITUTE(substitute(substitute(substitute(substitute(substitute(substitute(substitute(lower('source-upstream'!B228)," ","-"),"(",""),")",""),"&gt;",""),"&lt;",""),"---","-"),".","-"),"--","-"),"&amp;","-and-")</f>
        <v>clever-koala</v>
      </c>
      <c r="C228" s="71" t="str">
        <f>if('source-upstream'!C228="",'schema-frequency'!$B$11,vlookup('source-upstream'!C228,FREQUENCY_MAP, 3, FALSE))</f>
        <v>not-provided</v>
      </c>
      <c r="D228" s="87" t="str">
        <f>'source-upstream'!D228</f>
        <v>Not provided</v>
      </c>
      <c r="E228" s="71" t="str">
        <f>if('source-upstream'!E228="",'schema-yn'!$A$5,vlookup('source-upstream'!E228,YN_MAP,3,FALSE))</f>
        <v>not-provided</v>
      </c>
      <c r="F228" s="71" t="str">
        <f>if('source-upstream'!F228="",'schema-yn'!$A$5,vlookup('source-upstream'!F228,YN_MAP,3,FALSE))</f>
        <v>not-provided</v>
      </c>
      <c r="G228" s="71" t="str">
        <f>if('source-upstream'!G228="",'schema-yn'!$A$5,vlookup('source-upstream'!G228,YN_MAP,3,FALSE))</f>
        <v>not-provided</v>
      </c>
      <c r="H228" s="71" t="str">
        <f>if('source-upstream'!H228="",'schema-yn'!$A$5,vlookup('source-upstream'!H228,RESILIENCE_OPTION_MAP,3,FALSE))</f>
        <v>not-provided</v>
      </c>
      <c r="I228" s="71" t="str">
        <f>if(iserror(vlookup('source-upstream'!I228,'data-cleansing-maps'!N$5:N$10,1,FALSE)),'source-upstream'!I228,"")</f>
        <v/>
      </c>
      <c r="J228" s="87" t="str">
        <f>'source-upstream'!J228</f>
        <v>No comments provided</v>
      </c>
      <c r="K228" s="71" t="str">
        <f>if('source-upstream'!K228="",'schema-yn'!$A$5,vlookup('source-upstream'!K228,YN_MAP,3,FALSE))</f>
        <v>not-provided</v>
      </c>
      <c r="L228" s="88" t="str">
        <f>if('source-upstream'!L228="Not provided","",'source-upstream'!L228)</f>
        <v/>
      </c>
      <c r="M228" s="66" t="str">
        <f>if('source-upstream'!M228="",'schema-rv-services'!$B$26,vlookup(vlookup('source-upstream'!$M228,'analysis-rv-services'!$C:$E,3,FALSE),'schema-rv-services'!$A:$B,2, FALSE))</f>
        <v>repairs-and-maintenance</v>
      </c>
      <c r="N228" s="71"/>
    </row>
    <row r="229" ht="15.0" customHeight="1">
      <c r="A229" s="86" t="str">
        <f>Substitute(SUBSTITUTE(substitute(substitute(substitute(substitute(substitute(substitute(substitute(lower('source-upstream'!A229)," ","-"),"(",""),")",""),"&gt;",""),"&lt;",""),"---","-"),".","-"),"--","-"),"&amp;","-and-")</f>
        <v>swift-blue-tongue-skink</v>
      </c>
      <c r="B229" s="86" t="str">
        <f>Substitute(SUBSTITUTE(substitute(substitute(substitute(substitute(substitute(substitute(substitute(lower('source-upstream'!B229)," ","-"),"(",""),")",""),"&gt;",""),"&lt;",""),"---","-"),".","-"),"--","-"),"&amp;","-and-")</f>
        <v>red-koala</v>
      </c>
      <c r="C229" s="71" t="str">
        <f>if('source-upstream'!C229="",'schema-frequency'!$B$11,vlookup('source-upstream'!C229,FREQUENCY_MAP, 3, FALSE))</f>
        <v>not-provided</v>
      </c>
      <c r="D229" s="87" t="str">
        <f>'source-upstream'!D229</f>
        <v>Not provided</v>
      </c>
      <c r="E229" s="71" t="str">
        <f>if('source-upstream'!E229="",'schema-yn'!$A$5,vlookup('source-upstream'!E229,YN_MAP,3,FALSE))</f>
        <v>not-provided</v>
      </c>
      <c r="F229" s="71" t="str">
        <f>if('source-upstream'!F229="",'schema-yn'!$A$5,vlookup('source-upstream'!F229,YN_MAP,3,FALSE))</f>
        <v>not-provided</v>
      </c>
      <c r="G229" s="71" t="str">
        <f>if('source-upstream'!G229="",'schema-yn'!$A$5,vlookup('source-upstream'!G229,YN_MAP,3,FALSE))</f>
        <v>not-provided</v>
      </c>
      <c r="H229" s="71" t="str">
        <f>if('source-upstream'!H229="",'schema-yn'!$A$5,vlookup('source-upstream'!H229,RESILIENCE_OPTION_MAP,3,FALSE))</f>
        <v>not-provided</v>
      </c>
      <c r="I229" s="71" t="str">
        <f>if(iserror(vlookup('source-upstream'!I229,'data-cleansing-maps'!N$5:N$10,1,FALSE)),'source-upstream'!I229,"")</f>
        <v/>
      </c>
      <c r="J229" s="87" t="str">
        <f>'source-upstream'!J229</f>
        <v>No comments provided</v>
      </c>
      <c r="K229" s="71" t="str">
        <f>if('source-upstream'!K229="",'schema-yn'!$A$5,vlookup('source-upstream'!K229,YN_MAP,3,FALSE))</f>
        <v>not-provided</v>
      </c>
      <c r="L229" s="88" t="str">
        <f>if('source-upstream'!L229="Not provided","",'source-upstream'!L229)</f>
        <v/>
      </c>
      <c r="M229" s="66" t="str">
        <f>if('source-upstream'!M229="",'schema-rv-services'!$B$26,vlookup(vlookup('source-upstream'!$M229,'analysis-rv-services'!$C:$E,3,FALSE),'schema-rv-services'!$A:$B,2, FALSE))</f>
        <v>fuel</v>
      </c>
      <c r="N229" s="71"/>
    </row>
    <row r="230" ht="15.0" customHeight="1">
      <c r="A230" s="86" t="str">
        <f>Substitute(SUBSTITUTE(substitute(substitute(substitute(substitute(substitute(substitute(substitute(lower('source-upstream'!A230)," ","-"),"(",""),")",""),"&gt;",""),"&lt;",""),"---","-"),".","-"),"--","-"),"&amp;","-and-")</f>
        <v>swift-blue-tongue-skink</v>
      </c>
      <c r="B230" s="86" t="str">
        <f>Substitute(SUBSTITUTE(substitute(substitute(substitute(substitute(substitute(substitute(substitute(lower('source-upstream'!B230)," ","-"),"(",""),")",""),"&gt;",""),"&lt;",""),"---","-"),".","-"),"--","-"),"&amp;","-and-")</f>
        <v>clever-quokka</v>
      </c>
      <c r="C230" s="71" t="str">
        <f>if('source-upstream'!C230="",'schema-frequency'!$B$11,vlookup('source-upstream'!C230,FREQUENCY_MAP, 3, FALSE))</f>
        <v>not-provided</v>
      </c>
      <c r="D230" s="87" t="str">
        <f>'source-upstream'!D230</f>
        <v>Not provided</v>
      </c>
      <c r="E230" s="71" t="str">
        <f>if('source-upstream'!E230="",'schema-yn'!$A$5,vlookup('source-upstream'!E230,YN_MAP,3,FALSE))</f>
        <v>not-provided</v>
      </c>
      <c r="F230" s="71" t="str">
        <f>if('source-upstream'!F230="",'schema-yn'!$A$5,vlookup('source-upstream'!F230,YN_MAP,3,FALSE))</f>
        <v>not-provided</v>
      </c>
      <c r="G230" s="71" t="str">
        <f>if('source-upstream'!G230="",'schema-yn'!$A$5,vlookup('source-upstream'!G230,YN_MAP,3,FALSE))</f>
        <v>not-provided</v>
      </c>
      <c r="H230" s="71" t="str">
        <f>if('source-upstream'!H230="",'schema-yn'!$A$5,vlookup('source-upstream'!H230,RESILIENCE_OPTION_MAP,3,FALSE))</f>
        <v>not-provided</v>
      </c>
      <c r="I230" s="71" t="str">
        <f>if(iserror(vlookup('source-upstream'!I230,'data-cleansing-maps'!N$5:N$10,1,FALSE)),'source-upstream'!I230,"")</f>
        <v/>
      </c>
      <c r="J230" s="87" t="str">
        <f>'source-upstream'!J230</f>
        <v>No comments provided</v>
      </c>
      <c r="K230" s="71" t="str">
        <f>if('source-upstream'!K230="",'schema-yn'!$A$5,vlookup('source-upstream'!K230,YN_MAP,3,FALSE))</f>
        <v>not-provided</v>
      </c>
      <c r="L230" s="88" t="str">
        <f>if('source-upstream'!L230="Not provided","",'source-upstream'!L230)</f>
        <v/>
      </c>
      <c r="M230" s="66" t="str">
        <f>if('source-upstream'!M230="",'schema-rv-services'!$B$26,vlookup(vlookup('source-upstream'!$M230,'analysis-rv-services'!$C:$E,3,FALSE),'schema-rv-services'!$A:$B,2, FALSE))</f>
        <v>plant-and-equipment</v>
      </c>
      <c r="N230" s="71"/>
    </row>
    <row r="231" ht="15.0" customHeight="1">
      <c r="A231" s="86" t="str">
        <f>Substitute(SUBSTITUTE(substitute(substitute(substitute(substitute(substitute(substitute(substitute(lower('source-upstream'!A231)," ","-"),"(",""),")",""),"&gt;",""),"&lt;",""),"---","-"),".","-"),"--","-"),"&amp;","-and-")</f>
        <v>swift-blue-tongue-skink</v>
      </c>
      <c r="B231" s="86" t="str">
        <f>Substitute(SUBSTITUTE(substitute(substitute(substitute(substitute(substitute(substitute(substitute(lower('source-upstream'!B231)," ","-"),"(",""),")",""),"&gt;",""),"&lt;",""),"---","-"),".","-"),"--","-"),"&amp;","-and-")</f>
        <v>noisy-kangaroo</v>
      </c>
      <c r="C231" s="71" t="str">
        <f>if('source-upstream'!C231="",'schema-frequency'!$B$11,vlookup('source-upstream'!C231,FREQUENCY_MAP, 3, FALSE))</f>
        <v>not-provided</v>
      </c>
      <c r="D231" s="87" t="str">
        <f>'source-upstream'!D231</f>
        <v>Not provided</v>
      </c>
      <c r="E231" s="71" t="str">
        <f>if('source-upstream'!E231="",'schema-yn'!$A$5,vlookup('source-upstream'!E231,YN_MAP,3,FALSE))</f>
        <v>not-provided</v>
      </c>
      <c r="F231" s="71" t="str">
        <f>if('source-upstream'!F231="",'schema-yn'!$A$5,vlookup('source-upstream'!F231,YN_MAP,3,FALSE))</f>
        <v>not-provided</v>
      </c>
      <c r="G231" s="71" t="str">
        <f>if('source-upstream'!G231="",'schema-yn'!$A$5,vlookup('source-upstream'!G231,YN_MAP,3,FALSE))</f>
        <v>not-provided</v>
      </c>
      <c r="H231" s="71" t="str">
        <f>if('source-upstream'!H231="",'schema-yn'!$A$5,vlookup('source-upstream'!H231,RESILIENCE_OPTION_MAP,3,FALSE))</f>
        <v>not-provided</v>
      </c>
      <c r="I231" s="71" t="str">
        <f>if(iserror(vlookup('source-upstream'!I231,'data-cleansing-maps'!N$5:N$10,1,FALSE)),'source-upstream'!I231,"")</f>
        <v/>
      </c>
      <c r="J231" s="87" t="str">
        <f>'source-upstream'!J231</f>
        <v>No comments provided</v>
      </c>
      <c r="K231" s="71" t="str">
        <f>if('source-upstream'!K231="",'schema-yn'!$A$5,vlookup('source-upstream'!K231,YN_MAP,3,FALSE))</f>
        <v>not-provided</v>
      </c>
      <c r="L231" s="88" t="str">
        <f>if('source-upstream'!L231="Not provided","",'source-upstream'!L231)</f>
        <v/>
      </c>
      <c r="M231" s="66" t="str">
        <f>if('source-upstream'!M231="",'schema-rv-services'!$B$26,vlookup(vlookup('source-upstream'!$M231,'analysis-rv-services'!$C:$E,3,FALSE),'schema-rv-services'!$A:$B,2, FALSE))</f>
        <v>plant-and-equipment</v>
      </c>
      <c r="N231" s="71"/>
    </row>
    <row r="232" ht="15.0" customHeight="1">
      <c r="A232" s="86" t="str">
        <f>Substitute(SUBSTITUTE(substitute(substitute(substitute(substitute(substitute(substitute(substitute(lower('source-upstream'!A232)," ","-"),"(",""),")",""),"&gt;",""),"&lt;",""),"---","-"),".","-"),"--","-"),"&amp;","-and-")</f>
        <v>swift-blue-tongue-skink</v>
      </c>
      <c r="B232" s="86" t="str">
        <f>Substitute(SUBSTITUTE(substitute(substitute(substitute(substitute(substitute(substitute(substitute(lower('source-upstream'!B232)," ","-"),"(",""),")",""),"&gt;",""),"&lt;",""),"---","-"),".","-"),"--","-"),"&amp;","-and-")</f>
        <v>brave-bilby</v>
      </c>
      <c r="C232" s="71" t="str">
        <f>if('source-upstream'!C232="",'schema-frequency'!$B$11,vlookup('source-upstream'!C232,FREQUENCY_MAP, 3, FALSE))</f>
        <v>not-provided</v>
      </c>
      <c r="D232" s="87" t="str">
        <f>'source-upstream'!D232</f>
        <v>Not provided</v>
      </c>
      <c r="E232" s="71" t="str">
        <f>if('source-upstream'!E232="",'schema-yn'!$A$5,vlookup('source-upstream'!E232,YN_MAP,3,FALSE))</f>
        <v>not-provided</v>
      </c>
      <c r="F232" s="71" t="str">
        <f>if('source-upstream'!F232="",'schema-yn'!$A$5,vlookup('source-upstream'!F232,YN_MAP,3,FALSE))</f>
        <v>not-provided</v>
      </c>
      <c r="G232" s="71" t="str">
        <f>if('source-upstream'!G232="",'schema-yn'!$A$5,vlookup('source-upstream'!G232,YN_MAP,3,FALSE))</f>
        <v>not-provided</v>
      </c>
      <c r="H232" s="71" t="str">
        <f>if('source-upstream'!H232="",'schema-yn'!$A$5,vlookup('source-upstream'!H232,RESILIENCE_OPTION_MAP,3,FALSE))</f>
        <v>not-provided</v>
      </c>
      <c r="I232" s="71" t="str">
        <f>if(iserror(vlookup('source-upstream'!I232,'data-cleansing-maps'!N$5:N$10,1,FALSE)),'source-upstream'!I232,"")</f>
        <v/>
      </c>
      <c r="J232" s="87" t="str">
        <f>'source-upstream'!J232</f>
        <v>No comments provided</v>
      </c>
      <c r="K232" s="71" t="str">
        <f>if('source-upstream'!K232="",'schema-yn'!$A$5,vlookup('source-upstream'!K232,YN_MAP,3,FALSE))</f>
        <v>not-provided</v>
      </c>
      <c r="L232" s="88" t="str">
        <f>if('source-upstream'!L232="Not provided","",'source-upstream'!L232)</f>
        <v/>
      </c>
      <c r="M232" s="66" t="str">
        <f>if('source-upstream'!M232="",'schema-rv-services'!$B$26,vlookup(vlookup('source-upstream'!$M232,'analysis-rv-services'!$C:$E,3,FALSE),'schema-rv-services'!$A:$B,2, FALSE))</f>
        <v>components</v>
      </c>
      <c r="N232" s="71"/>
    </row>
    <row r="233" ht="15.0" customHeight="1">
      <c r="A233" s="86" t="str">
        <f>Substitute(SUBSTITUTE(substitute(substitute(substitute(substitute(substitute(substitute(substitute(lower('source-upstream'!A233)," ","-"),"(",""),")",""),"&gt;",""),"&lt;",""),"---","-"),".","-"),"--","-"),"&amp;","-and-")</f>
        <v>swift-blue-tongue-skink</v>
      </c>
      <c r="B233" s="86" t="str">
        <f>Substitute(SUBSTITUTE(substitute(substitute(substitute(substitute(substitute(substitute(substitute(lower('source-upstream'!B233)," ","-"),"(",""),")",""),"&gt;",""),"&lt;",""),"---","-"),".","-"),"--","-"),"&amp;","-and-")</f>
        <v>blue-bandicoot</v>
      </c>
      <c r="C233" s="71" t="str">
        <f>if('source-upstream'!C233="",'schema-frequency'!$B$11,vlookup('source-upstream'!C233,FREQUENCY_MAP, 3, FALSE))</f>
        <v>not-provided</v>
      </c>
      <c r="D233" s="87" t="str">
        <f>'source-upstream'!D233</f>
        <v>Not provided</v>
      </c>
      <c r="E233" s="71" t="str">
        <f>if('source-upstream'!E233="",'schema-yn'!$A$5,vlookup('source-upstream'!E233,YN_MAP,3,FALSE))</f>
        <v>not-provided</v>
      </c>
      <c r="F233" s="71" t="str">
        <f>if('source-upstream'!F233="",'schema-yn'!$A$5,vlookup('source-upstream'!F233,YN_MAP,3,FALSE))</f>
        <v>not-provided</v>
      </c>
      <c r="G233" s="71" t="str">
        <f>if('source-upstream'!G233="",'schema-yn'!$A$5,vlookup('source-upstream'!G233,YN_MAP,3,FALSE))</f>
        <v>not-provided</v>
      </c>
      <c r="H233" s="71" t="str">
        <f>if('source-upstream'!H233="",'schema-yn'!$A$5,vlookup('source-upstream'!H233,RESILIENCE_OPTION_MAP,3,FALSE))</f>
        <v>not-provided</v>
      </c>
      <c r="I233" s="71" t="str">
        <f>if(iserror(vlookup('source-upstream'!I233,'data-cleansing-maps'!N$5:N$10,1,FALSE)),'source-upstream'!I233,"")</f>
        <v/>
      </c>
      <c r="J233" s="87" t="str">
        <f>'source-upstream'!J233</f>
        <v>No comments provided</v>
      </c>
      <c r="K233" s="71" t="str">
        <f>if('source-upstream'!K233="",'schema-yn'!$A$5,vlookup('source-upstream'!K233,YN_MAP,3,FALSE))</f>
        <v>not-provided</v>
      </c>
      <c r="L233" s="88" t="str">
        <f>if('source-upstream'!L233="Not provided","",'source-upstream'!L233)</f>
        <v/>
      </c>
      <c r="M233" s="66" t="str">
        <f>if('source-upstream'!M233="",'schema-rv-services'!$B$26,vlookup(vlookup('source-upstream'!$M233,'analysis-rv-services'!$C:$E,3,FALSE),'schema-rv-services'!$A:$B,2, FALSE))</f>
        <v>techonology</v>
      </c>
      <c r="N233" s="71"/>
    </row>
    <row r="234" ht="15.0" customHeight="1">
      <c r="A234" s="86" t="str">
        <f>Substitute(SUBSTITUTE(substitute(substitute(substitute(substitute(substitute(substitute(substitute(lower('source-upstream'!A234)," ","-"),"(",""),")",""),"&gt;",""),"&lt;",""),"---","-"),".","-"),"--","-"),"&amp;","-and-")</f>
        <v>swift-blue-tongue-skink</v>
      </c>
      <c r="B234" s="86" t="str">
        <f>Substitute(SUBSTITUTE(substitute(substitute(substitute(substitute(substitute(substitute(substitute(lower('source-upstream'!B234)," ","-"),"(",""),")",""),"&gt;",""),"&lt;",""),"---","-"),".","-"),"--","-"),"&amp;","-and-")</f>
        <v>giant-emu</v>
      </c>
      <c r="C234" s="71" t="str">
        <f>if('source-upstream'!C234="",'schema-frequency'!$B$11,vlookup('source-upstream'!C234,FREQUENCY_MAP, 3, FALSE))</f>
        <v>not-provided</v>
      </c>
      <c r="D234" s="87" t="str">
        <f>'source-upstream'!D234</f>
        <v>Not provided</v>
      </c>
      <c r="E234" s="71" t="str">
        <f>if('source-upstream'!E234="",'schema-yn'!$A$5,vlookup('source-upstream'!E234,YN_MAP,3,FALSE))</f>
        <v>not-provided</v>
      </c>
      <c r="F234" s="71" t="str">
        <f>if('source-upstream'!F234="",'schema-yn'!$A$5,vlookup('source-upstream'!F234,YN_MAP,3,FALSE))</f>
        <v>not-provided</v>
      </c>
      <c r="G234" s="71" t="str">
        <f>if('source-upstream'!G234="",'schema-yn'!$A$5,vlookup('source-upstream'!G234,YN_MAP,3,FALSE))</f>
        <v>not-provided</v>
      </c>
      <c r="H234" s="71" t="str">
        <f>if('source-upstream'!H234="",'schema-yn'!$A$5,vlookup('source-upstream'!H234,RESILIENCE_OPTION_MAP,3,FALSE))</f>
        <v>not-provided</v>
      </c>
      <c r="I234" s="71" t="str">
        <f>if(iserror(vlookup('source-upstream'!I234,'data-cleansing-maps'!N$5:N$10,1,FALSE)),'source-upstream'!I234,"")</f>
        <v/>
      </c>
      <c r="J234" s="87" t="str">
        <f>'source-upstream'!J234</f>
        <v>No comments provided</v>
      </c>
      <c r="K234" s="71" t="str">
        <f>if('source-upstream'!K234="",'schema-yn'!$A$5,vlookup('source-upstream'!K234,YN_MAP,3,FALSE))</f>
        <v>not-provided</v>
      </c>
      <c r="L234" s="88" t="str">
        <f>if('source-upstream'!L234="Not provided","",'source-upstream'!L234)</f>
        <v/>
      </c>
      <c r="M234" s="66" t="str">
        <f>if('source-upstream'!M234="",'schema-rv-services'!$B$26,vlookup(vlookup('source-upstream'!$M234,'analysis-rv-services'!$C:$E,3,FALSE),'schema-rv-services'!$A:$B,2, FALSE))</f>
        <v>telecommunications</v>
      </c>
      <c r="N234" s="71"/>
    </row>
    <row r="235" ht="15.0" customHeight="1">
      <c r="A235" s="86" t="str">
        <f>Substitute(SUBSTITUTE(substitute(substitute(substitute(substitute(substitute(substitute(substitute(lower('source-upstream'!A235)," ","-"),"(",""),")",""),"&gt;",""),"&lt;",""),"---","-"),".","-"),"--","-"),"&amp;","-and-")</f>
        <v>swift-blue-tongue-skink</v>
      </c>
      <c r="B235" s="86" t="str">
        <f>Substitute(SUBSTITUTE(substitute(substitute(substitute(substitute(substitute(substitute(substitute(lower('source-upstream'!B235)," ","-"),"(",""),")",""),"&gt;",""),"&lt;",""),"---","-"),".","-"),"--","-"),"&amp;","-and-")</f>
        <v>wild-koala</v>
      </c>
      <c r="C235" s="71" t="str">
        <f>if('source-upstream'!C235="",'schema-frequency'!$B$11,vlookup('source-upstream'!C235,FREQUENCY_MAP, 3, FALSE))</f>
        <v>not-provided</v>
      </c>
      <c r="D235" s="87" t="str">
        <f>'source-upstream'!D235</f>
        <v>Not provided</v>
      </c>
      <c r="E235" s="71" t="str">
        <f>if('source-upstream'!E235="",'schema-yn'!$A$5,vlookup('source-upstream'!E235,YN_MAP,3,FALSE))</f>
        <v>not-provided</v>
      </c>
      <c r="F235" s="71" t="str">
        <f>if('source-upstream'!F235="",'schema-yn'!$A$5,vlookup('source-upstream'!F235,YN_MAP,3,FALSE))</f>
        <v>not-provided</v>
      </c>
      <c r="G235" s="71" t="str">
        <f>if('source-upstream'!G235="",'schema-yn'!$A$5,vlookup('source-upstream'!G235,YN_MAP,3,FALSE))</f>
        <v>not-provided</v>
      </c>
      <c r="H235" s="71" t="str">
        <f>if('source-upstream'!H235="",'schema-yn'!$A$5,vlookup('source-upstream'!H235,RESILIENCE_OPTION_MAP,3,FALSE))</f>
        <v>not-provided</v>
      </c>
      <c r="I235" s="71" t="str">
        <f>if(iserror(vlookup('source-upstream'!I235,'data-cleansing-maps'!N$5:N$10,1,FALSE)),'source-upstream'!I235,"")</f>
        <v/>
      </c>
      <c r="J235" s="87" t="str">
        <f>'source-upstream'!J235</f>
        <v>No comments provided</v>
      </c>
      <c r="K235" s="71" t="str">
        <f>if('source-upstream'!K235="",'schema-yn'!$A$5,vlookup('source-upstream'!K235,YN_MAP,3,FALSE))</f>
        <v>not-provided</v>
      </c>
      <c r="L235" s="88" t="str">
        <f>if('source-upstream'!L235="Not provided","",'source-upstream'!L235)</f>
        <v/>
      </c>
      <c r="M235" s="66" t="str">
        <f>if('source-upstream'!M235="",'schema-rv-services'!$B$26,vlookup(vlookup('source-upstream'!$M235,'analysis-rv-services'!$C:$E,3,FALSE),'schema-rv-services'!$A:$B,2, FALSE))</f>
        <v>repairs-and-maintenance</v>
      </c>
      <c r="N235" s="71"/>
    </row>
    <row r="236" ht="15.0" customHeight="1">
      <c r="A236" s="86" t="str">
        <f>Substitute(SUBSTITUTE(substitute(substitute(substitute(substitute(substitute(substitute(substitute(lower('source-upstream'!A236)," ","-"),"(",""),")",""),"&gt;",""),"&lt;",""),"---","-"),".","-"),"--","-"),"&amp;","-and-")</f>
        <v>swift-blue-tongue-skink</v>
      </c>
      <c r="B236" s="86" t="str">
        <f>Substitute(SUBSTITUTE(substitute(substitute(substitute(substitute(substitute(substitute(substitute(lower('source-upstream'!B236)," ","-"),"(",""),")",""),"&gt;",""),"&lt;",""),"---","-"),".","-"),"--","-"),"&amp;","-and-")</f>
        <v>giant-tasmanian-devil</v>
      </c>
      <c r="C236" s="71" t="str">
        <f>if('source-upstream'!C236="",'schema-frequency'!$B$11,vlookup('source-upstream'!C236,FREQUENCY_MAP, 3, FALSE))</f>
        <v>not-provided</v>
      </c>
      <c r="D236" s="87" t="str">
        <f>'source-upstream'!D236</f>
        <v>Not provided</v>
      </c>
      <c r="E236" s="71" t="str">
        <f>if('source-upstream'!E236="",'schema-yn'!$A$5,vlookup('source-upstream'!E236,YN_MAP,3,FALSE))</f>
        <v>not-provided</v>
      </c>
      <c r="F236" s="71" t="str">
        <f>if('source-upstream'!F236="",'schema-yn'!$A$5,vlookup('source-upstream'!F236,YN_MAP,3,FALSE))</f>
        <v>not-provided</v>
      </c>
      <c r="G236" s="71" t="str">
        <f>if('source-upstream'!G236="",'schema-yn'!$A$5,vlookup('source-upstream'!G236,YN_MAP,3,FALSE))</f>
        <v>not-provided</v>
      </c>
      <c r="H236" s="71" t="str">
        <f>if('source-upstream'!H236="",'schema-yn'!$A$5,vlookup('source-upstream'!H236,RESILIENCE_OPTION_MAP,3,FALSE))</f>
        <v>not-provided</v>
      </c>
      <c r="I236" s="71" t="str">
        <f>if(iserror(vlookup('source-upstream'!I236,'data-cleansing-maps'!N$5:N$10,1,FALSE)),'source-upstream'!I236,"")</f>
        <v/>
      </c>
      <c r="J236" s="87" t="str">
        <f>'source-upstream'!J236</f>
        <v>No comments provided</v>
      </c>
      <c r="K236" s="71" t="str">
        <f>if('source-upstream'!K236="",'schema-yn'!$A$5,vlookup('source-upstream'!K236,YN_MAP,3,FALSE))</f>
        <v>not-provided</v>
      </c>
      <c r="L236" s="88" t="str">
        <f>if('source-upstream'!L236="Not provided","",'source-upstream'!L236)</f>
        <v/>
      </c>
      <c r="M236" s="66" t="str">
        <f>if('source-upstream'!M236="",'schema-rv-services'!$B$26,vlookup(vlookup('source-upstream'!$M236,'analysis-rv-services'!$C:$E,3,FALSE),'schema-rv-services'!$A:$B,2, FALSE))</f>
        <v>repairs-and-maintenance</v>
      </c>
      <c r="N236" s="71"/>
    </row>
    <row r="237" ht="15.0" customHeight="1">
      <c r="A237" s="86" t="str">
        <f>Substitute(SUBSTITUTE(substitute(substitute(substitute(substitute(substitute(substitute(substitute(lower('source-upstream'!A237)," ","-"),"(",""),")",""),"&gt;",""),"&lt;",""),"---","-"),".","-"),"--","-"),"&amp;","-and-")</f>
        <v>swift-blue-tongue-skink</v>
      </c>
      <c r="B237" s="86" t="str">
        <f>Substitute(SUBSTITUTE(substitute(substitute(substitute(substitute(substitute(substitute(substitute(lower('source-upstream'!B237)," ","-"),"(",""),")",""),"&gt;",""),"&lt;",""),"---","-"),".","-"),"--","-"),"&amp;","-and-")</f>
        <v>spotted-tasmanian-devil</v>
      </c>
      <c r="C237" s="71" t="str">
        <f>if('source-upstream'!C237="",'schema-frequency'!$B$11,vlookup('source-upstream'!C237,FREQUENCY_MAP, 3, FALSE))</f>
        <v>not-provided</v>
      </c>
      <c r="D237" s="87" t="str">
        <f>'source-upstream'!D237</f>
        <v>Not provided</v>
      </c>
      <c r="E237" s="71" t="str">
        <f>if('source-upstream'!E237="",'schema-yn'!$A$5,vlookup('source-upstream'!E237,YN_MAP,3,FALSE))</f>
        <v>not-provided</v>
      </c>
      <c r="F237" s="71" t="str">
        <f>if('source-upstream'!F237="",'schema-yn'!$A$5,vlookup('source-upstream'!F237,YN_MAP,3,FALSE))</f>
        <v>not-provided</v>
      </c>
      <c r="G237" s="71" t="str">
        <f>if('source-upstream'!G237="",'schema-yn'!$A$5,vlookup('source-upstream'!G237,YN_MAP,3,FALSE))</f>
        <v>not-provided</v>
      </c>
      <c r="H237" s="71" t="str">
        <f>if('source-upstream'!H237="",'schema-yn'!$A$5,vlookup('source-upstream'!H237,RESILIENCE_OPTION_MAP,3,FALSE))</f>
        <v>not-provided</v>
      </c>
      <c r="I237" s="71" t="str">
        <f>if(iserror(vlookup('source-upstream'!I237,'data-cleansing-maps'!N$5:N$10,1,FALSE)),'source-upstream'!I237,"")</f>
        <v/>
      </c>
      <c r="J237" s="87" t="str">
        <f>'source-upstream'!J237</f>
        <v>No comments provided</v>
      </c>
      <c r="K237" s="71" t="str">
        <f>if('source-upstream'!K237="",'schema-yn'!$A$5,vlookup('source-upstream'!K237,YN_MAP,3,FALSE))</f>
        <v>not-provided</v>
      </c>
      <c r="L237" s="88" t="str">
        <f>if('source-upstream'!L237="Not provided","",'source-upstream'!L237)</f>
        <v/>
      </c>
      <c r="M237" s="66" t="str">
        <f>if('source-upstream'!M237="",'schema-rv-services'!$B$26,vlookup(vlookup('source-upstream'!$M237,'analysis-rv-services'!$C:$E,3,FALSE),'schema-rv-services'!$A:$B,2, FALSE))</f>
        <v>plant-and-equipment</v>
      </c>
      <c r="N237" s="71"/>
    </row>
    <row r="238" ht="15.0" customHeight="1">
      <c r="A238" s="86" t="str">
        <f>Substitute(SUBSTITUTE(substitute(substitute(substitute(substitute(substitute(substitute(substitute(lower('source-upstream'!A238)," ","-"),"(",""),")",""),"&gt;",""),"&lt;",""),"---","-"),".","-"),"--","-"),"&amp;","-and-")</f>
        <v>swift-blue-tongue-skink</v>
      </c>
      <c r="B238" s="86" t="str">
        <f>Substitute(SUBSTITUTE(substitute(substitute(substitute(substitute(substitute(substitute(substitute(lower('source-upstream'!B238)," ","-"),"(",""),")",""),"&gt;",""),"&lt;",""),"---","-"),".","-"),"--","-"),"&amp;","-and-")</f>
        <v>lazy-quokka</v>
      </c>
      <c r="C238" s="71" t="str">
        <f>if('source-upstream'!C238="",'schema-frequency'!$B$11,vlookup('source-upstream'!C238,FREQUENCY_MAP, 3, FALSE))</f>
        <v>not-provided</v>
      </c>
      <c r="D238" s="87" t="str">
        <f>'source-upstream'!D238</f>
        <v>Not provided</v>
      </c>
      <c r="E238" s="71" t="str">
        <f>if('source-upstream'!E238="",'schema-yn'!$A$5,vlookup('source-upstream'!E238,YN_MAP,3,FALSE))</f>
        <v>not-provided</v>
      </c>
      <c r="F238" s="71" t="str">
        <f>if('source-upstream'!F238="",'schema-yn'!$A$5,vlookup('source-upstream'!F238,YN_MAP,3,FALSE))</f>
        <v>not-provided</v>
      </c>
      <c r="G238" s="71" t="str">
        <f>if('source-upstream'!G238="",'schema-yn'!$A$5,vlookup('source-upstream'!G238,YN_MAP,3,FALSE))</f>
        <v>not-provided</v>
      </c>
      <c r="H238" s="71" t="str">
        <f>if('source-upstream'!H238="",'schema-yn'!$A$5,vlookup('source-upstream'!H238,RESILIENCE_OPTION_MAP,3,FALSE))</f>
        <v>not-provided</v>
      </c>
      <c r="I238" s="71" t="str">
        <f>if(iserror(vlookup('source-upstream'!I238,'data-cleansing-maps'!N$5:N$10,1,FALSE)),'source-upstream'!I238,"")</f>
        <v/>
      </c>
      <c r="J238" s="87" t="str">
        <f>'source-upstream'!J238</f>
        <v>No comments provided</v>
      </c>
      <c r="K238" s="71" t="str">
        <f>if('source-upstream'!K238="",'schema-yn'!$A$5,vlookup('source-upstream'!K238,YN_MAP,3,FALSE))</f>
        <v>not-provided</v>
      </c>
      <c r="L238" s="88" t="str">
        <f>if('source-upstream'!L238="Not provided","",'source-upstream'!L238)</f>
        <v/>
      </c>
      <c r="M238" s="66" t="str">
        <f>if('source-upstream'!M238="",'schema-rv-services'!$B$26,vlookup(vlookup('source-upstream'!$M238,'analysis-rv-services'!$C:$E,3,FALSE),'schema-rv-services'!$A:$B,2, FALSE))</f>
        <v>repairs-and-maintenance</v>
      </c>
      <c r="N238" s="71"/>
    </row>
    <row r="239" ht="15.0" customHeight="1">
      <c r="A239" s="86" t="str">
        <f>Substitute(SUBSTITUTE(substitute(substitute(substitute(substitute(substitute(substitute(substitute(lower('source-upstream'!A239)," ","-"),"(",""),")",""),"&gt;",""),"&lt;",""),"---","-"),".","-"),"--","-"),"&amp;","-and-")</f>
        <v>tiny-platypus</v>
      </c>
      <c r="B239" s="86" t="str">
        <f>Substitute(SUBSTITUTE(substitute(substitute(substitute(substitute(substitute(substitute(substitute(lower('source-upstream'!B239)," ","-"),"(",""),")",""),"&gt;",""),"&lt;",""),"---","-"),".","-"),"--","-"),"&amp;","-and-")</f>
        <v>fuzzy-sugar-glider</v>
      </c>
      <c r="C239" s="71" t="str">
        <f>if('source-upstream'!C239="",'schema-frequency'!$B$11,vlookup('source-upstream'!C239,FREQUENCY_MAP, 3, FALSE))</f>
        <v>not-provided</v>
      </c>
      <c r="D239" s="87" t="str">
        <f>'source-upstream'!D239</f>
        <v>logistics</v>
      </c>
      <c r="E239" s="71" t="str">
        <f>if('source-upstream'!E239="",'schema-yn'!$A$5,vlookup('source-upstream'!E239,YN_MAP,3,FALSE))</f>
        <v>yes</v>
      </c>
      <c r="F239" s="71" t="str">
        <f>if('source-upstream'!F239="",'schema-yn'!$A$5,vlookup('source-upstream'!F239,YN_MAP,3,FALSE))</f>
        <v>not-provided</v>
      </c>
      <c r="G239" s="71" t="str">
        <f>if('source-upstream'!G239="",'schema-yn'!$A$5,vlookup('source-upstream'!G239,YN_MAP,3,FALSE))</f>
        <v>partially</v>
      </c>
      <c r="H239" s="71" t="str">
        <f>if('source-upstream'!H239="",'schema-yn'!$A$5,vlookup('source-upstream'!H239,RESILIENCE_OPTION_MAP,3,FALSE))</f>
        <v>not-provided</v>
      </c>
      <c r="I239" s="71" t="str">
        <f>if(iserror(vlookup('source-upstream'!I239,'data-cleansing-maps'!N$5:N$10,1,FALSE)),'source-upstream'!I239,"")</f>
        <v/>
      </c>
      <c r="J239" s="87" t="str">
        <f>'source-upstream'!J239</f>
        <v>also sorting and IT systems</v>
      </c>
      <c r="K239" s="71" t="str">
        <f>if('source-upstream'!K239="",'schema-yn'!$A$5,vlookup('source-upstream'!K239,YN_MAP,3,FALSE))</f>
        <v>not-provided</v>
      </c>
      <c r="L239" s="88" t="str">
        <f>if('source-upstream'!L239="Not provided","",'source-upstream'!L239)</f>
        <v/>
      </c>
      <c r="M239" s="66" t="str">
        <f>if('source-upstream'!M239="",'schema-rv-services'!$B$26,vlookup(vlookup('source-upstream'!$M239,'analysis-rv-services'!$C:$E,3,FALSE),'schema-rv-services'!$A:$B,2, FALSE))</f>
        <v>transport</v>
      </c>
      <c r="N239" s="71"/>
    </row>
    <row r="240" ht="15.0" customHeight="1">
      <c r="A240" s="86" t="str">
        <f>Substitute(SUBSTITUTE(substitute(substitute(substitute(substitute(substitute(substitute(substitute(lower('source-upstream'!A240)," ","-"),"(",""),")",""),"&gt;",""),"&lt;",""),"---","-"),".","-"),"--","-"),"&amp;","-and-")</f>
        <v>tiny-platypus</v>
      </c>
      <c r="B240" s="86" t="str">
        <f>Substitute(SUBSTITUTE(substitute(substitute(substitute(substitute(substitute(substitute(substitute(lower('source-upstream'!B240)," ","-"),"(",""),")",""),"&gt;",""),"&lt;",""),"---","-"),".","-"),"--","-"),"&amp;","-and-")</f>
        <v>tiny-possum</v>
      </c>
      <c r="C240" s="71" t="str">
        <f>if('source-upstream'!C240="",'schema-frequency'!$B$11,vlookup('source-upstream'!C240,FREQUENCY_MAP, 3, FALSE))</f>
        <v>not-provided</v>
      </c>
      <c r="D240" s="87" t="str">
        <f>'source-upstream'!D240</f>
        <v>collection point services (RVMs)</v>
      </c>
      <c r="E240" s="71" t="str">
        <f>if('source-upstream'!E240="",'schema-yn'!$A$5,vlookup('source-upstream'!E240,YN_MAP,3,FALSE))</f>
        <v>yes</v>
      </c>
      <c r="F240" s="71" t="str">
        <f>if('source-upstream'!F240="",'schema-yn'!$A$5,vlookup('source-upstream'!F240,YN_MAP,3,FALSE))</f>
        <v>not-provided</v>
      </c>
      <c r="G240" s="71" t="str">
        <f>if('source-upstream'!G240="",'schema-yn'!$A$5,vlookup('source-upstream'!G240,YN_MAP,3,FALSE))</f>
        <v>partially</v>
      </c>
      <c r="H240" s="71" t="str">
        <f>if('source-upstream'!H240="",'schema-yn'!$A$5,vlookup('source-upstream'!H240,RESILIENCE_OPTION_MAP,3,FALSE))</f>
        <v>not-provided</v>
      </c>
      <c r="I240" s="71" t="str">
        <f>if(iserror(vlookup('source-upstream'!I240,'data-cleansing-maps'!N$5:N$10,1,FALSE)),'source-upstream'!I240,"")</f>
        <v/>
      </c>
      <c r="J240" s="87" t="str">
        <f>'source-upstream'!J240</f>
        <v>also technology servcies</v>
      </c>
      <c r="K240" s="71" t="str">
        <f>if('source-upstream'!K240="",'schema-yn'!$A$5,vlookup('source-upstream'!K240,YN_MAP,3,FALSE))</f>
        <v>not-provided</v>
      </c>
      <c r="L240" s="88" t="str">
        <f>if('source-upstream'!L240="Not provided","",'source-upstream'!L240)</f>
        <v/>
      </c>
      <c r="M240" s="66" t="str">
        <f>if('source-upstream'!M240="",'schema-rv-services'!$B$26,vlookup(vlookup('source-upstream'!$M240,'analysis-rv-services'!$C:$E,3,FALSE),'schema-rv-services'!$A:$B,2, FALSE))</f>
        <v>transport</v>
      </c>
      <c r="N240" s="71"/>
    </row>
    <row r="241" ht="15.0" customHeight="1">
      <c r="A241" s="86" t="str">
        <f>Substitute(SUBSTITUTE(substitute(substitute(substitute(substitute(substitute(substitute(substitute(lower('source-upstream'!A241)," ","-"),"(",""),")",""),"&gt;",""),"&lt;",""),"---","-"),".","-"),"--","-"),"&amp;","-and-")</f>
        <v>wild-cassowary</v>
      </c>
      <c r="B241" s="86" t="str">
        <f>Substitute(SUBSTITUTE(substitute(substitute(substitute(substitute(substitute(substitute(substitute(lower('source-upstream'!B241)," ","-"),"(",""),")",""),"&gt;",""),"&lt;",""),"---","-"),".","-"),"--","-"),"&amp;","-and-")</f>
        <v>red-numbat</v>
      </c>
      <c r="C241" s="71" t="str">
        <f>if('source-upstream'!C241="",'schema-frequency'!$B$11,vlookup('source-upstream'!C241,FREQUENCY_MAP, 3, FALSE))</f>
        <v>not-provided</v>
      </c>
      <c r="D241" s="87" t="str">
        <f>'source-upstream'!D241</f>
        <v>Building approval</v>
      </c>
      <c r="E241" s="71" t="str">
        <f>if('source-upstream'!E241="",'schema-yn'!$A$5,vlookup('source-upstream'!E241,YN_MAP,3,FALSE))</f>
        <v>not-provided</v>
      </c>
      <c r="F241" s="71" t="str">
        <f>if('source-upstream'!F241="",'schema-yn'!$A$5,vlookup('source-upstream'!F241,YN_MAP,3,FALSE))</f>
        <v>not-provided</v>
      </c>
      <c r="G241" s="71" t="str">
        <f>if('source-upstream'!G241="",'schema-yn'!$A$5,vlookup('source-upstream'!G241,YN_MAP,3,FALSE))</f>
        <v>not-provided</v>
      </c>
      <c r="H241" s="71" t="str">
        <f>if('source-upstream'!H241="",'schema-yn'!$A$5,vlookup('source-upstream'!H241,RESILIENCE_OPTION_MAP,3,FALSE))</f>
        <v>not-provided</v>
      </c>
      <c r="I241" s="71" t="str">
        <f>if(iserror(vlookup('source-upstream'!I241,'data-cleansing-maps'!N$5:N$10,1,FALSE)),'source-upstream'!I241,"")</f>
        <v/>
      </c>
      <c r="J241" s="87" t="str">
        <f>'source-upstream'!J241</f>
        <v>No comments provided</v>
      </c>
      <c r="K241" s="71" t="str">
        <f>if('source-upstream'!K241="",'schema-yn'!$A$5,vlookup('source-upstream'!K241,YN_MAP,3,FALSE))</f>
        <v>not-provided</v>
      </c>
      <c r="L241" s="88" t="str">
        <f>if('source-upstream'!L241="Not provided","",'source-upstream'!L241)</f>
        <v/>
      </c>
      <c r="M241" s="66" t="str">
        <f>if('source-upstream'!M241="",'schema-rv-services'!$B$26,vlookup(vlookup('source-upstream'!$M241,'analysis-rv-services'!$C:$E,3,FALSE),'schema-rv-services'!$A:$B,2, FALSE))</f>
        <v>not-provided</v>
      </c>
      <c r="N241" s="71"/>
    </row>
    <row r="242" ht="15.0" customHeight="1">
      <c r="A242" s="86" t="str">
        <f>Substitute(SUBSTITUTE(substitute(substitute(substitute(substitute(substitute(substitute(substitute(lower('source-upstream'!A242)," ","-"),"(",""),")",""),"&gt;",""),"&lt;",""),"---","-"),".","-"),"--","-"),"&amp;","-and-")</f>
        <v>wild-cassowary</v>
      </c>
      <c r="B242" s="86" t="str">
        <f>Substitute(SUBSTITUTE(substitute(substitute(substitute(substitute(substitute(substitute(substitute(lower('source-upstream'!B242)," ","-"),"(",""),")",""),"&gt;",""),"&lt;",""),"---","-"),".","-"),"--","-"),"&amp;","-and-")</f>
        <v>green-dingo</v>
      </c>
      <c r="C242" s="71" t="str">
        <f>if('source-upstream'!C242="",'schema-frequency'!$B$11,vlookup('source-upstream'!C242,FREQUENCY_MAP, 3, FALSE))</f>
        <v>not-provided</v>
      </c>
      <c r="D242" s="87" t="str">
        <f>'source-upstream'!D242</f>
        <v>Licencing</v>
      </c>
      <c r="E242" s="71" t="str">
        <f>if('source-upstream'!E242="",'schema-yn'!$A$5,vlookup('source-upstream'!E242,YN_MAP,3,FALSE))</f>
        <v>not-provided</v>
      </c>
      <c r="F242" s="71" t="str">
        <f>if('source-upstream'!F242="",'schema-yn'!$A$5,vlookup('source-upstream'!F242,YN_MAP,3,FALSE))</f>
        <v>not-provided</v>
      </c>
      <c r="G242" s="71" t="str">
        <f>if('source-upstream'!G242="",'schema-yn'!$A$5,vlookup('source-upstream'!G242,YN_MAP,3,FALSE))</f>
        <v>not-provided</v>
      </c>
      <c r="H242" s="71" t="str">
        <f>if('source-upstream'!H242="",'schema-yn'!$A$5,vlookup('source-upstream'!H242,RESILIENCE_OPTION_MAP,3,FALSE))</f>
        <v>not-provided</v>
      </c>
      <c r="I242" s="71" t="str">
        <f>if(iserror(vlookup('source-upstream'!I242,'data-cleansing-maps'!N$5:N$10,1,FALSE)),'source-upstream'!I242,"")</f>
        <v/>
      </c>
      <c r="J242" s="87" t="str">
        <f>'source-upstream'!J242</f>
        <v>No comments provided</v>
      </c>
      <c r="K242" s="71" t="str">
        <f>if('source-upstream'!K242="",'schema-yn'!$A$5,vlookup('source-upstream'!K242,YN_MAP,3,FALSE))</f>
        <v>not-provided</v>
      </c>
      <c r="L242" s="88" t="str">
        <f>if('source-upstream'!L242="Not provided","",'source-upstream'!L242)</f>
        <v/>
      </c>
      <c r="M242" s="66" t="str">
        <f>if('source-upstream'!M242="",'schema-rv-services'!$B$26,vlookup(vlookup('source-upstream'!$M242,'analysis-rv-services'!$C:$E,3,FALSE),'schema-rv-services'!$A:$B,2, FALSE))</f>
        <v>regulator</v>
      </c>
      <c r="N242" s="71"/>
    </row>
    <row r="243" ht="15.0" customHeight="1">
      <c r="A243" s="86" t="str">
        <f>Substitute(SUBSTITUTE(substitute(substitute(substitute(substitute(substitute(substitute(substitute(lower('source-upstream'!A243)," ","-"),"(",""),")",""),"&gt;",""),"&lt;",""),"---","-"),".","-"),"--","-"),"&amp;","-and-")</f>
        <v>wild-cassowary</v>
      </c>
      <c r="B243" s="86" t="str">
        <f>Substitute(SUBSTITUTE(substitute(substitute(substitute(substitute(substitute(substitute(substitute(lower('source-upstream'!B243)," ","-"),"(",""),")",""),"&gt;",""),"&lt;",""),"---","-"),".","-"),"--","-"),"&amp;","-and-")</f>
        <v>red-numbat</v>
      </c>
      <c r="C243" s="71" t="str">
        <f>if('source-upstream'!C243="",'schema-frequency'!$B$11,vlookup('source-upstream'!C243,FREQUENCY_MAP, 3, FALSE))</f>
        <v>not-provided</v>
      </c>
      <c r="D243" s="87" t="str">
        <f>'source-upstream'!D243</f>
        <v>Building approval</v>
      </c>
      <c r="E243" s="71" t="str">
        <f>if('source-upstream'!E243="",'schema-yn'!$A$5,vlookup('source-upstream'!E243,YN_MAP,3,FALSE))</f>
        <v>not-provided</v>
      </c>
      <c r="F243" s="71" t="str">
        <f>if('source-upstream'!F243="",'schema-yn'!$A$5,vlookup('source-upstream'!F243,YN_MAP,3,FALSE))</f>
        <v>not-provided</v>
      </c>
      <c r="G243" s="71" t="str">
        <f>if('source-upstream'!G243="",'schema-yn'!$A$5,vlookup('source-upstream'!G243,YN_MAP,3,FALSE))</f>
        <v>not-provided</v>
      </c>
      <c r="H243" s="71" t="str">
        <f>if('source-upstream'!H243="",'schema-yn'!$A$5,vlookup('source-upstream'!H243,RESILIENCE_OPTION_MAP,3,FALSE))</f>
        <v>not-provided</v>
      </c>
      <c r="I243" s="71" t="str">
        <f>if(iserror(vlookup('source-upstream'!I243,'data-cleansing-maps'!N$5:N$10,1,FALSE)),'source-upstream'!I243,"")</f>
        <v/>
      </c>
      <c r="J243" s="87" t="str">
        <f>'source-upstream'!J243</f>
        <v>No comments provided</v>
      </c>
      <c r="K243" s="71" t="str">
        <f>if('source-upstream'!K243="",'schema-yn'!$A$5,vlookup('source-upstream'!K243,YN_MAP,3,FALSE))</f>
        <v>not-provided</v>
      </c>
      <c r="L243" s="88" t="str">
        <f>if('source-upstream'!L243="Not provided","",'source-upstream'!L243)</f>
        <v/>
      </c>
      <c r="M243" s="66" t="str">
        <f>if('source-upstream'!M243="",'schema-rv-services'!$B$26,vlookup(vlookup('source-upstream'!$M243,'analysis-rv-services'!$C:$E,3,FALSE),'schema-rv-services'!$A:$B,2, FALSE))</f>
        <v>local-government</v>
      </c>
      <c r="N243" s="71"/>
    </row>
    <row r="244" ht="15.0" customHeight="1">
      <c r="A244" s="86" t="str">
        <f>Substitute(SUBSTITUTE(substitute(substitute(substitute(substitute(substitute(substitute(substitute(lower('source-upstream'!A244)," ","-"),"(",""),")",""),"&gt;",""),"&lt;",""),"---","-"),".","-"),"--","-"),"&amp;","-and-")</f>
        <v>wild-cassowary</v>
      </c>
      <c r="B244" s="86" t="str">
        <f>Substitute(SUBSTITUTE(substitute(substitute(substitute(substitute(substitute(substitute(substitute(lower('source-upstream'!B244)," ","-"),"(",""),")",""),"&gt;",""),"&lt;",""),"---","-"),".","-"),"--","-"),"&amp;","-and-")</f>
        <v>red-dingo</v>
      </c>
      <c r="C244" s="71" t="str">
        <f>if('source-upstream'!C244="",'schema-frequency'!$B$11,vlookup('source-upstream'!C244,FREQUENCY_MAP, 3, FALSE))</f>
        <v>not-provided</v>
      </c>
      <c r="D244" s="87" t="str">
        <f>'source-upstream'!D244</f>
        <v>Freight management</v>
      </c>
      <c r="E244" s="71" t="str">
        <f>if('source-upstream'!E244="",'schema-yn'!$A$5,vlookup('source-upstream'!E244,YN_MAP,3,FALSE))</f>
        <v>not-provided</v>
      </c>
      <c r="F244" s="71" t="str">
        <f>if('source-upstream'!F244="",'schema-yn'!$A$5,vlookup('source-upstream'!F244,YN_MAP,3,FALSE))</f>
        <v>not-provided</v>
      </c>
      <c r="G244" s="71" t="str">
        <f>if('source-upstream'!G244="",'schema-yn'!$A$5,vlookup('source-upstream'!G244,YN_MAP,3,FALSE))</f>
        <v>not-provided</v>
      </c>
      <c r="H244" s="71" t="str">
        <f>if('source-upstream'!H244="",'schema-yn'!$A$5,vlookup('source-upstream'!H244,RESILIENCE_OPTION_MAP,3,FALSE))</f>
        <v>not-provided</v>
      </c>
      <c r="I244" s="71" t="str">
        <f>if(iserror(vlookup('source-upstream'!I244,'data-cleansing-maps'!N$5:N$10,1,FALSE)),'source-upstream'!I244,"")</f>
        <v/>
      </c>
      <c r="J244" s="87" t="str">
        <f>'source-upstream'!J244</f>
        <v>No comments provided</v>
      </c>
      <c r="K244" s="71" t="str">
        <f>if('source-upstream'!K244="",'schema-yn'!$A$5,vlookup('source-upstream'!K244,YN_MAP,3,FALSE))</f>
        <v>not-provided</v>
      </c>
      <c r="L244" s="88" t="str">
        <f>if('source-upstream'!L244="Not provided","",'source-upstream'!L244)</f>
        <v/>
      </c>
      <c r="M244" s="66" t="str">
        <f>if('source-upstream'!M244="",'schema-rv-services'!$B$26,vlookup(vlookup('source-upstream'!$M244,'analysis-rv-services'!$C:$E,3,FALSE),'schema-rv-services'!$A:$B,2, FALSE))</f>
        <v>transport</v>
      </c>
      <c r="N244" s="71"/>
    </row>
    <row r="245" ht="15.0" customHeight="1">
      <c r="A245" s="86" t="str">
        <f>Substitute(SUBSTITUTE(substitute(substitute(substitute(substitute(substitute(substitute(substitute(lower('source-upstream'!A245)," ","-"),"(",""),")",""),"&gt;",""),"&lt;",""),"---","-"),".","-"),"--","-"),"&amp;","-and-")</f>
        <v>wild-cassowary</v>
      </c>
      <c r="B245" s="86" t="str">
        <f>Substitute(SUBSTITUTE(substitute(substitute(substitute(substitute(substitute(substitute(substitute(lower('source-upstream'!B245)," ","-"),"(",""),")",""),"&gt;",""),"&lt;",""),"---","-"),".","-"),"--","-"),"&amp;","-and-")</f>
        <v>shy-dingo</v>
      </c>
      <c r="C245" s="71" t="str">
        <f>if('source-upstream'!C245="",'schema-frequency'!$B$11,vlookup('source-upstream'!C245,FREQUENCY_MAP, 3, FALSE))</f>
        <v>not-provided</v>
      </c>
      <c r="D245" s="87" t="str">
        <f>'source-upstream'!D245</f>
        <v>Freight management</v>
      </c>
      <c r="E245" s="71" t="str">
        <f>if('source-upstream'!E245="",'schema-yn'!$A$5,vlookup('source-upstream'!E245,YN_MAP,3,FALSE))</f>
        <v>not-provided</v>
      </c>
      <c r="F245" s="71" t="str">
        <f>if('source-upstream'!F245="",'schema-yn'!$A$5,vlookup('source-upstream'!F245,YN_MAP,3,FALSE))</f>
        <v>not-provided</v>
      </c>
      <c r="G245" s="71" t="str">
        <f>if('source-upstream'!G245="",'schema-yn'!$A$5,vlookup('source-upstream'!G245,YN_MAP,3,FALSE))</f>
        <v>not-provided</v>
      </c>
      <c r="H245" s="71" t="str">
        <f>if('source-upstream'!H245="",'schema-yn'!$A$5,vlookup('source-upstream'!H245,RESILIENCE_OPTION_MAP,3,FALSE))</f>
        <v>not-provided</v>
      </c>
      <c r="I245" s="71" t="str">
        <f>if(iserror(vlookup('source-upstream'!I245,'data-cleansing-maps'!N$5:N$10,1,FALSE)),'source-upstream'!I245,"")</f>
        <v/>
      </c>
      <c r="J245" s="87" t="str">
        <f>'source-upstream'!J245</f>
        <v>No comments provided</v>
      </c>
      <c r="K245" s="71" t="str">
        <f>if('source-upstream'!K245="",'schema-yn'!$A$5,vlookup('source-upstream'!K245,YN_MAP,3,FALSE))</f>
        <v>not-provided</v>
      </c>
      <c r="L245" s="88" t="str">
        <f>if('source-upstream'!L245="Not provided","",'source-upstream'!L245)</f>
        <v/>
      </c>
      <c r="M245" s="66" t="str">
        <f>if('source-upstream'!M245="",'schema-rv-services'!$B$26,vlookup(vlookup('source-upstream'!$M245,'analysis-rv-services'!$C:$E,3,FALSE),'schema-rv-services'!$A:$B,2, FALSE))</f>
        <v>transport</v>
      </c>
      <c r="N245" s="71"/>
    </row>
    <row r="246" ht="15.0" customHeight="1">
      <c r="A246" s="86" t="str">
        <f>Substitute(SUBSTITUTE(substitute(substitute(substitute(substitute(substitute(substitute(substitute(lower('source-upstream'!A246)," ","-"),"(",""),")",""),"&gt;",""),"&lt;",""),"---","-"),".","-"),"--","-"),"&amp;","-and-")</f>
        <v>wild-cassowary</v>
      </c>
      <c r="B246" s="86" t="str">
        <f>Substitute(SUBSTITUTE(substitute(substitute(substitute(substitute(substitute(substitute(substitute(lower('source-upstream'!B246)," ","-"),"(",""),")",""),"&gt;",""),"&lt;",""),"---","-"),".","-"),"--","-"),"&amp;","-and-")</f>
        <v>golden-tasmanian-devil</v>
      </c>
      <c r="C246" s="71" t="str">
        <f>if('source-upstream'!C246="",'schema-frequency'!$B$11,vlookup('source-upstream'!C246,FREQUENCY_MAP, 3, FALSE))</f>
        <v>not-provided</v>
      </c>
      <c r="D246" s="87" t="str">
        <f>'source-upstream'!D246</f>
        <v>Critical spares</v>
      </c>
      <c r="E246" s="71" t="str">
        <f>if('source-upstream'!E246="",'schema-yn'!$A$5,vlookup('source-upstream'!E246,YN_MAP,3,FALSE))</f>
        <v>not-provided</v>
      </c>
      <c r="F246" s="71" t="str">
        <f>if('source-upstream'!F246="",'schema-yn'!$A$5,vlookup('source-upstream'!F246,YN_MAP,3,FALSE))</f>
        <v>not-provided</v>
      </c>
      <c r="G246" s="71" t="str">
        <f>if('source-upstream'!G246="",'schema-yn'!$A$5,vlookup('source-upstream'!G246,YN_MAP,3,FALSE))</f>
        <v>not-provided</v>
      </c>
      <c r="H246" s="71" t="str">
        <f>if('source-upstream'!H246="",'schema-yn'!$A$5,vlookup('source-upstream'!H246,RESILIENCE_OPTION_MAP,3,FALSE))</f>
        <v>not-provided</v>
      </c>
      <c r="I246" s="71" t="str">
        <f>if(iserror(vlookup('source-upstream'!I246,'data-cleansing-maps'!N$5:N$10,1,FALSE)),'source-upstream'!I246,"")</f>
        <v/>
      </c>
      <c r="J246" s="87" t="str">
        <f>'source-upstream'!J246</f>
        <v>No comments provided</v>
      </c>
      <c r="K246" s="71" t="str">
        <f>if('source-upstream'!K246="",'schema-yn'!$A$5,vlookup('source-upstream'!K246,YN_MAP,3,FALSE))</f>
        <v>not-provided</v>
      </c>
      <c r="L246" s="88" t="str">
        <f>if('source-upstream'!L246="Not provided","",'source-upstream'!L246)</f>
        <v/>
      </c>
      <c r="M246" s="66" t="str">
        <f>if('source-upstream'!M246="",'schema-rv-services'!$B$26,vlookup(vlookup('source-upstream'!$M246,'analysis-rv-services'!$C:$E,3,FALSE),'schema-rv-services'!$A:$B,2, FALSE))</f>
        <v>plant-and-equipment</v>
      </c>
      <c r="N246" s="71"/>
    </row>
    <row r="247" ht="15.0" customHeight="1">
      <c r="A247" s="86" t="str">
        <f>Substitute(SUBSTITUTE(substitute(substitute(substitute(substitute(substitute(substitute(substitute(lower('source-upstream'!A247)," ","-"),"(",""),")",""),"&gt;",""),"&lt;",""),"---","-"),".","-"),"--","-"),"&amp;","-and-")</f>
        <v>wild-cassowary</v>
      </c>
      <c r="B247" s="86" t="str">
        <f>Substitute(SUBSTITUTE(substitute(substitute(substitute(substitute(substitute(substitute(substitute(lower('source-upstream'!B247)," ","-"),"(",""),")",""),"&gt;",""),"&lt;",""),"---","-"),".","-"),"--","-"),"&amp;","-and-")</f>
        <v>giant-redback-spider</v>
      </c>
      <c r="C247" s="71" t="str">
        <f>if('source-upstream'!C247="",'schema-frequency'!$B$11,vlookup('source-upstream'!C247,FREQUENCY_MAP, 3, FALSE))</f>
        <v>not-provided</v>
      </c>
      <c r="D247" s="87" t="str">
        <f>'source-upstream'!D247</f>
        <v>Critical spares</v>
      </c>
      <c r="E247" s="71" t="str">
        <f>if('source-upstream'!E247="",'schema-yn'!$A$5,vlookup('source-upstream'!E247,YN_MAP,3,FALSE))</f>
        <v>not-provided</v>
      </c>
      <c r="F247" s="71" t="str">
        <f>if('source-upstream'!F247="",'schema-yn'!$A$5,vlookup('source-upstream'!F247,YN_MAP,3,FALSE))</f>
        <v>not-provided</v>
      </c>
      <c r="G247" s="71" t="str">
        <f>if('source-upstream'!G247="",'schema-yn'!$A$5,vlookup('source-upstream'!G247,YN_MAP,3,FALSE))</f>
        <v>not-provided</v>
      </c>
      <c r="H247" s="71" t="str">
        <f>if('source-upstream'!H247="",'schema-yn'!$A$5,vlookup('source-upstream'!H247,RESILIENCE_OPTION_MAP,3,FALSE))</f>
        <v>not-provided</v>
      </c>
      <c r="I247" s="71" t="str">
        <f>if(iserror(vlookup('source-upstream'!I247,'data-cleansing-maps'!N$5:N$10,1,FALSE)),'source-upstream'!I247,"")</f>
        <v/>
      </c>
      <c r="J247" s="87" t="str">
        <f>'source-upstream'!J247</f>
        <v>No comments provided</v>
      </c>
      <c r="K247" s="71" t="str">
        <f>if('source-upstream'!K247="",'schema-yn'!$A$5,vlookup('source-upstream'!K247,YN_MAP,3,FALSE))</f>
        <v>not-provided</v>
      </c>
      <c r="L247" s="88" t="str">
        <f>if('source-upstream'!L247="Not provided","",'source-upstream'!L247)</f>
        <v/>
      </c>
      <c r="M247" s="66" t="str">
        <f>if('source-upstream'!M247="",'schema-rv-services'!$B$26,vlookup(vlookup('source-upstream'!$M247,'analysis-rv-services'!$C:$E,3,FALSE),'schema-rv-services'!$A:$B,2, FALSE))</f>
        <v>repairs-and-maintenance</v>
      </c>
      <c r="N247" s="71"/>
    </row>
    <row r="248" ht="15.0" customHeight="1">
      <c r="A248" s="86" t="str">
        <f>Substitute(SUBSTITUTE(substitute(substitute(substitute(substitute(substitute(substitute(substitute(lower('source-upstream'!A248)," ","-"),"(",""),")",""),"&gt;",""),"&lt;",""),"---","-"),".","-"),"--","-"),"&amp;","-and-")</f>
        <v>wild-cassowary</v>
      </c>
      <c r="B248" s="86" t="str">
        <f>Substitute(SUBSTITUTE(substitute(substitute(substitute(substitute(substitute(substitute(substitute(lower('source-upstream'!B248)," ","-"),"(",""),")",""),"&gt;",""),"&lt;",""),"---","-"),".","-"),"--","-"),"&amp;","-and-")</f>
        <v>shy-kookaburra</v>
      </c>
      <c r="C248" s="71" t="str">
        <f>if('source-upstream'!C248="",'schema-frequency'!$B$11,vlookup('source-upstream'!C248,FREQUENCY_MAP, 3, FALSE))</f>
        <v>not-provided</v>
      </c>
      <c r="D248" s="87" t="str">
        <f>'source-upstream'!D248</f>
        <v>Hazardous waste management (used tyres)</v>
      </c>
      <c r="E248" s="71" t="str">
        <f>if('source-upstream'!E248="",'schema-yn'!$A$5,vlookup('source-upstream'!E248,YN_MAP,3,FALSE))</f>
        <v>not-provided</v>
      </c>
      <c r="F248" s="71" t="str">
        <f>if('source-upstream'!F248="",'schema-yn'!$A$5,vlookup('source-upstream'!F248,YN_MAP,3,FALSE))</f>
        <v>not-provided</v>
      </c>
      <c r="G248" s="71" t="str">
        <f>if('source-upstream'!G248="",'schema-yn'!$A$5,vlookup('source-upstream'!G248,YN_MAP,3,FALSE))</f>
        <v>not-provided</v>
      </c>
      <c r="H248" s="71" t="str">
        <f>if('source-upstream'!H248="",'schema-yn'!$A$5,vlookup('source-upstream'!H248,RESILIENCE_OPTION_MAP,3,FALSE))</f>
        <v>not-provided</v>
      </c>
      <c r="I248" s="71" t="str">
        <f>if(iserror(vlookup('source-upstream'!I248,'data-cleansing-maps'!N$5:N$10,1,FALSE)),'source-upstream'!I248,"")</f>
        <v/>
      </c>
      <c r="J248" s="87" t="str">
        <f>'source-upstream'!J248</f>
        <v>Not provided</v>
      </c>
      <c r="K248" s="71" t="str">
        <f>if('source-upstream'!K248="",'schema-yn'!$A$5,vlookup('source-upstream'!K248,YN_MAP,3,FALSE))</f>
        <v>not-provided</v>
      </c>
      <c r="L248" s="88" t="str">
        <f>if('source-upstream'!L248="Not provided","",'source-upstream'!L248)</f>
        <v/>
      </c>
      <c r="M248" s="66" t="str">
        <f>if('source-upstream'!M248="",'schema-rv-services'!$B$26,vlookup(vlookup('source-upstream'!$M248,'analysis-rv-services'!$C:$E,3,FALSE),'schema-rv-services'!$A:$B,2, FALSE))</f>
        <v>feedstock</v>
      </c>
      <c r="N248" s="71"/>
    </row>
    <row r="249" ht="15.0" customHeight="1">
      <c r="A249" s="86" t="str">
        <f>Substitute(SUBSTITUTE(substitute(substitute(substitute(substitute(substitute(substitute(substitute(lower('source-upstream'!A249)," ","-"),"(",""),")",""),"&gt;",""),"&lt;",""),"---","-"),".","-"),"--","-"),"&amp;","-and-")</f>
        <v>wild-cassowary</v>
      </c>
      <c r="B249" s="86" t="str">
        <f>Substitute(SUBSTITUTE(substitute(substitute(substitute(substitute(substitute(substitute(substitute(lower('source-upstream'!B249)," ","-"),"(",""),")",""),"&gt;",""),"&lt;",""),"---","-"),".","-"),"--","-"),"&amp;","-and-")</f>
        <v>clever-kangaroo</v>
      </c>
      <c r="C249" s="71" t="str">
        <f>if('source-upstream'!C249="",'schema-frequency'!$B$11,vlookup('source-upstream'!C249,FREQUENCY_MAP, 3, FALSE))</f>
        <v>not-provided</v>
      </c>
      <c r="D249" s="87" t="str">
        <f>'source-upstream'!D249</f>
        <v>Hazardous waste management (used tyres)</v>
      </c>
      <c r="E249" s="71" t="str">
        <f>if('source-upstream'!E249="",'schema-yn'!$A$5,vlookup('source-upstream'!E249,YN_MAP,3,FALSE))</f>
        <v>not-provided</v>
      </c>
      <c r="F249" s="71" t="str">
        <f>if('source-upstream'!F249="",'schema-yn'!$A$5,vlookup('source-upstream'!F249,YN_MAP,3,FALSE))</f>
        <v>not-provided</v>
      </c>
      <c r="G249" s="71" t="str">
        <f>if('source-upstream'!G249="",'schema-yn'!$A$5,vlookup('source-upstream'!G249,YN_MAP,3,FALSE))</f>
        <v>not-provided</v>
      </c>
      <c r="H249" s="71" t="str">
        <f>if('source-upstream'!H249="",'schema-yn'!$A$5,vlookup('source-upstream'!H249,RESILIENCE_OPTION_MAP,3,FALSE))</f>
        <v>not-provided</v>
      </c>
      <c r="I249" s="71" t="str">
        <f>if(iserror(vlookup('source-upstream'!I249,'data-cleansing-maps'!N$5:N$10,1,FALSE)),'source-upstream'!I249,"")</f>
        <v/>
      </c>
      <c r="J249" s="87" t="str">
        <f>'source-upstream'!J249</f>
        <v>Not provided</v>
      </c>
      <c r="K249" s="71" t="str">
        <f>if('source-upstream'!K249="",'schema-yn'!$A$5,vlookup('source-upstream'!K249,YN_MAP,3,FALSE))</f>
        <v>not-provided</v>
      </c>
      <c r="L249" s="88" t="str">
        <f>if('source-upstream'!L249="Not provided","",'source-upstream'!L249)</f>
        <v/>
      </c>
      <c r="M249" s="66" t="str">
        <f>if('source-upstream'!M249="",'schema-rv-services'!$B$26,vlookup(vlookup('source-upstream'!$M249,'analysis-rv-services'!$C:$E,3,FALSE),'schema-rv-services'!$A:$B,2, FALSE))</f>
        <v>feedstock</v>
      </c>
      <c r="N249" s="71"/>
    </row>
    <row r="250" ht="15.0" customHeight="1">
      <c r="A250" s="86" t="str">
        <f>Substitute(SUBSTITUTE(substitute(substitute(substitute(substitute(substitute(substitute(substitute(lower('source-upstream'!A250)," ","-"),"(",""),")",""),"&gt;",""),"&lt;",""),"---","-"),".","-"),"--","-"),"&amp;","-and-")</f>
        <v>wild-cassowary</v>
      </c>
      <c r="B250" s="86" t="str">
        <f>Substitute(SUBSTITUTE(substitute(substitute(substitute(substitute(substitute(substitute(substitute(lower('source-upstream'!B250)," ","-"),"(",""),")",""),"&gt;",""),"&lt;",""),"---","-"),".","-"),"--","-"),"&amp;","-and-")</f>
        <v>noisy-numbat</v>
      </c>
      <c r="C250" s="71" t="str">
        <f>if('source-upstream'!C250="",'schema-frequency'!$B$11,vlookup('source-upstream'!C250,FREQUENCY_MAP, 3, FALSE))</f>
        <v>not-provided</v>
      </c>
      <c r="D250" s="87" t="str">
        <f>'source-upstream'!D250</f>
        <v>Hazardous waste management (used tyres)</v>
      </c>
      <c r="E250" s="71" t="str">
        <f>if('source-upstream'!E250="",'schema-yn'!$A$5,vlookup('source-upstream'!E250,YN_MAP,3,FALSE))</f>
        <v>not-provided</v>
      </c>
      <c r="F250" s="71" t="str">
        <f>if('source-upstream'!F250="",'schema-yn'!$A$5,vlookup('source-upstream'!F250,YN_MAP,3,FALSE))</f>
        <v>not-provided</v>
      </c>
      <c r="G250" s="71" t="str">
        <f>if('source-upstream'!G250="",'schema-yn'!$A$5,vlookup('source-upstream'!G250,YN_MAP,3,FALSE))</f>
        <v>not-provided</v>
      </c>
      <c r="H250" s="71" t="str">
        <f>if('source-upstream'!H250="",'schema-yn'!$A$5,vlookup('source-upstream'!H250,RESILIENCE_OPTION_MAP,3,FALSE))</f>
        <v>not-provided</v>
      </c>
      <c r="I250" s="71" t="str">
        <f>if(iserror(vlookup('source-upstream'!I250,'data-cleansing-maps'!N$5:N$10,1,FALSE)),'source-upstream'!I250,"")</f>
        <v/>
      </c>
      <c r="J250" s="87" t="str">
        <f>'source-upstream'!J250</f>
        <v>Not provided</v>
      </c>
      <c r="K250" s="71" t="str">
        <f>if('source-upstream'!K250="",'schema-yn'!$A$5,vlookup('source-upstream'!K250,YN_MAP,3,FALSE))</f>
        <v>not-provided</v>
      </c>
      <c r="L250" s="88" t="str">
        <f>if('source-upstream'!L250="Not provided","",'source-upstream'!L250)</f>
        <v/>
      </c>
      <c r="M250" s="66" t="str">
        <f>if('source-upstream'!M250="",'schema-rv-services'!$B$26,vlookup(vlookup('source-upstream'!$M250,'analysis-rv-services'!$C:$E,3,FALSE),'schema-rv-services'!$A:$B,2, FALSE))</f>
        <v>feedstock</v>
      </c>
      <c r="N250" s="71"/>
    </row>
    <row r="251" ht="15.0" customHeight="1">
      <c r="A251" s="86" t="str">
        <f>Substitute(SUBSTITUTE(substitute(substitute(substitute(substitute(substitute(substitute(substitute(lower('source-upstream'!A251)," ","-"),"(",""),")",""),"&gt;",""),"&lt;",""),"---","-"),".","-"),"--","-"),"&amp;","-and-")</f>
        <v>wild-cassowary</v>
      </c>
      <c r="B251" s="86" t="str">
        <f>Substitute(SUBSTITUTE(substitute(substitute(substitute(substitute(substitute(substitute(substitute(lower('source-upstream'!B251)," ","-"),"(",""),")",""),"&gt;",""),"&lt;",""),"---","-"),".","-"),"--","-"),"&amp;","-and-")</f>
        <v>clever-koala</v>
      </c>
      <c r="C251" s="71" t="str">
        <f>if('source-upstream'!C251="",'schema-frequency'!$B$11,vlookup('source-upstream'!C251,FREQUENCY_MAP, 3, FALSE))</f>
        <v>not-provided</v>
      </c>
      <c r="D251" s="87" t="str">
        <f>'source-upstream'!D251</f>
        <v>Hazardous waste management (used tyres)</v>
      </c>
      <c r="E251" s="71" t="str">
        <f>if('source-upstream'!E251="",'schema-yn'!$A$5,vlookup('source-upstream'!E251,YN_MAP,3,FALSE))</f>
        <v>not-provided</v>
      </c>
      <c r="F251" s="71" t="str">
        <f>if('source-upstream'!F251="",'schema-yn'!$A$5,vlookup('source-upstream'!F251,YN_MAP,3,FALSE))</f>
        <v>not-provided</v>
      </c>
      <c r="G251" s="71" t="str">
        <f>if('source-upstream'!G251="",'schema-yn'!$A$5,vlookup('source-upstream'!G251,YN_MAP,3,FALSE))</f>
        <v>not-provided</v>
      </c>
      <c r="H251" s="71" t="str">
        <f>if('source-upstream'!H251="",'schema-yn'!$A$5,vlookup('source-upstream'!H251,RESILIENCE_OPTION_MAP,3,FALSE))</f>
        <v>not-provided</v>
      </c>
      <c r="I251" s="71" t="str">
        <f>if(iserror(vlookup('source-upstream'!I251,'data-cleansing-maps'!N$5:N$10,1,FALSE)),'source-upstream'!I251,"")</f>
        <v/>
      </c>
      <c r="J251" s="87" t="str">
        <f>'source-upstream'!J251</f>
        <v>Not provided</v>
      </c>
      <c r="K251" s="71" t="str">
        <f>if('source-upstream'!K251="",'schema-yn'!$A$5,vlookup('source-upstream'!K251,YN_MAP,3,FALSE))</f>
        <v>not-provided</v>
      </c>
      <c r="L251" s="88" t="str">
        <f>if('source-upstream'!L251="Not provided","",'source-upstream'!L251)</f>
        <v/>
      </c>
      <c r="M251" s="66" t="str">
        <f>if('source-upstream'!M251="",'schema-rv-services'!$B$26,vlookup(vlookup('source-upstream'!$M251,'analysis-rv-services'!$C:$E,3,FALSE),'schema-rv-services'!$A:$B,2, FALSE))</f>
        <v>feedstock</v>
      </c>
      <c r="N251" s="71"/>
    </row>
    <row r="252" ht="15.0" customHeight="1">
      <c r="A252" s="86" t="str">
        <f>Substitute(SUBSTITUTE(substitute(substitute(substitute(substitute(substitute(substitute(substitute(lower('source-upstream'!A252)," ","-"),"(",""),")",""),"&gt;",""),"&lt;",""),"---","-"),".","-"),"--","-"),"&amp;","-and-")</f>
        <v>wild-kangaroo</v>
      </c>
      <c r="B252" s="86" t="str">
        <f>Substitute(SUBSTITUTE(substitute(substitute(substitute(substitute(substitute(substitute(substitute(lower('source-upstream'!B252)," ","-"),"(",""),")",""),"&gt;",""),"&lt;",""),"---","-"),".","-"),"--","-"),"&amp;","-and-")</f>
        <v>green-dingo</v>
      </c>
      <c r="C252" s="71" t="str">
        <f>if('source-upstream'!C252="",'schema-frequency'!$B$11,vlookup('source-upstream'!C252,FREQUENCY_MAP, 3, FALSE))</f>
        <v>not-provided</v>
      </c>
      <c r="D252" s="87" t="str">
        <f>'source-upstream'!D252</f>
        <v>Regulator for facility Operating licence</v>
      </c>
      <c r="E252" s="71" t="str">
        <f>if('source-upstream'!E252="",'schema-yn'!$A$5,vlookup('source-upstream'!E252,YN_MAP,3,FALSE))</f>
        <v>not-provided</v>
      </c>
      <c r="F252" s="71" t="str">
        <f>if('source-upstream'!F252="",'schema-yn'!$A$5,vlookup('source-upstream'!F252,YN_MAP,3,FALSE))</f>
        <v>not-provided</v>
      </c>
      <c r="G252" s="71" t="str">
        <f>if('source-upstream'!G252="",'schema-yn'!$A$5,vlookup('source-upstream'!G252,YN_MAP,3,FALSE))</f>
        <v>yes</v>
      </c>
      <c r="H252" s="71" t="str">
        <f>if('source-upstream'!H252="",'schema-yn'!$A$5,vlookup('source-upstream'!H252,RESILIENCE_OPTION_MAP,3,FALSE))</f>
        <v>alternative-supplier</v>
      </c>
      <c r="I252" s="71" t="str">
        <f>if(iserror(vlookup('source-upstream'!I252,'data-cleansing-maps'!N$5:N$10,1,FALSE)),'source-upstream'!I252,"")</f>
        <v/>
      </c>
      <c r="J252" s="87" t="str">
        <f>'source-upstream'!J252</f>
        <v>The facility can leverage guidance from accredited consultants in the market who provide environmental assessments, audits, and compliance services.</v>
      </c>
      <c r="K252" s="71" t="str">
        <f>if('source-upstream'!K252="",'schema-yn'!$A$5,vlookup('source-upstream'!K252,YN_MAP,3,FALSE))</f>
        <v>not-provided</v>
      </c>
      <c r="L252" s="88" t="str">
        <f>if('source-upstream'!L252="Not provided","",'source-upstream'!L252)</f>
        <v/>
      </c>
      <c r="M252" s="66" t="str">
        <f>if('source-upstream'!M252="",'schema-rv-services'!$B$26,vlookup(vlookup('source-upstream'!$M252,'analysis-rv-services'!$C:$E,3,FALSE),'schema-rv-services'!$A:$B,2, FALSE))</f>
        <v>regulator</v>
      </c>
      <c r="N252" s="71"/>
    </row>
    <row r="253" ht="15.0" customHeight="1">
      <c r="A253" s="86" t="str">
        <f>Substitute(SUBSTITUTE(substitute(substitute(substitute(substitute(substitute(substitute(substitute(lower('source-upstream'!A253)," ","-"),"(",""),")",""),"&gt;",""),"&lt;",""),"---","-"),".","-"),"--","-"),"&amp;","-and-")</f>
        <v>wild-kangaroo</v>
      </c>
      <c r="B253" s="86" t="str">
        <f>Substitute(SUBSTITUTE(substitute(substitute(substitute(substitute(substitute(substitute(substitute(lower('source-upstream'!B253)," ","-"),"(",""),")",""),"&gt;",""),"&lt;",""),"---","-"),".","-"),"--","-"),"&amp;","-and-")</f>
        <v>fuzzy-sugar-glider</v>
      </c>
      <c r="C253" s="71" t="str">
        <f>if('source-upstream'!C253="",'schema-frequency'!$B$11,vlookup('source-upstream'!C253,FREQUENCY_MAP, 3, FALSE))</f>
        <v>daily</v>
      </c>
      <c r="D253" s="87" t="str">
        <f>'source-upstream'!D253</f>
        <v>Collections services and delivery to facility. Contracted by Council customers.</v>
      </c>
      <c r="E253" s="71" t="str">
        <f>if('source-upstream'!E253="",'schema-yn'!$A$5,vlookup('source-upstream'!E253,YN_MAP,3,FALSE))</f>
        <v>not-provided</v>
      </c>
      <c r="F253" s="71" t="str">
        <f>if('source-upstream'!F253="",'schema-yn'!$A$5,vlookup('source-upstream'!F253,YN_MAP,3,FALSE))</f>
        <v>not-provided</v>
      </c>
      <c r="G253" s="71" t="str">
        <f>if('source-upstream'!G253="",'schema-yn'!$A$5,vlookup('source-upstream'!G253,YN_MAP,3,FALSE))</f>
        <v>yes</v>
      </c>
      <c r="H253" s="71" t="str">
        <f>if('source-upstream'!H253="",'schema-yn'!$A$5,vlookup('source-upstream'!H253,RESILIENCE_OPTION_MAP,3,FALSE))</f>
        <v>alternative-supplier</v>
      </c>
      <c r="I253" s="71" t="str">
        <f>if(iserror(vlookup('source-upstream'!I253,'data-cleansing-maps'!N$5:N$10,1,FALSE)),'source-upstream'!I253,"")</f>
        <v/>
      </c>
      <c r="J253" s="87" t="str">
        <f>'source-upstream'!J253</f>
        <v>Alternative collector would need to be put in place via Council customers. Assume Council customer collections contracts have provisions for service continuity in the event of head collections contractor failure</v>
      </c>
      <c r="K253" s="71" t="str">
        <f>if('source-upstream'!K253="",'schema-yn'!$A$5,vlookup('source-upstream'!K253,YN_MAP,3,FALSE))</f>
        <v>not-provided</v>
      </c>
      <c r="L253" s="88" t="str">
        <f>if('source-upstream'!L253="Not provided","",'source-upstream'!L253)</f>
        <v/>
      </c>
      <c r="M253" s="66" t="str">
        <f>if('source-upstream'!M253="",'schema-rv-services'!$B$26,vlookup(vlookup('source-upstream'!$M253,'analysis-rv-services'!$C:$E,3,FALSE),'schema-rv-services'!$A:$B,2, FALSE))</f>
        <v>transport</v>
      </c>
      <c r="N253" s="71"/>
    </row>
    <row r="254" ht="15.0" customHeight="1">
      <c r="A254" s="86" t="str">
        <f>Substitute(SUBSTITUTE(substitute(substitute(substitute(substitute(substitute(substitute(substitute(lower('source-upstream'!A254)," ","-"),"(",""),")",""),"&gt;",""),"&lt;",""),"---","-"),".","-"),"--","-"),"&amp;","-and-")</f>
        <v>wild-kangaroo</v>
      </c>
      <c r="B254" s="86" t="str">
        <f>Substitute(SUBSTITUTE(substitute(substitute(substitute(substitute(substitute(substitute(substitute(lower('source-upstream'!B254)," ","-"),"(",""),")",""),"&gt;",""),"&lt;",""),"---","-"),".","-"),"--","-"),"&amp;","-and-")</f>
        <v>swift-blue-tongue-skink</v>
      </c>
      <c r="C254" s="71" t="str">
        <f>if('source-upstream'!C254="",'schema-frequency'!$B$11,vlookup('source-upstream'!C254,FREQUENCY_MAP, 3, FALSE))</f>
        <v>daily</v>
      </c>
      <c r="D254" s="87" t="str">
        <f>'source-upstream'!D254</f>
        <v>Collections services and delivery to facility. Contracted by Council customers.</v>
      </c>
      <c r="E254" s="71" t="str">
        <f>if('source-upstream'!E254="",'schema-yn'!$A$5,vlookup('source-upstream'!E254,YN_MAP,3,FALSE))</f>
        <v>not-provided</v>
      </c>
      <c r="F254" s="71" t="str">
        <f>if('source-upstream'!F254="",'schema-yn'!$A$5,vlookup('source-upstream'!F254,YN_MAP,3,FALSE))</f>
        <v>not-provided</v>
      </c>
      <c r="G254" s="71" t="str">
        <f>if('source-upstream'!G254="",'schema-yn'!$A$5,vlookup('source-upstream'!G254,YN_MAP,3,FALSE))</f>
        <v>yes</v>
      </c>
      <c r="H254" s="71" t="str">
        <f>if('source-upstream'!H254="",'schema-yn'!$A$5,vlookup('source-upstream'!H254,RESILIENCE_OPTION_MAP,3,FALSE))</f>
        <v>alternative-supplier</v>
      </c>
      <c r="I254" s="71" t="str">
        <f>if(iserror(vlookup('source-upstream'!I254,'data-cleansing-maps'!N$5:N$10,1,FALSE)),'source-upstream'!I254,"")</f>
        <v/>
      </c>
      <c r="J254" s="87" t="str">
        <f>'source-upstream'!J254</f>
        <v>Alternative collector would need to be put in place via Council customers. Assume Council customer collections contracts have provisions for service continuity in the event of head collections contractor failure</v>
      </c>
      <c r="K254" s="71" t="str">
        <f>if('source-upstream'!K254="",'schema-yn'!$A$5,vlookup('source-upstream'!K254,YN_MAP,3,FALSE))</f>
        <v>not-provided</v>
      </c>
      <c r="L254" s="88" t="str">
        <f>if('source-upstream'!L254="Not provided","",'source-upstream'!L254)</f>
        <v/>
      </c>
      <c r="M254" s="66" t="str">
        <f>if('source-upstream'!M254="",'schema-rv-services'!$B$26,vlookup(vlookup('source-upstream'!$M254,'analysis-rv-services'!$C:$E,3,FALSE),'schema-rv-services'!$A:$B,2, FALSE))</f>
        <v>transport</v>
      </c>
      <c r="N254" s="71"/>
    </row>
    <row r="255" ht="15.0" customHeight="1">
      <c r="A255" s="86" t="str">
        <f>Substitute(SUBSTITUTE(substitute(substitute(substitute(substitute(substitute(substitute(substitute(lower('source-upstream'!A255)," ","-"),"(",""),")",""),"&gt;",""),"&lt;",""),"---","-"),".","-"),"--","-"),"&amp;","-and-")</f>
        <v>wild-kangaroo</v>
      </c>
      <c r="B255" s="86" t="str">
        <f>Substitute(SUBSTITUTE(substitute(substitute(substitute(substitute(substitute(substitute(substitute(lower('source-upstream'!B255)," ","-"),"(",""),")",""),"&gt;",""),"&lt;",""),"---","-"),".","-"),"--","-"),"&amp;","-and-")</f>
        <v>noisy-quokka</v>
      </c>
      <c r="C255" s="71" t="str">
        <f>if('source-upstream'!C255="",'schema-frequency'!$B$11,vlookup('source-upstream'!C255,FREQUENCY_MAP, 3, FALSE))</f>
        <v>daily</v>
      </c>
      <c r="D255" s="87" t="str">
        <f>'source-upstream'!D255</f>
        <v>Collections services and delivery to facility. Contracted by Council customers.</v>
      </c>
      <c r="E255" s="71" t="str">
        <f>if('source-upstream'!E255="",'schema-yn'!$A$5,vlookup('source-upstream'!E255,YN_MAP,3,FALSE))</f>
        <v>not-provided</v>
      </c>
      <c r="F255" s="71" t="str">
        <f>if('source-upstream'!F255="",'schema-yn'!$A$5,vlookup('source-upstream'!F255,YN_MAP,3,FALSE))</f>
        <v>not-provided</v>
      </c>
      <c r="G255" s="71" t="str">
        <f>if('source-upstream'!G255="",'schema-yn'!$A$5,vlookup('source-upstream'!G255,YN_MAP,3,FALSE))</f>
        <v>yes</v>
      </c>
      <c r="H255" s="71" t="str">
        <f>if('source-upstream'!H255="",'schema-yn'!$A$5,vlookup('source-upstream'!H255,RESILIENCE_OPTION_MAP,3,FALSE))</f>
        <v>alternative-supplier</v>
      </c>
      <c r="I255" s="71" t="str">
        <f>if(iserror(vlookup('source-upstream'!I255,'data-cleansing-maps'!N$5:N$10,1,FALSE)),'source-upstream'!I255,"")</f>
        <v/>
      </c>
      <c r="J255" s="87" t="str">
        <f>'source-upstream'!J255</f>
        <v>Alternative collector would need to be put in place via Council customers. Assume Council customer collections contracts have provisions for service continuity in the event of head collections contractor failure</v>
      </c>
      <c r="K255" s="71" t="str">
        <f>if('source-upstream'!K255="",'schema-yn'!$A$5,vlookup('source-upstream'!K255,YN_MAP,3,FALSE))</f>
        <v>not-provided</v>
      </c>
      <c r="L255" s="88" t="str">
        <f>if('source-upstream'!L255="Not provided","",'source-upstream'!L255)</f>
        <v/>
      </c>
      <c r="M255" s="66" t="str">
        <f>if('source-upstream'!M255="",'schema-rv-services'!$B$26,vlookup(vlookup('source-upstream'!$M255,'analysis-rv-services'!$C:$E,3,FALSE),'schema-rv-services'!$A:$B,2, FALSE))</f>
        <v>transport</v>
      </c>
      <c r="N255" s="71"/>
    </row>
    <row r="256" ht="15.0" customHeight="1">
      <c r="A256" s="86" t="str">
        <f>Substitute(SUBSTITUTE(substitute(substitute(substitute(substitute(substitute(substitute(substitute(lower('source-upstream'!A256)," ","-"),"(",""),")",""),"&gt;",""),"&lt;",""),"---","-"),".","-"),"--","-"),"&amp;","-and-")</f>
        <v>wild-kangaroo</v>
      </c>
      <c r="B256" s="86" t="str">
        <f>Substitute(SUBSTITUTE(substitute(substitute(substitute(substitute(substitute(substitute(substitute(lower('source-upstream'!B256)," ","-"),"(",""),")",""),"&gt;",""),"&lt;",""),"---","-"),".","-"),"--","-"),"&amp;","-and-")</f>
        <v>golden-goanna</v>
      </c>
      <c r="C256" s="71" t="str">
        <f>if('source-upstream'!C256="",'schema-frequency'!$B$11,vlookup('source-upstream'!C256,FREQUENCY_MAP, 3, FALSE))</f>
        <v>not-provided</v>
      </c>
      <c r="D256" s="87" t="str">
        <f>'source-upstream'!D256</f>
        <v>Collections services and delivery to facility. Contracted by Council customers.</v>
      </c>
      <c r="E256" s="71" t="str">
        <f>if('source-upstream'!E256="",'schema-yn'!$A$5,vlookup('source-upstream'!E256,YN_MAP,3,FALSE))</f>
        <v>not-provided</v>
      </c>
      <c r="F256" s="71" t="str">
        <f>if('source-upstream'!F256="",'schema-yn'!$A$5,vlookup('source-upstream'!F256,YN_MAP,3,FALSE))</f>
        <v>not-provided</v>
      </c>
      <c r="G256" s="71" t="str">
        <f>if('source-upstream'!G256="",'schema-yn'!$A$5,vlookup('source-upstream'!G256,YN_MAP,3,FALSE))</f>
        <v>yes</v>
      </c>
      <c r="H256" s="71" t="str">
        <f>if('source-upstream'!H256="",'schema-yn'!$A$5,vlookup('source-upstream'!H256,RESILIENCE_OPTION_MAP,3,FALSE))</f>
        <v>not-provided</v>
      </c>
      <c r="I256" s="71" t="str">
        <f>if(iserror(vlookup('source-upstream'!I256,'data-cleansing-maps'!N$5:N$10,1,FALSE)),'source-upstream'!I256,"")</f>
        <v/>
      </c>
      <c r="J256" s="87" t="str">
        <f>'source-upstream'!J256</f>
        <v>Access roads are essential for trucks to deliver waste to our facility and employees to be able to come to work.</v>
      </c>
      <c r="K256" s="71" t="str">
        <f>if('source-upstream'!K256="",'schema-yn'!$A$5,vlookup('source-upstream'!K256,YN_MAP,3,FALSE))</f>
        <v>not-provided</v>
      </c>
      <c r="L256" s="88" t="str">
        <f>if('source-upstream'!L256="Not provided","",'source-upstream'!L256)</f>
        <v/>
      </c>
      <c r="M256" s="66" t="str">
        <f>if('source-upstream'!M256="",'schema-rv-services'!$B$26,vlookup(vlookup('source-upstream'!$M256,'analysis-rv-services'!$C:$E,3,FALSE),'schema-rv-services'!$A:$B,2, FALSE))</f>
        <v>regulator</v>
      </c>
      <c r="N256" s="71"/>
    </row>
    <row r="257" ht="15.0" customHeight="1">
      <c r="A257" s="86" t="str">
        <f>Substitute(SUBSTITUTE(substitute(substitute(substitute(substitute(substitute(substitute(substitute(lower('source-upstream'!A257)," ","-"),"(",""),")",""),"&gt;",""),"&lt;",""),"---","-"),".","-"),"--","-"),"&amp;","-and-")</f>
        <v>wild-kangaroo</v>
      </c>
      <c r="B257" s="86" t="str">
        <f>Substitute(SUBSTITUTE(substitute(substitute(substitute(substitute(substitute(substitute(substitute(lower('source-upstream'!B257)," ","-"),"(",""),")",""),"&gt;",""),"&lt;",""),"---","-"),".","-"),"--","-"),"&amp;","-and-")</f>
        <v>red-numbat</v>
      </c>
      <c r="C257" s="71" t="str">
        <f>if('source-upstream'!C257="",'schema-frequency'!$B$11,vlookup('source-upstream'!C257,FREQUENCY_MAP, 3, FALSE))</f>
        <v>not-provided</v>
      </c>
      <c r="D257" s="87" t="str">
        <f>'source-upstream'!D257</f>
        <v>Access roads</v>
      </c>
      <c r="E257" s="71" t="str">
        <f>if('source-upstream'!E257="",'schema-yn'!$A$5,vlookup('source-upstream'!E257,YN_MAP,3,FALSE))</f>
        <v>not-provided</v>
      </c>
      <c r="F257" s="71" t="str">
        <f>if('source-upstream'!F257="",'schema-yn'!$A$5,vlookup('source-upstream'!F257,YN_MAP,3,FALSE))</f>
        <v>not-provided</v>
      </c>
      <c r="G257" s="71" t="str">
        <f>if('source-upstream'!G257="",'schema-yn'!$A$5,vlookup('source-upstream'!G257,YN_MAP,3,FALSE))</f>
        <v>yes</v>
      </c>
      <c r="H257" s="71" t="str">
        <f>if('source-upstream'!H257="",'schema-yn'!$A$5,vlookup('source-upstream'!H257,RESILIENCE_OPTION_MAP,3,FALSE))</f>
        <v>not-provided</v>
      </c>
      <c r="I257" s="71" t="str">
        <f>if(iserror(vlookup('source-upstream'!I257,'data-cleansing-maps'!N$5:N$10,1,FALSE)),'source-upstream'!I257,"")</f>
        <v/>
      </c>
      <c r="J257" s="87" t="str">
        <f>'source-upstream'!J257</f>
        <v>Access roads are essential for trucks to deliver waste to our facility and employees to be able to come to work. Depending on where the potential blockage was, some level of service could be provided. Short term only</v>
      </c>
      <c r="K257" s="71" t="str">
        <f>if('source-upstream'!K257="",'schema-yn'!$A$5,vlookup('source-upstream'!K257,YN_MAP,3,FALSE))</f>
        <v>not-provided</v>
      </c>
      <c r="L257" s="88" t="str">
        <f>if('source-upstream'!L257="Not provided","",'source-upstream'!L257)</f>
        <v/>
      </c>
      <c r="M257" s="66" t="str">
        <f>if('source-upstream'!M257="",'schema-rv-services'!$B$26,vlookup(vlookup('source-upstream'!$M257,'analysis-rv-services'!$C:$E,3,FALSE),'schema-rv-services'!$A:$B,2, FALSE))</f>
        <v>local-government</v>
      </c>
      <c r="N257" s="71"/>
    </row>
    <row r="258" ht="15.0" customHeight="1">
      <c r="A258" s="86" t="str">
        <f>Substitute(SUBSTITUTE(substitute(substitute(substitute(substitute(substitute(substitute(substitute(lower('source-upstream'!A258)," ","-"),"(",""),")",""),"&gt;",""),"&lt;",""),"---","-"),".","-"),"--","-"),"&amp;","-and-")</f>
        <v>wild-kangaroo</v>
      </c>
      <c r="B258" s="86" t="str">
        <f>Substitute(SUBSTITUTE(substitute(substitute(substitute(substitute(substitute(substitute(substitute(lower('source-upstream'!B258)," ","-"),"(",""),")",""),"&gt;",""),"&lt;",""),"---","-"),".","-"),"--","-"),"&amp;","-and-")</f>
        <v>wild-dingo</v>
      </c>
      <c r="C258" s="71" t="str">
        <f>if('source-upstream'!C258="",'schema-frequency'!$B$11,vlookup('source-upstream'!C258,FREQUENCY_MAP, 3, FALSE))</f>
        <v>not-provided</v>
      </c>
      <c r="D258" s="87" t="str">
        <f>'source-upstream'!D258</f>
        <v>Electricity</v>
      </c>
      <c r="E258" s="71" t="str">
        <f>if('source-upstream'!E258="",'schema-yn'!$A$5,vlookup('source-upstream'!E258,YN_MAP,3,FALSE))</f>
        <v>not-provided</v>
      </c>
      <c r="F258" s="71" t="str">
        <f>if('source-upstream'!F258="",'schema-yn'!$A$5,vlookup('source-upstream'!F258,YN_MAP,3,FALSE))</f>
        <v>not-provided</v>
      </c>
      <c r="G258" s="71" t="str">
        <f>if('source-upstream'!G258="",'schema-yn'!$A$5,vlookup('source-upstream'!G258,YN_MAP,3,FALSE))</f>
        <v>partially</v>
      </c>
      <c r="H258" s="71" t="str">
        <f>if('source-upstream'!H258="",'schema-yn'!$A$5,vlookup('source-upstream'!H258,RESILIENCE_OPTION_MAP,3,FALSE))</f>
        <v>generator</v>
      </c>
      <c r="I258" s="71" t="str">
        <f>if(iserror(vlookup('source-upstream'!I258,'data-cleansing-maps'!N$5:N$10,1,FALSE)),'source-upstream'!I258,"")</f>
        <v/>
      </c>
      <c r="J258" s="87" t="str">
        <f>'source-upstream'!J258</f>
        <v>We have a generator to energise the weighbridge system and keep receiving trucks, however, no processing of waste could be possible</v>
      </c>
      <c r="K258" s="71" t="str">
        <f>if('source-upstream'!K258="",'schema-yn'!$A$5,vlookup('source-upstream'!K258,YN_MAP,3,FALSE))</f>
        <v>not-provided</v>
      </c>
      <c r="L258" s="88" t="str">
        <f>if('source-upstream'!L258="Not provided","",'source-upstream'!L258)</f>
        <v/>
      </c>
      <c r="M258" s="66" t="str">
        <f>if('source-upstream'!M258="",'schema-rv-services'!$B$26,vlookup(vlookup('source-upstream'!$M258,'analysis-rv-services'!$C:$E,3,FALSE),'schema-rv-services'!$A:$B,2, FALSE))</f>
        <v>power</v>
      </c>
      <c r="N258" s="71"/>
    </row>
    <row r="259" ht="15.0" customHeight="1">
      <c r="A259" s="86" t="str">
        <f>Substitute(SUBSTITUTE(substitute(substitute(substitute(substitute(substitute(substitute(substitute(lower('source-upstream'!A259)," ","-"),"(",""),")",""),"&gt;",""),"&lt;",""),"---","-"),".","-"),"--","-"),"&amp;","-and-")</f>
        <v>wild-kangaroo</v>
      </c>
      <c r="B259" s="86" t="str">
        <f>Substitute(SUBSTITUTE(substitute(substitute(substitute(substitute(substitute(substitute(substitute(lower('source-upstream'!B259)," ","-"),"(",""),")",""),"&gt;",""),"&lt;",""),"---","-"),".","-"),"--","-"),"&amp;","-and-")</f>
        <v>noisy-wombat</v>
      </c>
      <c r="C259" s="71" t="str">
        <f>if('source-upstream'!C259="",'schema-frequency'!$B$11,vlookup('source-upstream'!C259,FREQUENCY_MAP, 3, FALSE))</f>
        <v>ad-hoc</v>
      </c>
      <c r="D259" s="87" t="str">
        <f>'source-upstream'!D259</f>
        <v>Machinery service &amp; parts as required. Screen and grinder support.</v>
      </c>
      <c r="E259" s="71" t="str">
        <f>if('source-upstream'!E259="",'schema-yn'!$A$5,vlookup('source-upstream'!E259,YN_MAP,3,FALSE))</f>
        <v>yes</v>
      </c>
      <c r="F259" s="71" t="str">
        <f>if('source-upstream'!F259="",'schema-yn'!$A$5,vlookup('source-upstream'!F259,YN_MAP,3,FALSE))</f>
        <v>no</v>
      </c>
      <c r="G259" s="71" t="str">
        <f>if('source-upstream'!G259="",'schema-yn'!$A$5,vlookup('source-upstream'!G259,YN_MAP,3,FALSE))</f>
        <v>partially</v>
      </c>
      <c r="H259" s="71" t="str">
        <f>if('source-upstream'!H259="",'schema-yn'!$A$5,vlookup('source-upstream'!H259,RESILIENCE_OPTION_MAP,3,FALSE))</f>
        <v>bc-strategy</v>
      </c>
      <c r="I259" s="71" t="str">
        <f>if(iserror(vlookup('source-upstream'!I259,'data-cleansing-maps'!N$5:N$10,1,FALSE)),'source-upstream'!I259,"")</f>
        <v/>
      </c>
      <c r="J259" s="87" t="str">
        <f>'source-upstream'!J259</f>
        <v>We are dependent on Komptech for proprietary parts. Alternative screen or grinder would be hired to cater for the downtime
 in the event that there was a failure due to a delay in servicing and or parts supply by Komptech</v>
      </c>
      <c r="K259" s="71" t="str">
        <f>if('source-upstream'!K259="",'schema-yn'!$A$5,vlookup('source-upstream'!K259,YN_MAP,3,FALSE))</f>
        <v>not-provided</v>
      </c>
      <c r="L259" s="88" t="str">
        <f>if('source-upstream'!L259="Not provided","",'source-upstream'!L259)</f>
        <v/>
      </c>
      <c r="M259" s="66" t="str">
        <f>if('source-upstream'!M259="",'schema-rv-services'!$B$26,vlookup(vlookup('source-upstream'!$M259,'analysis-rv-services'!$C:$E,3,FALSE),'schema-rv-services'!$A:$B,2, FALSE))</f>
        <v>repairs-and-maintenance</v>
      </c>
      <c r="N259" s="71"/>
    </row>
    <row r="260" ht="15.0" customHeight="1">
      <c r="A260" s="86" t="str">
        <f>Substitute(SUBSTITUTE(substitute(substitute(substitute(substitute(substitute(substitute(substitute(lower('source-upstream'!A260)," ","-"),"(",""),")",""),"&gt;",""),"&lt;",""),"---","-"),".","-"),"--","-"),"&amp;","-and-")</f>
        <v>wild-kangaroo</v>
      </c>
      <c r="B260" s="86" t="str">
        <f>Substitute(SUBSTITUTE(substitute(substitute(substitute(substitute(substitute(substitute(substitute(lower('source-upstream'!B260)," ","-"),"(",""),")",""),"&gt;",""),"&lt;",""),"---","-"),".","-"),"--","-"),"&amp;","-and-")</f>
        <v>golden-wallaby</v>
      </c>
      <c r="C260" s="71" t="str">
        <f>if('source-upstream'!C260="",'schema-frequency'!$B$11,vlookup('source-upstream'!C260,FREQUENCY_MAP, 3, FALSE))</f>
        <v>unknown</v>
      </c>
      <c r="D260" s="87" t="str">
        <f>'source-upstream'!D260</f>
        <v>FOGO and Organics Pretreatment (inc. decontamination), pasteurisation, maturation, refined, quality assurance and Oversize &amp; Mid-Size fraction production services</v>
      </c>
      <c r="E260" s="71" t="str">
        <f>if('source-upstream'!E260="",'schema-yn'!$A$5,vlookup('source-upstream'!E260,YN_MAP,3,FALSE))</f>
        <v>no</v>
      </c>
      <c r="F260" s="71" t="str">
        <f>if('source-upstream'!F260="",'schema-yn'!$A$5,vlookup('source-upstream'!F260,YN_MAP,3,FALSE))</f>
        <v>no</v>
      </c>
      <c r="G260" s="71" t="str">
        <f>if('source-upstream'!G260="",'schema-yn'!$A$5,vlookup('source-upstream'!G260,YN_MAP,3,FALSE))</f>
        <v>yes</v>
      </c>
      <c r="H260" s="71" t="str">
        <f>if('source-upstream'!H260="",'schema-yn'!$A$5,vlookup('source-upstream'!H260,RESILIENCE_OPTION_MAP,3,FALSE))</f>
        <v>alternative-supplier</v>
      </c>
      <c r="I260" s="71" t="str">
        <f>if(iserror(vlookup('source-upstream'!I260,'data-cleansing-maps'!N$5:N$10,1,FALSE)),'source-upstream'!I260,"")</f>
        <v/>
      </c>
      <c r="J260" s="87" t="str">
        <f>'source-upstream'!J260</f>
        <v>Yes, given there are multiple service providers, including landfill as a last resort</v>
      </c>
      <c r="K260" s="71" t="str">
        <f>if('source-upstream'!K260="",'schema-yn'!$A$5,vlookup('source-upstream'!K260,YN_MAP,3,FALSE))</f>
        <v>not-provided</v>
      </c>
      <c r="L260" s="88" t="str">
        <f>if('source-upstream'!L260="Not provided","",'source-upstream'!L260)</f>
        <v/>
      </c>
      <c r="M260" s="66" t="str">
        <f>if('source-upstream'!M260="",'schema-rv-services'!$B$26,vlookup(vlookup('source-upstream'!$M260,'analysis-rv-services'!$C:$E,3,FALSE),'schema-rv-services'!$A:$B,2, FALSE))</f>
        <v>feedstock</v>
      </c>
      <c r="N260" s="71"/>
    </row>
    <row r="261" ht="15.0" customHeight="1">
      <c r="A261" s="86" t="str">
        <f>Substitute(SUBSTITUTE(substitute(substitute(substitute(substitute(substitute(substitute(substitute(lower('source-upstream'!A261)," ","-"),"(",""),")",""),"&gt;",""),"&lt;",""),"---","-"),".","-"),"--","-"),"&amp;","-and-")</f>
        <v>wild-kangaroo</v>
      </c>
      <c r="B261" s="86" t="str">
        <f>Substitute(SUBSTITUTE(substitute(substitute(substitute(substitute(substitute(substitute(substitute(lower('source-upstream'!B261)," ","-"),"(",""),")",""),"&gt;",""),"&lt;",""),"---","-"),".","-"),"--","-"),"&amp;","-and-")</f>
        <v>brave-platypus</v>
      </c>
      <c r="C261" s="71" t="str">
        <f>if('source-upstream'!C261="",'schema-frequency'!$B$11,vlookup('source-upstream'!C261,FREQUENCY_MAP, 3, FALSE))</f>
        <v>unknown</v>
      </c>
      <c r="D261" s="87" t="str">
        <f>'source-upstream'!D261</f>
        <v>FOGO and Organics Pretreatment (inc. decontamination), pasteurisation, maturation, refined, quality assurance and Oversize &amp; Mid-Size fraction production services</v>
      </c>
      <c r="E261" s="71" t="str">
        <f>if('source-upstream'!E261="",'schema-yn'!$A$5,vlookup('source-upstream'!E261,YN_MAP,3,FALSE))</f>
        <v>no</v>
      </c>
      <c r="F261" s="71" t="str">
        <f>if('source-upstream'!F261="",'schema-yn'!$A$5,vlookup('source-upstream'!F261,YN_MAP,3,FALSE))</f>
        <v>no</v>
      </c>
      <c r="G261" s="71" t="str">
        <f>if('source-upstream'!G261="",'schema-yn'!$A$5,vlookup('source-upstream'!G261,YN_MAP,3,FALSE))</f>
        <v>yes</v>
      </c>
      <c r="H261" s="71" t="str">
        <f>if('source-upstream'!H261="",'schema-yn'!$A$5,vlookup('source-upstream'!H261,RESILIENCE_OPTION_MAP,3,FALSE))</f>
        <v>alternative-supplier</v>
      </c>
      <c r="I261" s="71" t="str">
        <f>if(iserror(vlookup('source-upstream'!I261,'data-cleansing-maps'!N$5:N$10,1,FALSE)),'source-upstream'!I261,"")</f>
        <v/>
      </c>
      <c r="J261" s="87" t="str">
        <f>'source-upstream'!J261</f>
        <v>Yes, given there are multiple service providers, including landfill as a last resort</v>
      </c>
      <c r="K261" s="71" t="str">
        <f>if('source-upstream'!K261="",'schema-yn'!$A$5,vlookup('source-upstream'!K261,YN_MAP,3,FALSE))</f>
        <v>not-provided</v>
      </c>
      <c r="L261" s="88" t="str">
        <f>if('source-upstream'!L261="Not provided","",'source-upstream'!L261)</f>
        <v/>
      </c>
      <c r="M261" s="66" t="str">
        <f>if('source-upstream'!M261="",'schema-rv-services'!$B$26,vlookup(vlookup('source-upstream'!$M261,'analysis-rv-services'!$C:$E,3,FALSE),'schema-rv-services'!$A:$B,2, FALSE))</f>
        <v>feedstock</v>
      </c>
      <c r="N261" s="71"/>
    </row>
    <row r="262" ht="15.0" customHeight="1">
      <c r="A262" s="86" t="str">
        <f>Substitute(SUBSTITUTE(substitute(substitute(substitute(substitute(substitute(substitute(substitute(lower('source-upstream'!A262)," ","-"),"(",""),")",""),"&gt;",""),"&lt;",""),"---","-"),".","-"),"--","-"),"&amp;","-and-")</f>
        <v>wild-kangaroo</v>
      </c>
      <c r="B262" s="86" t="str">
        <f>Substitute(SUBSTITUTE(substitute(substitute(substitute(substitute(substitute(substitute(substitute(lower('source-upstream'!B262)," ","-"),"(",""),")",""),"&gt;",""),"&lt;",""),"---","-"),".","-"),"--","-"),"&amp;","-and-")</f>
        <v>clever-frilled-neck-lizard</v>
      </c>
      <c r="C262" s="71" t="str">
        <f>if('source-upstream'!C262="",'schema-frequency'!$B$11,vlookup('source-upstream'!C262,FREQUENCY_MAP, 3, FALSE))</f>
        <v>unknown</v>
      </c>
      <c r="D262" s="87" t="str">
        <f>'source-upstream'!D262</f>
        <v>FOGO and Organics Pretreatment (inc. decontamination), pasteurisation, maturation, refined, quality assurance and Oversize &amp; Mid-Size fraction production services</v>
      </c>
      <c r="E262" s="71" t="str">
        <f>if('source-upstream'!E262="",'schema-yn'!$A$5,vlookup('source-upstream'!E262,YN_MAP,3,FALSE))</f>
        <v>no</v>
      </c>
      <c r="F262" s="71" t="str">
        <f>if('source-upstream'!F262="",'schema-yn'!$A$5,vlookup('source-upstream'!F262,YN_MAP,3,FALSE))</f>
        <v>no</v>
      </c>
      <c r="G262" s="71" t="str">
        <f>if('source-upstream'!G262="",'schema-yn'!$A$5,vlookup('source-upstream'!G262,YN_MAP,3,FALSE))</f>
        <v>yes</v>
      </c>
      <c r="H262" s="71" t="str">
        <f>if('source-upstream'!H262="",'schema-yn'!$A$5,vlookup('source-upstream'!H262,RESILIENCE_OPTION_MAP,3,FALSE))</f>
        <v>alternative-supplier</v>
      </c>
      <c r="I262" s="71" t="str">
        <f>if(iserror(vlookup('source-upstream'!I262,'data-cleansing-maps'!N$5:N$10,1,FALSE)),'source-upstream'!I262,"")</f>
        <v/>
      </c>
      <c r="J262" s="87" t="str">
        <f>'source-upstream'!J262</f>
        <v>Yes, given there are multiple service providers, including landfill as a last resort</v>
      </c>
      <c r="K262" s="71" t="str">
        <f>if('source-upstream'!K262="",'schema-yn'!$A$5,vlookup('source-upstream'!K262,YN_MAP,3,FALSE))</f>
        <v>not-provided</v>
      </c>
      <c r="L262" s="88" t="str">
        <f>if('source-upstream'!L262="Not provided","",'source-upstream'!L262)</f>
        <v/>
      </c>
      <c r="M262" s="66" t="str">
        <f>if('source-upstream'!M262="",'schema-rv-services'!$B$26,vlookup(vlookup('source-upstream'!$M262,'analysis-rv-services'!$C:$E,3,FALSE),'schema-rv-services'!$A:$B,2, FALSE))</f>
        <v>feedstock</v>
      </c>
      <c r="N262" s="71"/>
    </row>
    <row r="263" ht="15.0" customHeight="1">
      <c r="A263" s="86" t="str">
        <f>Substitute(SUBSTITUTE(substitute(substitute(substitute(substitute(substitute(substitute(substitute(lower('source-upstream'!A263)," ","-"),"(",""),")",""),"&gt;",""),"&lt;",""),"---","-"),".","-"),"--","-"),"&amp;","-and-")</f>
        <v>wild-kangaroo</v>
      </c>
      <c r="B263" s="86" t="str">
        <f>Substitute(SUBSTITUTE(substitute(substitute(substitute(substitute(substitute(substitute(substitute(lower('source-upstream'!B263)," ","-"),"(",""),")",""),"&gt;",""),"&lt;",""),"---","-"),".","-"),"--","-"),"&amp;","-and-")</f>
        <v>spotted-platypus</v>
      </c>
      <c r="C263" s="71" t="str">
        <f>if('source-upstream'!C263="",'schema-frequency'!$B$11,vlookup('source-upstream'!C263,FREQUENCY_MAP, 3, FALSE))</f>
        <v>unknown</v>
      </c>
      <c r="D263" s="87" t="str">
        <f>'source-upstream'!D263</f>
        <v>Organics processors</v>
      </c>
      <c r="E263" s="71" t="str">
        <f>if('source-upstream'!E263="",'schema-yn'!$A$5,vlookup('source-upstream'!E263,YN_MAP,3,FALSE))</f>
        <v>no</v>
      </c>
      <c r="F263" s="71" t="str">
        <f>if('source-upstream'!F263="",'schema-yn'!$A$5,vlookup('source-upstream'!F263,YN_MAP,3,FALSE))</f>
        <v>no</v>
      </c>
      <c r="G263" s="71" t="str">
        <f>if('source-upstream'!G263="",'schema-yn'!$A$5,vlookup('source-upstream'!G263,YN_MAP,3,FALSE))</f>
        <v>yes</v>
      </c>
      <c r="H263" s="71" t="str">
        <f>if('source-upstream'!H263="",'schema-yn'!$A$5,vlookup('source-upstream'!H263,RESILIENCE_OPTION_MAP,3,FALSE))</f>
        <v>alternative-supplier</v>
      </c>
      <c r="I263" s="71" t="str">
        <f>if(iserror(vlookup('source-upstream'!I263,'data-cleansing-maps'!N$5:N$10,1,FALSE)),'source-upstream'!I263,"")</f>
        <v/>
      </c>
      <c r="J263" s="87" t="str">
        <f>'source-upstream'!J263</f>
        <v>Yes, given there are multiple service providers, including landfill as a last resort</v>
      </c>
      <c r="K263" s="71" t="str">
        <f>if('source-upstream'!K263="",'schema-yn'!$A$5,vlookup('source-upstream'!K263,YN_MAP,3,FALSE))</f>
        <v>not-provided</v>
      </c>
      <c r="L263" s="88" t="str">
        <f>if('source-upstream'!L263="Not provided","",'source-upstream'!L263)</f>
        <v/>
      </c>
      <c r="M263" s="66" t="str">
        <f>if('source-upstream'!M263="",'schema-rv-services'!$B$26,vlookup(vlookup('source-upstream'!$M263,'analysis-rv-services'!$C:$E,3,FALSE),'schema-rv-services'!$A:$B,2, FALSE))</f>
        <v>feedstock</v>
      </c>
      <c r="N263" s="71"/>
    </row>
    <row r="264" ht="15.0" customHeight="1">
      <c r="A264" s="86" t="str">
        <f>Substitute(SUBSTITUTE(substitute(substitute(substitute(substitute(substitute(substitute(substitute(lower('source-upstream'!A264)," ","-"),"(",""),")",""),"&gt;",""),"&lt;",""),"---","-"),".","-"),"--","-"),"&amp;","-and-")</f>
        <v>wild-numbat</v>
      </c>
      <c r="B264" s="86" t="str">
        <f>Substitute(SUBSTITUTE(substitute(substitute(substitute(substitute(substitute(substitute(substitute(lower('source-upstream'!B264)," ","-"),"(",""),")",""),"&gt;",""),"&lt;",""),"---","-"),".","-"),"--","-"),"&amp;","-and-")</f>
        <v>green-dingo</v>
      </c>
      <c r="C264" s="71" t="str">
        <f>if('source-upstream'!C264="",'schema-frequency'!$B$11,vlookup('source-upstream'!C264,FREQUENCY_MAP, 3, FALSE))</f>
        <v>unknown</v>
      </c>
      <c r="D264" s="87" t="str">
        <f>'source-upstream'!D264</f>
        <v>EPA Licence requirement</v>
      </c>
      <c r="E264" s="71" t="str">
        <f>if('source-upstream'!E264="",'schema-yn'!$A$5,vlookup('source-upstream'!E264,YN_MAP,3,FALSE))</f>
        <v>yes</v>
      </c>
      <c r="F264" s="71" t="str">
        <f>if('source-upstream'!F264="",'schema-yn'!$A$5,vlookup('source-upstream'!F264,YN_MAP,3,FALSE))</f>
        <v>not-provided</v>
      </c>
      <c r="G264" s="71" t="str">
        <f>if('source-upstream'!G264="",'schema-yn'!$A$5,vlookup('source-upstream'!G264,YN_MAP,3,FALSE))</f>
        <v>not-provided</v>
      </c>
      <c r="H264" s="71" t="str">
        <f>if('source-upstream'!H264="",'schema-yn'!$A$5,vlookup('source-upstream'!H264,RESILIENCE_OPTION_MAP,3,FALSE))</f>
        <v>not-provided</v>
      </c>
      <c r="I264" s="71" t="str">
        <f>if(iserror(vlookup('source-upstream'!I264,'data-cleansing-maps'!N$5:N$10,1,FALSE)),'source-upstream'!I264,"")</f>
        <v/>
      </c>
      <c r="J264" s="87" t="str">
        <f>'source-upstream'!J264</f>
        <v>No comments provided</v>
      </c>
      <c r="K264" s="71" t="str">
        <f>if('source-upstream'!K264="",'schema-yn'!$A$5,vlookup('source-upstream'!K264,YN_MAP,3,FALSE))</f>
        <v>not-provided</v>
      </c>
      <c r="L264" s="88" t="str">
        <f>if('source-upstream'!L264="Not provided","",'source-upstream'!L264)</f>
        <v>Wild Numbat 
  provided 1 upstream provider in their RERCC Plan</v>
      </c>
      <c r="M264" s="66" t="str">
        <f>if('source-upstream'!M264="",'schema-rv-services'!$B$26,vlookup(vlookup('source-upstream'!$M264,'analysis-rv-services'!$C:$E,3,FALSE),'schema-rv-services'!$A:$B,2, FALSE))</f>
        <v>regulator</v>
      </c>
      <c r="N264" s="71"/>
    </row>
    <row r="265" ht="15.0" customHeight="1">
      <c r="A265" s="86" t="str">
        <f>Substitute(SUBSTITUTE(substitute(substitute(substitute(substitute(substitute(substitute(substitute(lower('source-upstream'!A265)," ","-"),"(",""),")",""),"&gt;",""),"&lt;",""),"---","-"),".","-"),"--","-"),"&amp;","-and-")</f>
        <v>wild-numbat</v>
      </c>
      <c r="B265" s="86" t="str">
        <f>Substitute(SUBSTITUTE(substitute(substitute(substitute(substitute(substitute(substitute(substitute(lower('source-upstream'!B265)," ","-"),"(",""),")",""),"&gt;",""),"&lt;",""),"---","-"),".","-"),"--","-"),"&amp;","-and-")</f>
        <v>wild-numbat</v>
      </c>
      <c r="C265" s="71" t="str">
        <f>if('source-upstream'!C265="",'schema-frequency'!$B$11,vlookup('source-upstream'!C265,FREQUENCY_MAP, 3, FALSE))</f>
        <v>unknown</v>
      </c>
      <c r="D265" s="87" t="str">
        <f>'source-upstream'!D265</f>
        <v>Not Provided</v>
      </c>
      <c r="E265" s="71" t="str">
        <f>if('source-upstream'!E265="",'schema-yn'!$A$5,vlookup('source-upstream'!E265,YN_MAP,3,FALSE))</f>
        <v>not-provided</v>
      </c>
      <c r="F265" s="71" t="str">
        <f>if('source-upstream'!F265="",'schema-yn'!$A$5,vlookup('source-upstream'!F265,YN_MAP,3,FALSE))</f>
        <v>not-provided</v>
      </c>
      <c r="G265" s="71" t="str">
        <f>if('source-upstream'!G265="",'schema-yn'!$A$5,vlookup('source-upstream'!G265,YN_MAP,3,FALSE))</f>
        <v>not-provided</v>
      </c>
      <c r="H265" s="71" t="str">
        <f>if('source-upstream'!H265="",'schema-yn'!$A$5,vlookup('source-upstream'!H265,RESILIENCE_OPTION_MAP,3,FALSE))</f>
        <v>not-provided</v>
      </c>
      <c r="I265" s="71" t="str">
        <f>if(iserror(vlookup('source-upstream'!I265,'data-cleansing-maps'!N$5:N$10,1,FALSE)),'source-upstream'!I265,"")</f>
        <v/>
      </c>
      <c r="J265" s="87" t="str">
        <f>'source-upstream'!J265</f>
        <v>Not Provided</v>
      </c>
      <c r="K265" s="71" t="str">
        <f>if('source-upstream'!K265="",'schema-yn'!$A$5,vlookup('source-upstream'!K265,YN_MAP,3,FALSE))</f>
        <v>not-provided</v>
      </c>
      <c r="L265" s="88" t="str">
        <f>if('source-upstream'!L265="Not provided","",'source-upstream'!L265)</f>
        <v/>
      </c>
      <c r="M265" s="66" t="str">
        <f>if('source-upstream'!M265="",'schema-rv-services'!$B$26,vlookup(vlookup('source-upstream'!$M265,'analysis-rv-services'!$C:$E,3,FALSE),'schema-rv-services'!$A:$B,2, FALSE))</f>
        <v>techonology</v>
      </c>
      <c r="N265" s="71"/>
    </row>
    <row r="266" ht="15.0" customHeight="1">
      <c r="A266" s="86" t="str">
        <f>Substitute(SUBSTITUTE(substitute(substitute(substitute(substitute(substitute(substitute(substitute(lower('source-upstream'!A266)," ","-"),"(",""),")",""),"&gt;",""),"&lt;",""),"---","-"),".","-"),"--","-"),"&amp;","-and-")</f>
        <v>wild-numbat</v>
      </c>
      <c r="B266" s="86" t="str">
        <f>Substitute(SUBSTITUTE(substitute(substitute(substitute(substitute(substitute(substitute(substitute(lower('source-upstream'!B266)," ","-"),"(",""),")",""),"&gt;",""),"&lt;",""),"---","-"),".","-"),"--","-"),"&amp;","-and-")</f>
        <v>wild-numbat</v>
      </c>
      <c r="C266" s="71" t="str">
        <f>if('source-upstream'!C266="",'schema-frequency'!$B$11,vlookup('source-upstream'!C266,FREQUENCY_MAP, 3, FALSE))</f>
        <v>unknown</v>
      </c>
      <c r="D266" s="87" t="str">
        <f>'source-upstream'!D266</f>
        <v>Not Provided</v>
      </c>
      <c r="E266" s="71" t="str">
        <f>if('source-upstream'!E266="",'schema-yn'!$A$5,vlookup('source-upstream'!E266,YN_MAP,3,FALSE))</f>
        <v>not-provided</v>
      </c>
      <c r="F266" s="71" t="str">
        <f>if('source-upstream'!F266="",'schema-yn'!$A$5,vlookup('source-upstream'!F266,YN_MAP,3,FALSE))</f>
        <v>not-provided</v>
      </c>
      <c r="G266" s="71" t="str">
        <f>if('source-upstream'!G266="",'schema-yn'!$A$5,vlookup('source-upstream'!G266,YN_MAP,3,FALSE))</f>
        <v>not-provided</v>
      </c>
      <c r="H266" s="71" t="str">
        <f>if('source-upstream'!H266="",'schema-yn'!$A$5,vlookup('source-upstream'!H266,RESILIENCE_OPTION_MAP,3,FALSE))</f>
        <v>not-provided</v>
      </c>
      <c r="I266" s="71" t="str">
        <f>if(iserror(vlookup('source-upstream'!I266,'data-cleansing-maps'!N$5:N$10,1,FALSE)),'source-upstream'!I266,"")</f>
        <v/>
      </c>
      <c r="J266" s="87" t="str">
        <f>'source-upstream'!J266</f>
        <v>Not Provided</v>
      </c>
      <c r="K266" s="71" t="str">
        <f>if('source-upstream'!K266="",'schema-yn'!$A$5,vlookup('source-upstream'!K266,YN_MAP,3,FALSE))</f>
        <v>not-provided</v>
      </c>
      <c r="L266" s="88" t="str">
        <f>if('source-upstream'!L266="Not provided","",'source-upstream'!L266)</f>
        <v/>
      </c>
      <c r="M266" s="66" t="str">
        <f>if('source-upstream'!M266="",'schema-rv-services'!$B$26,vlookup(vlookup('source-upstream'!$M266,'analysis-rv-services'!$C:$E,3,FALSE),'schema-rv-services'!$A:$B,2, FALSE))</f>
        <v>transport</v>
      </c>
      <c r="N266" s="71"/>
    </row>
    <row r="267" ht="15.0" customHeight="1">
      <c r="A267" s="86" t="str">
        <f>Substitute(SUBSTITUTE(substitute(substitute(substitute(substitute(substitute(substitute(substitute(lower('source-upstream'!A267)," ","-"),"(",""),")",""),"&gt;",""),"&lt;",""),"---","-"),".","-"),"--","-"),"&amp;","-and-")</f>
        <v>wild-numbat</v>
      </c>
      <c r="B267" s="86" t="str">
        <f>Substitute(SUBSTITUTE(substitute(substitute(substitute(substitute(substitute(substitute(substitute(lower('source-upstream'!B267)," ","-"),"(",""),")",""),"&gt;",""),"&lt;",""),"---","-"),".","-"),"--","-"),"&amp;","-and-")</f>
        <v>wild-numbat</v>
      </c>
      <c r="C267" s="71" t="str">
        <f>if('source-upstream'!C267="",'schema-frequency'!$B$11,vlookup('source-upstream'!C267,FREQUENCY_MAP, 3, FALSE))</f>
        <v>unknown</v>
      </c>
      <c r="D267" s="87" t="str">
        <f>'source-upstream'!D267</f>
        <v>Not Provided</v>
      </c>
      <c r="E267" s="71" t="str">
        <f>if('source-upstream'!E267="",'schema-yn'!$A$5,vlookup('source-upstream'!E267,YN_MAP,3,FALSE))</f>
        <v>not-provided</v>
      </c>
      <c r="F267" s="71" t="str">
        <f>if('source-upstream'!F267="",'schema-yn'!$A$5,vlookup('source-upstream'!F267,YN_MAP,3,FALSE))</f>
        <v>not-provided</v>
      </c>
      <c r="G267" s="71" t="str">
        <f>if('source-upstream'!G267="",'schema-yn'!$A$5,vlookup('source-upstream'!G267,YN_MAP,3,FALSE))</f>
        <v>not-provided</v>
      </c>
      <c r="H267" s="71" t="str">
        <f>if('source-upstream'!H267="",'schema-yn'!$A$5,vlookup('source-upstream'!H267,RESILIENCE_OPTION_MAP,3,FALSE))</f>
        <v>not-provided</v>
      </c>
      <c r="I267" s="71" t="str">
        <f>if(iserror(vlookup('source-upstream'!I267,'data-cleansing-maps'!N$5:N$10,1,FALSE)),'source-upstream'!I267,"")</f>
        <v/>
      </c>
      <c r="J267" s="87" t="str">
        <f>'source-upstream'!J267</f>
        <v>Not Provided</v>
      </c>
      <c r="K267" s="71" t="str">
        <f>if('source-upstream'!K267="",'schema-yn'!$A$5,vlookup('source-upstream'!K267,YN_MAP,3,FALSE))</f>
        <v>not-provided</v>
      </c>
      <c r="L267" s="88" t="str">
        <f>if('source-upstream'!L267="Not provided","",'source-upstream'!L267)</f>
        <v/>
      </c>
      <c r="M267" s="66" t="str">
        <f>if('source-upstream'!M267="",'schema-rv-services'!$B$26,vlookup(vlookup('source-upstream'!$M267,'analysis-rv-services'!$C:$E,3,FALSE),'schema-rv-services'!$A:$B,2, FALSE))</f>
        <v>waste-processing</v>
      </c>
      <c r="N267" s="71"/>
    </row>
    <row r="268" ht="15.0" customHeight="1">
      <c r="A268" s="86" t="str">
        <f>Substitute(SUBSTITUTE(substitute(substitute(substitute(substitute(substitute(substitute(substitute(lower('source-upstream'!A268)," ","-"),"(",""),")",""),"&gt;",""),"&lt;",""),"---","-"),".","-"),"--","-"),"&amp;","-and-")</f>
        <v>wild-possum</v>
      </c>
      <c r="B268" s="86" t="str">
        <f>Substitute(SUBSTITUTE(substitute(substitute(substitute(substitute(substitute(substitute(substitute(lower('source-upstream'!B268)," ","-"),"(",""),")",""),"&gt;",""),"&lt;",""),"---","-"),".","-"),"--","-"),"&amp;","-and-")</f>
        <v>green-dingo</v>
      </c>
      <c r="C268" s="71" t="str">
        <f>if('source-upstream'!C268="",'schema-frequency'!$B$11,vlookup('source-upstream'!C268,FREQUENCY_MAP, 3, FALSE))</f>
        <v>unknown</v>
      </c>
      <c r="D268" s="87" t="str">
        <f>'source-upstream'!D268</f>
        <v>EPA Licence requirement</v>
      </c>
      <c r="E268" s="71" t="str">
        <f>if('source-upstream'!E268="",'schema-yn'!$A$5,vlookup('source-upstream'!E268,YN_MAP,3,FALSE))</f>
        <v>yes</v>
      </c>
      <c r="F268" s="71" t="str">
        <f>if('source-upstream'!F268="",'schema-yn'!$A$5,vlookup('source-upstream'!F268,YN_MAP,3,FALSE))</f>
        <v>not-provided</v>
      </c>
      <c r="G268" s="71" t="str">
        <f>if('source-upstream'!G268="",'schema-yn'!$A$5,vlookup('source-upstream'!G268,YN_MAP,3,FALSE))</f>
        <v>not-provided</v>
      </c>
      <c r="H268" s="71" t="str">
        <f>if('source-upstream'!H268="",'schema-yn'!$A$5,vlookup('source-upstream'!H268,RESILIENCE_OPTION_MAP,3,FALSE))</f>
        <v>not-provided</v>
      </c>
      <c r="I268" s="71" t="str">
        <f>if(iserror(vlookup('source-upstream'!I268,'data-cleansing-maps'!N$5:N$10,1,FALSE)),'source-upstream'!I268,"")</f>
        <v/>
      </c>
      <c r="J268" s="87" t="str">
        <f>'source-upstream'!J268</f>
        <v>No comments provided</v>
      </c>
      <c r="K268" s="71" t="str">
        <f>if('source-upstream'!K268="",'schema-yn'!$A$5,vlookup('source-upstream'!K268,YN_MAP,3,FALSE))</f>
        <v>not-provided</v>
      </c>
      <c r="L268" s="88" t="str">
        <f>if('source-upstream'!L268="Not provided","",'source-upstream'!L268)</f>
        <v>Wild Numbat 
 provided 1 upstream provider in their RERCC Plan</v>
      </c>
      <c r="M268" s="66" t="str">
        <f>if('source-upstream'!M268="",'schema-rv-services'!$B$26,vlookup(vlookup('source-upstream'!$M268,'analysis-rv-services'!$C:$E,3,FALSE),'schema-rv-services'!$A:$B,2, FALSE))</f>
        <v>regulator</v>
      </c>
      <c r="N268" s="71"/>
    </row>
    <row r="269" ht="15.0" customHeight="1">
      <c r="A269" s="86" t="str">
        <f>Substitute(SUBSTITUTE(substitute(substitute(substitute(substitute(substitute(substitute(substitute(lower('source-upstream'!A269)," ","-"),"(",""),")",""),"&gt;",""),"&lt;",""),"---","-"),".","-"),"--","-"),"&amp;","-and-")</f>
        <v>wild-possum</v>
      </c>
      <c r="B269" s="86" t="str">
        <f>Substitute(SUBSTITUTE(substitute(substitute(substitute(substitute(substitute(substitute(substitute(lower('source-upstream'!B269)," ","-"),"(",""),")",""),"&gt;",""),"&lt;",""),"---","-"),".","-"),"--","-"),"&amp;","-and-")</f>
        <v>wild-possum</v>
      </c>
      <c r="C269" s="71" t="str">
        <f>if('source-upstream'!C269="",'schema-frequency'!$B$11,vlookup('source-upstream'!C269,FREQUENCY_MAP, 3, FALSE))</f>
        <v>unknown</v>
      </c>
      <c r="D269" s="87" t="str">
        <f>'source-upstream'!D269</f>
        <v>Not Provided</v>
      </c>
      <c r="E269" s="71" t="str">
        <f>if('source-upstream'!E269="",'schema-yn'!$A$5,vlookup('source-upstream'!E269,YN_MAP,3,FALSE))</f>
        <v>not-provided</v>
      </c>
      <c r="F269" s="71" t="str">
        <f>if('source-upstream'!F269="",'schema-yn'!$A$5,vlookup('source-upstream'!F269,YN_MAP,3,FALSE))</f>
        <v>not-provided</v>
      </c>
      <c r="G269" s="71" t="str">
        <f>if('source-upstream'!G269="",'schema-yn'!$A$5,vlookup('source-upstream'!G269,YN_MAP,3,FALSE))</f>
        <v>not-provided</v>
      </c>
      <c r="H269" s="71" t="str">
        <f>if('source-upstream'!H269="",'schema-yn'!$A$5,vlookup('source-upstream'!H269,RESILIENCE_OPTION_MAP,3,FALSE))</f>
        <v>not-provided</v>
      </c>
      <c r="I269" s="71" t="str">
        <f>if(iserror(vlookup('source-upstream'!I269,'data-cleansing-maps'!N$5:N$10,1,FALSE)),'source-upstream'!I269,"")</f>
        <v/>
      </c>
      <c r="J269" s="87" t="str">
        <f>'source-upstream'!J269</f>
        <v>Not Provided</v>
      </c>
      <c r="K269" s="71" t="str">
        <f>if('source-upstream'!K269="",'schema-yn'!$A$5,vlookup('source-upstream'!K269,YN_MAP,3,FALSE))</f>
        <v>not-provided</v>
      </c>
      <c r="L269" s="88" t="str">
        <f>if('source-upstream'!L269="Not provided","",'source-upstream'!L269)</f>
        <v/>
      </c>
      <c r="M269" s="66" t="str">
        <f>if('source-upstream'!M269="",'schema-rv-services'!$B$26,vlookup(vlookup('source-upstream'!$M269,'analysis-rv-services'!$C:$E,3,FALSE),'schema-rv-services'!$A:$B,2, FALSE))</f>
        <v>techonology</v>
      </c>
      <c r="N269" s="71"/>
    </row>
    <row r="270" ht="15.0" customHeight="1">
      <c r="A270" s="86" t="str">
        <f>Substitute(SUBSTITUTE(substitute(substitute(substitute(substitute(substitute(substitute(substitute(lower('source-upstream'!A270)," ","-"),"(",""),")",""),"&gt;",""),"&lt;",""),"---","-"),".","-"),"--","-"),"&amp;","-and-")</f>
        <v>wild-possum</v>
      </c>
      <c r="B270" s="86" t="str">
        <f>Substitute(SUBSTITUTE(substitute(substitute(substitute(substitute(substitute(substitute(substitute(lower('source-upstream'!B270)," ","-"),"(",""),")",""),"&gt;",""),"&lt;",""),"---","-"),".","-"),"--","-"),"&amp;","-and-")</f>
        <v>wild-possum</v>
      </c>
      <c r="C270" s="71" t="str">
        <f>if('source-upstream'!C270="",'schema-frequency'!$B$11,vlookup('source-upstream'!C270,FREQUENCY_MAP, 3, FALSE))</f>
        <v>unknown</v>
      </c>
      <c r="D270" s="87" t="str">
        <f>'source-upstream'!D270</f>
        <v>Not Provided</v>
      </c>
      <c r="E270" s="71" t="str">
        <f>if('source-upstream'!E270="",'schema-yn'!$A$5,vlookup('source-upstream'!E270,YN_MAP,3,FALSE))</f>
        <v>not-provided</v>
      </c>
      <c r="F270" s="71" t="str">
        <f>if('source-upstream'!F270="",'schema-yn'!$A$5,vlookup('source-upstream'!F270,YN_MAP,3,FALSE))</f>
        <v>not-provided</v>
      </c>
      <c r="G270" s="71" t="str">
        <f>if('source-upstream'!G270="",'schema-yn'!$A$5,vlookup('source-upstream'!G270,YN_MAP,3,FALSE))</f>
        <v>not-provided</v>
      </c>
      <c r="H270" s="71" t="str">
        <f>if('source-upstream'!H270="",'schema-yn'!$A$5,vlookup('source-upstream'!H270,RESILIENCE_OPTION_MAP,3,FALSE))</f>
        <v>not-provided</v>
      </c>
      <c r="I270" s="71" t="str">
        <f>if(iserror(vlookup('source-upstream'!I270,'data-cleansing-maps'!N$5:N$10,1,FALSE)),'source-upstream'!I270,"")</f>
        <v/>
      </c>
      <c r="J270" s="87" t="str">
        <f>'source-upstream'!J270</f>
        <v>Not Provided</v>
      </c>
      <c r="K270" s="71" t="str">
        <f>if('source-upstream'!K270="",'schema-yn'!$A$5,vlookup('source-upstream'!K270,YN_MAP,3,FALSE))</f>
        <v>not-provided</v>
      </c>
      <c r="L270" s="88" t="str">
        <f>if('source-upstream'!L270="Not provided","",'source-upstream'!L270)</f>
        <v/>
      </c>
      <c r="M270" s="66" t="str">
        <f>if('source-upstream'!M270="",'schema-rv-services'!$B$26,vlookup(vlookup('source-upstream'!$M270,'analysis-rv-services'!$C:$E,3,FALSE),'schema-rv-services'!$A:$B,2, FALSE))</f>
        <v>transport</v>
      </c>
      <c r="N270" s="71"/>
    </row>
    <row r="271" ht="15.0" customHeight="1">
      <c r="A271" s="86" t="str">
        <f>Substitute(SUBSTITUTE(substitute(substitute(substitute(substitute(substitute(substitute(substitute(lower('source-upstream'!A271)," ","-"),"(",""),")",""),"&gt;",""),"&lt;",""),"---","-"),".","-"),"--","-"),"&amp;","-and-")</f>
        <v>wild-possum</v>
      </c>
      <c r="B271" s="86" t="str">
        <f>Substitute(SUBSTITUTE(substitute(substitute(substitute(substitute(substitute(substitute(substitute(lower('source-upstream'!B271)," ","-"),"(",""),")",""),"&gt;",""),"&lt;",""),"---","-"),".","-"),"--","-"),"&amp;","-and-")</f>
        <v>wild-possum</v>
      </c>
      <c r="C271" s="71" t="str">
        <f>if('source-upstream'!C271="",'schema-frequency'!$B$11,vlookup('source-upstream'!C271,FREQUENCY_MAP, 3, FALSE))</f>
        <v>unknown</v>
      </c>
      <c r="D271" s="87" t="str">
        <f>'source-upstream'!D271</f>
        <v>Not Provided</v>
      </c>
      <c r="E271" s="71" t="str">
        <f>if('source-upstream'!E271="",'schema-yn'!$A$5,vlookup('source-upstream'!E271,YN_MAP,3,FALSE))</f>
        <v>not-provided</v>
      </c>
      <c r="F271" s="71" t="str">
        <f>if('source-upstream'!F271="",'schema-yn'!$A$5,vlookup('source-upstream'!F271,YN_MAP,3,FALSE))</f>
        <v>not-provided</v>
      </c>
      <c r="G271" s="71" t="str">
        <f>if('source-upstream'!G271="",'schema-yn'!$A$5,vlookup('source-upstream'!G271,YN_MAP,3,FALSE))</f>
        <v>not-provided</v>
      </c>
      <c r="H271" s="71" t="str">
        <f>if('source-upstream'!H271="",'schema-yn'!$A$5,vlookup('source-upstream'!H271,RESILIENCE_OPTION_MAP,3,FALSE))</f>
        <v>not-provided</v>
      </c>
      <c r="I271" s="71" t="str">
        <f>if(iserror(vlookup('source-upstream'!I271,'data-cleansing-maps'!N$5:N$10,1,FALSE)),'source-upstream'!I271,"")</f>
        <v/>
      </c>
      <c r="J271" s="87" t="str">
        <f>'source-upstream'!J271</f>
        <v>Not Provided</v>
      </c>
      <c r="K271" s="71" t="str">
        <f>if('source-upstream'!K271="",'schema-yn'!$A$5,vlookup('source-upstream'!K271,YN_MAP,3,FALSE))</f>
        <v>not-provided</v>
      </c>
      <c r="L271" s="88" t="str">
        <f>if('source-upstream'!L271="Not provided","",'source-upstream'!L271)</f>
        <v/>
      </c>
      <c r="M271" s="66" t="str">
        <f>if('source-upstream'!M271="",'schema-rv-services'!$B$26,vlookup(vlookup('source-upstream'!$M271,'analysis-rv-services'!$C:$E,3,FALSE),'schema-rv-services'!$A:$B,2, FALSE))</f>
        <v>waste-processing</v>
      </c>
      <c r="N271" s="71"/>
    </row>
    <row r="272" ht="15.0" customHeight="1">
      <c r="A272" s="86" t="str">
        <f>Substitute(SUBSTITUTE(substitute(substitute(substitute(substitute(substitute(substitute(substitute(lower('source-upstream'!A272)," ","-"),"(",""),")",""),"&gt;",""),"&lt;",""),"---","-"),".","-"),"--","-"),"&amp;","-and-")</f>
        <v>wild-tasmanian-devil</v>
      </c>
      <c r="B272" s="86" t="str">
        <f>Substitute(SUBSTITUTE(substitute(substitute(substitute(substitute(substitute(substitute(substitute(lower('source-upstream'!B272)," ","-"),"(",""),")",""),"&gt;",""),"&lt;",""),"---","-"),".","-"),"--","-"),"&amp;","-and-")</f>
        <v>happy-fairy-penguin</v>
      </c>
      <c r="C272" s="71" t="str">
        <f>if('source-upstream'!C272="",'schema-frequency'!$B$11,vlookup('source-upstream'!C272,FREQUENCY_MAP, 3, FALSE))</f>
        <v>daily</v>
      </c>
      <c r="D272" s="87" t="str">
        <f>'source-upstream'!D272</f>
        <v>Collect the containers from the depot and OTC</v>
      </c>
      <c r="E272" s="71" t="str">
        <f>if('source-upstream'!E272="",'schema-yn'!$A$5,vlookup('source-upstream'!E272,YN_MAP,3,FALSE))</f>
        <v>not-provided</v>
      </c>
      <c r="F272" s="71" t="str">
        <f>if('source-upstream'!F272="",'schema-yn'!$A$5,vlookup('source-upstream'!F272,YN_MAP,3,FALSE))</f>
        <v>not-provided</v>
      </c>
      <c r="G272" s="71" t="str">
        <f>if('source-upstream'!G272="",'schema-yn'!$A$5,vlookup('source-upstream'!G272,YN_MAP,3,FALSE))</f>
        <v>yes</v>
      </c>
      <c r="H272" s="71" t="str">
        <f>if('source-upstream'!H272="",'schema-yn'!$A$5,vlookup('source-upstream'!H272,RESILIENCE_OPTION_MAP,3,FALSE))</f>
        <v>not-provided</v>
      </c>
      <c r="I272" s="71" t="str">
        <f>if(iserror(vlookup('source-upstream'!I272,'data-cleansing-maps'!N$5:N$10,1,FALSE)),'source-upstream'!I272,"")</f>
        <v/>
      </c>
      <c r="J272" s="87" t="str">
        <f>'source-upstream'!J272</f>
        <v>No comments provided</v>
      </c>
      <c r="K272" s="71" t="str">
        <f>if('source-upstream'!K272="",'schema-yn'!$A$5,vlookup('source-upstream'!K272,YN_MAP,3,FALSE))</f>
        <v>not-provided</v>
      </c>
      <c r="L272" s="88" t="str">
        <f>if('source-upstream'!L272="Not provided","",'source-upstream'!L272)</f>
        <v/>
      </c>
      <c r="M272" s="66" t="str">
        <f>if('source-upstream'!M272="",'schema-rv-services'!$B$26,vlookup(vlookup('source-upstream'!$M272,'analysis-rv-services'!$C:$E,3,FALSE),'schema-rv-services'!$A:$B,2, FALSE))</f>
        <v>transport</v>
      </c>
      <c r="N272" s="71"/>
    </row>
    <row r="273" ht="15.0" customHeight="1">
      <c r="A273" s="86" t="str">
        <f>Substitute(SUBSTITUTE(substitute(substitute(substitute(substitute(substitute(substitute(substitute(lower('source-upstream'!A273)," ","-"),"(",""),")",""),"&gt;",""),"&lt;",""),"---","-"),".","-"),"--","-"),"&amp;","-and-")</f>
        <v>wild-tasmanian-devil</v>
      </c>
      <c r="B273" s="86" t="str">
        <f>Substitute(SUBSTITUTE(substitute(substitute(substitute(substitute(substitute(substitute(substitute(lower('source-upstream'!B273)," ","-"),"(",""),")",""),"&gt;",""),"&lt;",""),"---","-"),".","-"),"--","-"),"&amp;","-and-")</f>
        <v>green-bush-stone-curlew</v>
      </c>
      <c r="C273" s="71" t="str">
        <f>if('source-upstream'!C273="",'schema-frequency'!$B$11,vlookup('source-upstream'!C273,FREQUENCY_MAP, 3, FALSE))</f>
        <v>daily</v>
      </c>
      <c r="D273" s="87" t="str">
        <f>'source-upstream'!D273</f>
        <v>Collect the containers from the depot and OTC</v>
      </c>
      <c r="E273" s="71" t="str">
        <f>if('source-upstream'!E273="",'schema-yn'!$A$5,vlookup('source-upstream'!E273,YN_MAP,3,FALSE))</f>
        <v>not-provided</v>
      </c>
      <c r="F273" s="71" t="str">
        <f>if('source-upstream'!F273="",'schema-yn'!$A$5,vlookup('source-upstream'!F273,YN_MAP,3,FALSE))</f>
        <v>not-provided</v>
      </c>
      <c r="G273" s="71" t="str">
        <f>if('source-upstream'!G273="",'schema-yn'!$A$5,vlookup('source-upstream'!G273,YN_MAP,3,FALSE))</f>
        <v>yes</v>
      </c>
      <c r="H273" s="71" t="str">
        <f>if('source-upstream'!H273="",'schema-yn'!$A$5,vlookup('source-upstream'!H273,RESILIENCE_OPTION_MAP,3,FALSE))</f>
        <v>not-provided</v>
      </c>
      <c r="I273" s="71" t="str">
        <f>if(iserror(vlookup('source-upstream'!I273,'data-cleansing-maps'!N$5:N$10,1,FALSE)),'source-upstream'!I273,"")</f>
        <v/>
      </c>
      <c r="J273" s="87" t="str">
        <f>'source-upstream'!J273</f>
        <v>No comments provided</v>
      </c>
      <c r="K273" s="71" t="str">
        <f>if('source-upstream'!K273="",'schema-yn'!$A$5,vlookup('source-upstream'!K273,YN_MAP,3,FALSE))</f>
        <v>not-provided</v>
      </c>
      <c r="L273" s="88" t="str">
        <f>if('source-upstream'!L273="Not provided","",'source-upstream'!L273)</f>
        <v/>
      </c>
      <c r="M273" s="66" t="str">
        <f>if('source-upstream'!M273="",'schema-rv-services'!$B$26,vlookup(vlookup('source-upstream'!$M273,'analysis-rv-services'!$C:$E,3,FALSE),'schema-rv-services'!$A:$B,2, FALSE))</f>
        <v>transport</v>
      </c>
      <c r="N273" s="71"/>
    </row>
    <row r="274" ht="15.0" customHeight="1">
      <c r="A274" s="86" t="str">
        <f>Substitute(SUBSTITUTE(substitute(substitute(substitute(substitute(substitute(substitute(substitute(lower('source-upstream'!A274)," ","-"),"(",""),")",""),"&gt;",""),"&lt;",""),"---","-"),".","-"),"--","-"),"&amp;","-and-")</f>
        <v>wild-tasmanian-devil</v>
      </c>
      <c r="B274" s="86" t="str">
        <f>Substitute(SUBSTITUTE(substitute(substitute(substitute(substitute(substitute(substitute(substitute(lower('source-upstream'!B274)," ","-"),"(",""),")",""),"&gt;",""),"&lt;",""),"---","-"),".","-"),"--","-"),"&amp;","-and-")</f>
        <v>green-koala</v>
      </c>
      <c r="C274" s="71" t="str">
        <f>if('source-upstream'!C274="",'schema-frequency'!$B$11,vlookup('source-upstream'!C274,FREQUENCY_MAP, 3, FALSE))</f>
        <v>daily</v>
      </c>
      <c r="D274" s="87" t="str">
        <f>'source-upstream'!D274</f>
        <v>Collect the containers from the depot and OTC</v>
      </c>
      <c r="E274" s="71" t="str">
        <f>if('source-upstream'!E274="",'schema-yn'!$A$5,vlookup('source-upstream'!E274,YN_MAP,3,FALSE))</f>
        <v>not-provided</v>
      </c>
      <c r="F274" s="71" t="str">
        <f>if('source-upstream'!F274="",'schema-yn'!$A$5,vlookup('source-upstream'!F274,YN_MAP,3,FALSE))</f>
        <v>not-provided</v>
      </c>
      <c r="G274" s="71" t="str">
        <f>if('source-upstream'!G274="",'schema-yn'!$A$5,vlookup('source-upstream'!G274,YN_MAP,3,FALSE))</f>
        <v>yes</v>
      </c>
      <c r="H274" s="71" t="str">
        <f>if('source-upstream'!H274="",'schema-yn'!$A$5,vlookup('source-upstream'!H274,RESILIENCE_OPTION_MAP,3,FALSE))</f>
        <v>not-provided</v>
      </c>
      <c r="I274" s="71" t="str">
        <f>if(iserror(vlookup('source-upstream'!I274,'data-cleansing-maps'!N$5:N$10,1,FALSE)),'source-upstream'!I274,"")</f>
        <v/>
      </c>
      <c r="J274" s="87" t="str">
        <f>'source-upstream'!J274</f>
        <v>No comments provided</v>
      </c>
      <c r="K274" s="71" t="str">
        <f>if('source-upstream'!K274="",'schema-yn'!$A$5,vlookup('source-upstream'!K274,YN_MAP,3,FALSE))</f>
        <v>not-provided</v>
      </c>
      <c r="L274" s="88" t="str">
        <f>if('source-upstream'!L274="Not provided","",'source-upstream'!L274)</f>
        <v/>
      </c>
      <c r="M274" s="66" t="str">
        <f>if('source-upstream'!M274="",'schema-rv-services'!$B$26,vlookup(vlookup('source-upstream'!$M274,'analysis-rv-services'!$C:$E,3,FALSE),'schema-rv-services'!$A:$B,2, FALSE))</f>
        <v>transport</v>
      </c>
      <c r="N274" s="71"/>
    </row>
    <row r="275" ht="15.0" customHeight="1">
      <c r="A275" s="86" t="str">
        <f>Substitute(SUBSTITUTE(substitute(substitute(substitute(substitute(substitute(substitute(substitute(lower('source-upstream'!A275)," ","-"),"(",""),")",""),"&gt;",""),"&lt;",""),"---","-"),".","-"),"--","-"),"&amp;","-and-")</f>
        <v>wild-tasmanian-devil</v>
      </c>
      <c r="B275" s="86" t="str">
        <f>Substitute(SUBSTITUTE(substitute(substitute(substitute(substitute(substitute(substitute(substitute(lower('source-upstream'!B275)," ","-"),"(",""),")",""),"&gt;",""),"&lt;",""),"---","-"),".","-"),"--","-"),"&amp;","-and-")</f>
        <v>happy-echidna</v>
      </c>
      <c r="C275" s="71" t="str">
        <f>if('source-upstream'!C275="",'schema-frequency'!$B$11,vlookup('source-upstream'!C275,FREQUENCY_MAP, 3, FALSE))</f>
        <v>daily</v>
      </c>
      <c r="D275" s="87" t="str">
        <f>'source-upstream'!D275</f>
        <v>Specialised service provider baling equipment</v>
      </c>
      <c r="E275" s="71" t="str">
        <f>if('source-upstream'!E275="",'schema-yn'!$A$5,vlookup('source-upstream'!E275,YN_MAP,3,FALSE))</f>
        <v>not-provided</v>
      </c>
      <c r="F275" s="71" t="str">
        <f>if('source-upstream'!F275="",'schema-yn'!$A$5,vlookup('source-upstream'!F275,YN_MAP,3,FALSE))</f>
        <v>not-provided</v>
      </c>
      <c r="G275" s="71" t="str">
        <f>if('source-upstream'!G275="",'schema-yn'!$A$5,vlookup('source-upstream'!G275,YN_MAP,3,FALSE))</f>
        <v>yes</v>
      </c>
      <c r="H275" s="71" t="str">
        <f>if('source-upstream'!H275="",'schema-yn'!$A$5,vlookup('source-upstream'!H275,RESILIENCE_OPTION_MAP,3,FALSE))</f>
        <v>not-provided</v>
      </c>
      <c r="I275" s="71" t="str">
        <f>if(iserror(vlookup('source-upstream'!I275,'data-cleansing-maps'!N$5:N$10,1,FALSE)),'source-upstream'!I275,"")</f>
        <v/>
      </c>
      <c r="J275" s="87" t="str">
        <f>'source-upstream'!J275</f>
        <v>No comments provided</v>
      </c>
      <c r="K275" s="71" t="str">
        <f>if('source-upstream'!K275="",'schema-yn'!$A$5,vlookup('source-upstream'!K275,YN_MAP,3,FALSE))</f>
        <v>not-provided</v>
      </c>
      <c r="L275" s="88" t="str">
        <f>if('source-upstream'!L275="Not provided","",'source-upstream'!L275)</f>
        <v/>
      </c>
      <c r="M275" s="66" t="str">
        <f>if('source-upstream'!M275="",'schema-rv-services'!$B$26,vlookup(vlookup('source-upstream'!$M275,'analysis-rv-services'!$C:$E,3,FALSE),'schema-rv-services'!$A:$B,2, FALSE))</f>
        <v>plant-and-equipment</v>
      </c>
      <c r="N275" s="71"/>
    </row>
    <row r="276" ht="15.0" customHeight="1">
      <c r="A276" s="86" t="str">
        <f>Substitute(SUBSTITUTE(substitute(substitute(substitute(substitute(substitute(substitute(substitute(lower('source-upstream'!A276)," ","-"),"(",""),")",""),"&gt;",""),"&lt;",""),"---","-"),".","-"),"--","-"),"&amp;","-and-")</f>
        <v>wild-tasmanian-devil</v>
      </c>
      <c r="B276" s="86" t="str">
        <f>Substitute(SUBSTITUTE(substitute(substitute(substitute(substitute(substitute(substitute(substitute(lower('source-upstream'!B276)," ","-"),"(",""),")",""),"&gt;",""),"&lt;",""),"---","-"),".","-"),"--","-"),"&amp;","-and-")</f>
        <v>spotted-australian-magpie</v>
      </c>
      <c r="C276" s="71" t="str">
        <f>if('source-upstream'!C276="",'schema-frequency'!$B$11,vlookup('source-upstream'!C276,FREQUENCY_MAP, 3, FALSE))</f>
        <v>ad-hoc</v>
      </c>
      <c r="D276" s="87" t="str">
        <f>'source-upstream'!D276</f>
        <v>OEM supplier reverse vending machine equipment</v>
      </c>
      <c r="E276" s="71" t="str">
        <f>if('source-upstream'!E276="",'schema-yn'!$A$5,vlookup('source-upstream'!E276,YN_MAP,3,FALSE))</f>
        <v>not-provided</v>
      </c>
      <c r="F276" s="71" t="str">
        <f>if('source-upstream'!F276="",'schema-yn'!$A$5,vlookup('source-upstream'!F276,YN_MAP,3,FALSE))</f>
        <v>not-provided</v>
      </c>
      <c r="G276" s="71" t="str">
        <f>if('source-upstream'!G276="",'schema-yn'!$A$5,vlookup('source-upstream'!G276,YN_MAP,3,FALSE))</f>
        <v>yes</v>
      </c>
      <c r="H276" s="71" t="str">
        <f>if('source-upstream'!H276="",'schema-yn'!$A$5,vlookup('source-upstream'!H276,RESILIENCE_OPTION_MAP,3,FALSE))</f>
        <v>not-provided</v>
      </c>
      <c r="I276" s="71" t="str">
        <f>if(iserror(vlookup('source-upstream'!I276,'data-cleansing-maps'!N$5:N$10,1,FALSE)),'source-upstream'!I276,"")</f>
        <v/>
      </c>
      <c r="J276" s="87" t="str">
        <f>'source-upstream'!J276</f>
        <v>No comments provided</v>
      </c>
      <c r="K276" s="71" t="str">
        <f>if('source-upstream'!K276="",'schema-yn'!$A$5,vlookup('source-upstream'!K276,YN_MAP,3,FALSE))</f>
        <v>not-provided</v>
      </c>
      <c r="L276" s="88" t="str">
        <f>if('source-upstream'!L276="Not provided","",'source-upstream'!L276)</f>
        <v/>
      </c>
      <c r="M276" s="66" t="str">
        <f>if('source-upstream'!M276="",'schema-rv-services'!$B$26,vlookup(vlookup('source-upstream'!$M276,'analysis-rv-services'!$C:$E,3,FALSE),'schema-rv-services'!$A:$B,2, FALSE))</f>
        <v>techonology</v>
      </c>
      <c r="N276" s="71"/>
    </row>
    <row r="277" ht="15.0" customHeight="1">
      <c r="A277" s="86" t="str">
        <f>Substitute(SUBSTITUTE(substitute(substitute(substitute(substitute(substitute(substitute(substitute(lower('source-upstream'!A277)," ","-"),"(",""),")",""),"&gt;",""),"&lt;",""),"---","-"),".","-"),"--","-"),"&amp;","-and-")</f>
        <v>wild-tasmanian-devil</v>
      </c>
      <c r="B277" s="86" t="str">
        <f>Substitute(SUBSTITUTE(substitute(substitute(substitute(substitute(substitute(substitute(substitute(lower('source-upstream'!B277)," ","-"),"(",""),")",""),"&gt;",""),"&lt;",""),"---","-"),".","-"),"--","-"),"&amp;","-and-")</f>
        <v>wild-rosella</v>
      </c>
      <c r="C277" s="71" t="str">
        <f>if('source-upstream'!C277="",'schema-frequency'!$B$11,vlookup('source-upstream'!C277,FREQUENCY_MAP, 3, FALSE))</f>
        <v>daily</v>
      </c>
      <c r="D277" s="87" t="str">
        <f>'source-upstream'!D277</f>
        <v>Automation and technology solutions, machine servicing</v>
      </c>
      <c r="E277" s="71" t="str">
        <f>if('source-upstream'!E277="",'schema-yn'!$A$5,vlookup('source-upstream'!E277,YN_MAP,3,FALSE))</f>
        <v>not-provided</v>
      </c>
      <c r="F277" s="71" t="str">
        <f>if('source-upstream'!F277="",'schema-yn'!$A$5,vlookup('source-upstream'!F277,YN_MAP,3,FALSE))</f>
        <v>not-provided</v>
      </c>
      <c r="G277" s="71" t="str">
        <f>if('source-upstream'!G277="",'schema-yn'!$A$5,vlookup('source-upstream'!G277,YN_MAP,3,FALSE))</f>
        <v>yes</v>
      </c>
      <c r="H277" s="71" t="str">
        <f>if('source-upstream'!H277="",'schema-yn'!$A$5,vlookup('source-upstream'!H277,RESILIENCE_OPTION_MAP,3,FALSE))</f>
        <v>not-provided</v>
      </c>
      <c r="I277" s="71" t="str">
        <f>if(iserror(vlookup('source-upstream'!I277,'data-cleansing-maps'!N$5:N$10,1,FALSE)),'source-upstream'!I277,"")</f>
        <v/>
      </c>
      <c r="J277" s="87" t="str">
        <f>'source-upstream'!J277</f>
        <v>No comments provided</v>
      </c>
      <c r="K277" s="71" t="str">
        <f>if('source-upstream'!K277="",'schema-yn'!$A$5,vlookup('source-upstream'!K277,YN_MAP,3,FALSE))</f>
        <v>not-provided</v>
      </c>
      <c r="L277" s="88" t="str">
        <f>if('source-upstream'!L277="Not provided","",'source-upstream'!L277)</f>
        <v/>
      </c>
      <c r="M277" s="66" t="str">
        <f>if('source-upstream'!M277="",'schema-rv-services'!$B$26,vlookup(vlookup('source-upstream'!$M277,'analysis-rv-services'!$C:$E,3,FALSE),'schema-rv-services'!$A:$B,2, FALSE))</f>
        <v>techonology</v>
      </c>
      <c r="N277" s="71"/>
    </row>
    <row r="278" ht="15.0" customHeight="1">
      <c r="A278" s="86" t="str">
        <f>Substitute(SUBSTITUTE(substitute(substitute(substitute(substitute(substitute(substitute(substitute(lower('source-upstream'!A278)," ","-"),"(",""),")",""),"&gt;",""),"&lt;",""),"---","-"),".","-"),"--","-"),"&amp;","-and-")</f>
        <v>yellow-australian-magpie</v>
      </c>
      <c r="B278" s="86" t="str">
        <f>Substitute(SUBSTITUTE(substitute(substitute(substitute(substitute(substitute(substitute(substitute(lower('source-upstream'!B278)," ","-"),"(",""),")",""),"&gt;",""),"&lt;",""),"---","-"),".","-"),"--","-"),"&amp;","-and-")</f>
        <v>swift-redback-spider</v>
      </c>
      <c r="C278" s="71" t="str">
        <f>if('source-upstream'!C278="",'schema-frequency'!$B$11,vlookup('source-upstream'!C278,FREQUENCY_MAP, 3, FALSE))</f>
        <v>monthly</v>
      </c>
      <c r="D278" s="87" t="str">
        <f>'source-upstream'!D278</f>
        <v>OEM supplier plastic sorting equipment</v>
      </c>
      <c r="E278" s="71" t="str">
        <f>if('source-upstream'!E278="",'schema-yn'!$A$5,vlookup('source-upstream'!E278,YN_MAP,3,FALSE))</f>
        <v>yes</v>
      </c>
      <c r="F278" s="71" t="str">
        <f>if('source-upstream'!F278="",'schema-yn'!$A$5,vlookup('source-upstream'!F278,YN_MAP,3,FALSE))</f>
        <v>not-provided</v>
      </c>
      <c r="G278" s="71" t="str">
        <f>if('source-upstream'!G278="",'schema-yn'!$A$5,vlookup('source-upstream'!G278,YN_MAP,3,FALSE))</f>
        <v>yes</v>
      </c>
      <c r="H278" s="71" t="str">
        <f>if('source-upstream'!H278="",'schema-yn'!$A$5,vlookup('source-upstream'!H278,RESILIENCE_OPTION_MAP,3,FALSE))</f>
        <v>bc-strategy</v>
      </c>
      <c r="I278" s="71" t="str">
        <f>if(iserror(vlookup('source-upstream'!I278,'data-cleansing-maps'!N$5:N$10,1,FALSE)),'source-upstream'!I278,"")</f>
        <v/>
      </c>
      <c r="J278" s="87" t="str">
        <f>'source-upstream'!J278</f>
        <v>Critical spares available, Bypass optical sorters, add pickers</v>
      </c>
      <c r="K278" s="71" t="str">
        <f>if('source-upstream'!K278="",'schema-yn'!$A$5,vlookup('source-upstream'!K278,YN_MAP,3,FALSE))</f>
        <v>not-provided</v>
      </c>
      <c r="L278" s="88" t="str">
        <f>if('source-upstream'!L278="Not provided","",'source-upstream'!L278)</f>
        <v/>
      </c>
      <c r="M278" s="66" t="str">
        <f>if('source-upstream'!M278="",'schema-rv-services'!$B$26,vlookup(vlookup('source-upstream'!$M278,'analysis-rv-services'!$C:$E,3,FALSE),'schema-rv-services'!$A:$B,2, FALSE))</f>
        <v>waste-processing</v>
      </c>
      <c r="N278" s="71"/>
    </row>
    <row r="279" ht="15.0" customHeight="1">
      <c r="A279" s="86" t="str">
        <f>Substitute(SUBSTITUTE(substitute(substitute(substitute(substitute(substitute(substitute(substitute(lower('source-upstream'!A279)," ","-"),"(",""),")",""),"&gt;",""),"&lt;",""),"---","-"),".","-"),"--","-"),"&amp;","-and-")</f>
        <v>yellow-australian-magpie</v>
      </c>
      <c r="B279" s="86" t="str">
        <f>Substitute(SUBSTITUTE(substitute(substitute(substitute(substitute(substitute(substitute(substitute(lower('source-upstream'!B279)," ","-"),"(",""),")",""),"&gt;",""),"&lt;",""),"---","-"),".","-"),"--","-"),"&amp;","-and-")</f>
        <v>happy-echidna</v>
      </c>
      <c r="C279" s="71" t="str">
        <f>if('source-upstream'!C279="",'schema-frequency'!$B$11,vlookup('source-upstream'!C279,FREQUENCY_MAP, 3, FALSE))</f>
        <v>biannual</v>
      </c>
      <c r="D279" s="87" t="str">
        <f>'source-upstream'!D279</f>
        <v>Specialised service provider baling equipment</v>
      </c>
      <c r="E279" s="71" t="str">
        <f>if('source-upstream'!E279="",'schema-yn'!$A$5,vlookup('source-upstream'!E279,YN_MAP,3,FALSE))</f>
        <v>yes</v>
      </c>
      <c r="F279" s="71" t="str">
        <f>if('source-upstream'!F279="",'schema-yn'!$A$5,vlookup('source-upstream'!F279,YN_MAP,3,FALSE))</f>
        <v>not-provided</v>
      </c>
      <c r="G279" s="71" t="str">
        <f>if('source-upstream'!G279="",'schema-yn'!$A$5,vlookup('source-upstream'!G279,YN_MAP,3,FALSE))</f>
        <v>yes</v>
      </c>
      <c r="H279" s="71" t="str">
        <f>if('source-upstream'!H279="",'schema-yn'!$A$5,vlookup('source-upstream'!H279,RESILIENCE_OPTION_MAP,3,FALSE))</f>
        <v>bc-strategy</v>
      </c>
      <c r="I279" s="71" t="str">
        <f>if(iserror(vlookup('source-upstream'!I279,'data-cleansing-maps'!N$5:N$10,1,FALSE)),'source-upstream'!I279,"")</f>
        <v/>
      </c>
      <c r="J279" s="87" t="str">
        <f>'source-upstream'!J279</f>
        <v>Critical spares available, Alternative suppliers available</v>
      </c>
      <c r="K279" s="71" t="str">
        <f>if('source-upstream'!K279="",'schema-yn'!$A$5,vlookup('source-upstream'!K279,YN_MAP,3,FALSE))</f>
        <v>not-provided</v>
      </c>
      <c r="L279" s="88" t="str">
        <f>if('source-upstream'!L279="Not provided","",'source-upstream'!L279)</f>
        <v/>
      </c>
      <c r="M279" s="66" t="str">
        <f>if('source-upstream'!M279="",'schema-rv-services'!$B$26,vlookup(vlookup('source-upstream'!$M279,'analysis-rv-services'!$C:$E,3,FALSE),'schema-rv-services'!$A:$B,2, FALSE))</f>
        <v>waste-processing</v>
      </c>
      <c r="N279" s="71"/>
    </row>
    <row r="280" ht="15.0" customHeight="1">
      <c r="A280" s="86" t="str">
        <f>Substitute(SUBSTITUTE(substitute(substitute(substitute(substitute(substitute(substitute(substitute(lower('source-upstream'!A280)," ","-"),"(",""),")",""),"&gt;",""),"&lt;",""),"---","-"),".","-"),"--","-"),"&amp;","-and-")</f>
        <v>yellow-australian-magpie</v>
      </c>
      <c r="B280" s="86" t="str">
        <f>Substitute(SUBSTITUTE(substitute(substitute(substitute(substitute(substitute(substitute(substitute(lower('source-upstream'!B280)," ","-"),"(",""),")",""),"&gt;",""),"&lt;",""),"---","-"),".","-"),"--","-"),"&amp;","-and-")</f>
        <v>sleepy-fairy-penguin</v>
      </c>
      <c r="C280" s="71" t="str">
        <f>if('source-upstream'!C280="",'schema-frequency'!$B$11,vlookup('source-upstream'!C280,FREQUENCY_MAP, 3, FALSE))</f>
        <v>quarterly</v>
      </c>
      <c r="D280" s="87" t="str">
        <f>'source-upstream'!D280</f>
        <v>OEM supplier paper sorting equipment</v>
      </c>
      <c r="E280" s="71" t="str">
        <f>if('source-upstream'!E280="",'schema-yn'!$A$5,vlookup('source-upstream'!E280,YN_MAP,3,FALSE))</f>
        <v>yes</v>
      </c>
      <c r="F280" s="71" t="str">
        <f>if('source-upstream'!F280="",'schema-yn'!$A$5,vlookup('source-upstream'!F280,YN_MAP,3,FALSE))</f>
        <v>not-provided</v>
      </c>
      <c r="G280" s="71" t="str">
        <f>if('source-upstream'!G280="",'schema-yn'!$A$5,vlookup('source-upstream'!G280,YN_MAP,3,FALSE))</f>
        <v>yes</v>
      </c>
      <c r="H280" s="71" t="str">
        <f>if('source-upstream'!H280="",'schema-yn'!$A$5,vlookup('source-upstream'!H280,RESILIENCE_OPTION_MAP,3,FALSE))</f>
        <v>bc-strategy</v>
      </c>
      <c r="I280" s="71" t="str">
        <f>if(iserror(vlookup('source-upstream'!I280,'data-cleansing-maps'!N$5:N$10,1,FALSE)),'source-upstream'!I280,"")</f>
        <v/>
      </c>
      <c r="J280" s="87" t="str">
        <f>'source-upstream'!J280</f>
        <v>Critical spares available, Bypass optical sorters, add pickers</v>
      </c>
      <c r="K280" s="71" t="str">
        <f>if('source-upstream'!K280="",'schema-yn'!$A$5,vlookup('source-upstream'!K280,YN_MAP,3,FALSE))</f>
        <v>not-provided</v>
      </c>
      <c r="L280" s="88" t="str">
        <f>if('source-upstream'!L280="Not provided","",'source-upstream'!L280)</f>
        <v/>
      </c>
      <c r="M280" s="66" t="str">
        <f>if('source-upstream'!M280="",'schema-rv-services'!$B$26,vlookup(vlookup('source-upstream'!$M280,'analysis-rv-services'!$C:$E,3,FALSE),'schema-rv-services'!$A:$B,2, FALSE))</f>
        <v>waste-processing</v>
      </c>
      <c r="N280" s="71"/>
    </row>
    <row r="281" ht="15.0" customHeight="1">
      <c r="A281" s="86" t="str">
        <f>Substitute(SUBSTITUTE(substitute(substitute(substitute(substitute(substitute(substitute(substitute(lower('source-upstream'!A281)," ","-"),"(",""),")",""),"&gt;",""),"&lt;",""),"---","-"),".","-"),"--","-"),"&amp;","-and-")</f>
        <v>yellow-australian-magpie</v>
      </c>
      <c r="B281" s="86" t="str">
        <f>Substitute(SUBSTITUTE(substitute(substitute(substitute(substitute(substitute(substitute(substitute(lower('source-upstream'!B281)," ","-"),"(",""),")",""),"&gt;",""),"&lt;",""),"---","-"),".","-"),"--","-"),"&amp;","-and-")</f>
        <v>wild-wombat</v>
      </c>
      <c r="C281" s="71" t="str">
        <f>if('source-upstream'!C281="",'schema-frequency'!$B$11,vlookup('source-upstream'!C281,FREQUENCY_MAP, 3, FALSE))</f>
        <v>weekly</v>
      </c>
      <c r="D281" s="87" t="str">
        <f>'source-upstream'!D281</f>
        <v>Mobile handling equipment supplier</v>
      </c>
      <c r="E281" s="71" t="str">
        <f>if('source-upstream'!E281="",'schema-yn'!$A$5,vlookup('source-upstream'!E281,YN_MAP,3,FALSE))</f>
        <v>yes</v>
      </c>
      <c r="F281" s="71" t="str">
        <f>if('source-upstream'!F281="",'schema-yn'!$A$5,vlookup('source-upstream'!F281,YN_MAP,3,FALSE))</f>
        <v>not-provided</v>
      </c>
      <c r="G281" s="71" t="str">
        <f>if('source-upstream'!G281="",'schema-yn'!$A$5,vlookup('source-upstream'!G281,YN_MAP,3,FALSE))</f>
        <v>yes</v>
      </c>
      <c r="H281" s="71" t="str">
        <f>if('source-upstream'!H281="",'schema-yn'!$A$5,vlookup('source-upstream'!H281,RESILIENCE_OPTION_MAP,3,FALSE))</f>
        <v>bc-strategy</v>
      </c>
      <c r="I281" s="71" t="str">
        <f>if(iserror(vlookup('source-upstream'!I281,'data-cleansing-maps'!N$5:N$10,1,FALSE)),'source-upstream'!I281,"")</f>
        <v/>
      </c>
      <c r="J281" s="87" t="str">
        <f>'source-upstream'!J281</f>
        <v>Critical spares available, Alternative suppliers available</v>
      </c>
      <c r="K281" s="71" t="str">
        <f>if('source-upstream'!K281="",'schema-yn'!$A$5,vlookup('source-upstream'!K281,YN_MAP,3,FALSE))</f>
        <v>not-provided</v>
      </c>
      <c r="L281" s="88" t="str">
        <f>if('source-upstream'!L281="Not provided","",'source-upstream'!L281)</f>
        <v/>
      </c>
      <c r="M281" s="66" t="str">
        <f>if('source-upstream'!M281="",'schema-rv-services'!$B$26,vlookup(vlookup('source-upstream'!$M281,'analysis-rv-services'!$C:$E,3,FALSE),'schema-rv-services'!$A:$B,2, FALSE))</f>
        <v>plant-and-equipment</v>
      </c>
      <c r="N281" s="71"/>
    </row>
    <row r="282" ht="15.0" customHeight="1">
      <c r="A282" s="86" t="str">
        <f>Substitute(SUBSTITUTE(substitute(substitute(substitute(substitute(substitute(substitute(substitute(lower('source-upstream'!A282)," ","-"),"(",""),")",""),"&gt;",""),"&lt;",""),"---","-"),".","-"),"--","-"),"&amp;","-and-")</f>
        <v>yellow-australian-magpie</v>
      </c>
      <c r="B282" s="86" t="str">
        <f>Substitute(SUBSTITUTE(substitute(substitute(substitute(substitute(substitute(substitute(substitute(lower('source-upstream'!B282)," ","-"),"(",""),")",""),"&gt;",""),"&lt;",""),"---","-"),".","-"),"--","-"),"&amp;","-and-")</f>
        <v>tiny-platypus</v>
      </c>
      <c r="C282" s="71" t="str">
        <f>if('source-upstream'!C282="",'schema-frequency'!$B$11,vlookup('source-upstream'!C282,FREQUENCY_MAP, 3, FALSE))</f>
        <v>monthly</v>
      </c>
      <c r="D282" s="87" t="str">
        <f>'source-upstream'!D282</f>
        <v>OEM supplier plastic &amp; paper sorting equipment</v>
      </c>
      <c r="E282" s="71" t="str">
        <f>if('source-upstream'!E282="",'schema-yn'!$A$5,vlookup('source-upstream'!E282,YN_MAP,3,FALSE))</f>
        <v>yes</v>
      </c>
      <c r="F282" s="71" t="str">
        <f>if('source-upstream'!F282="",'schema-yn'!$A$5,vlookup('source-upstream'!F282,YN_MAP,3,FALSE))</f>
        <v>not-provided</v>
      </c>
      <c r="G282" s="71" t="str">
        <f>if('source-upstream'!G282="",'schema-yn'!$A$5,vlookup('source-upstream'!G282,YN_MAP,3,FALSE))</f>
        <v>yes</v>
      </c>
      <c r="H282" s="71" t="str">
        <f>if('source-upstream'!H282="",'schema-yn'!$A$5,vlookup('source-upstream'!H282,RESILIENCE_OPTION_MAP,3,FALSE))</f>
        <v>bc-strategy</v>
      </c>
      <c r="I282" s="71" t="str">
        <f>if(iserror(vlookup('source-upstream'!I282,'data-cleansing-maps'!N$5:N$10,1,FALSE)),'source-upstream'!I282,"")</f>
        <v/>
      </c>
      <c r="J282" s="87" t="str">
        <f>'source-upstream'!J282</f>
        <v>Critical spares available, Bypass optical sorters, add pickers</v>
      </c>
      <c r="K282" s="71" t="str">
        <f>if('source-upstream'!K282="",'schema-yn'!$A$5,vlookup('source-upstream'!K282,YN_MAP,3,FALSE))</f>
        <v>not-provided</v>
      </c>
      <c r="L282" s="88" t="str">
        <f>if('source-upstream'!L282="Not provided","",'source-upstream'!L282)</f>
        <v/>
      </c>
      <c r="M282" s="66" t="str">
        <f>if('source-upstream'!M282="",'schema-rv-services'!$B$26,vlookup(vlookup('source-upstream'!$M282,'analysis-rv-services'!$C:$E,3,FALSE),'schema-rv-services'!$A:$B,2, FALSE))</f>
        <v>waste-processing</v>
      </c>
      <c r="N282" s="71"/>
    </row>
    <row r="283" ht="15.0" customHeight="1">
      <c r="A283" s="86" t="str">
        <f>Substitute(SUBSTITUTE(substitute(substitute(substitute(substitute(substitute(substitute(substitute(lower('source-upstream'!A283)," ","-"),"(",""),")",""),"&gt;",""),"&lt;",""),"---","-"),".","-"),"--","-"),"&amp;","-and-")</f>
        <v>yellow-australian-magpie</v>
      </c>
      <c r="B283" s="86" t="str">
        <f>Substitute(SUBSTITUTE(substitute(substitute(substitute(substitute(substitute(substitute(substitute(lower('source-upstream'!B283)," ","-"),"(",""),")",""),"&gt;",""),"&lt;",""),"---","-"),".","-"),"--","-"),"&amp;","-and-")</f>
        <v>spotted-kangaroo</v>
      </c>
      <c r="C283" s="71" t="str">
        <f>if('source-upstream'!C283="",'schema-frequency'!$B$11,vlookup('source-upstream'!C283,FREQUENCY_MAP, 3, FALSE))</f>
        <v>monthly</v>
      </c>
      <c r="D283" s="87" t="str">
        <f>'source-upstream'!D283</f>
        <v>OEM supplier glass sorting equipment</v>
      </c>
      <c r="E283" s="71" t="str">
        <f>if('source-upstream'!E283="",'schema-yn'!$A$5,vlookup('source-upstream'!E283,YN_MAP,3,FALSE))</f>
        <v>yes</v>
      </c>
      <c r="F283" s="71" t="str">
        <f>if('source-upstream'!F283="",'schema-yn'!$A$5,vlookup('source-upstream'!F283,YN_MAP,3,FALSE))</f>
        <v>not-provided</v>
      </c>
      <c r="G283" s="71" t="str">
        <f>if('source-upstream'!G283="",'schema-yn'!$A$5,vlookup('source-upstream'!G283,YN_MAP,3,FALSE))</f>
        <v>yes</v>
      </c>
      <c r="H283" s="71" t="str">
        <f>if('source-upstream'!H283="",'schema-yn'!$A$5,vlookup('source-upstream'!H283,RESILIENCE_OPTION_MAP,3,FALSE))</f>
        <v>bc-strategy</v>
      </c>
      <c r="I283" s="71" t="str">
        <f>if(iserror(vlookup('source-upstream'!I283,'data-cleansing-maps'!N$5:N$10,1,FALSE)),'source-upstream'!I283,"")</f>
        <v/>
      </c>
      <c r="J283" s="87" t="str">
        <f>'source-upstream'!J283</f>
        <v>Bypass optical sorters</v>
      </c>
      <c r="K283" s="71" t="str">
        <f>if('source-upstream'!K283="",'schema-yn'!$A$5,vlookup('source-upstream'!K283,YN_MAP,3,FALSE))</f>
        <v>not-provided</v>
      </c>
      <c r="L283" s="88" t="str">
        <f>if('source-upstream'!L283="Not provided","",'source-upstream'!L283)</f>
        <v/>
      </c>
      <c r="M283" s="66" t="str">
        <f>if('source-upstream'!M283="",'schema-rv-services'!$B$26,vlookup(vlookup('source-upstream'!$M283,'analysis-rv-services'!$C:$E,3,FALSE),'schema-rv-services'!$A:$B,2, FALSE))</f>
        <v>plant-and-equipment</v>
      </c>
      <c r="N283" s="71"/>
    </row>
    <row r="284" ht="15.0" customHeight="1">
      <c r="A284" s="86" t="str">
        <f>Substitute(SUBSTITUTE(substitute(substitute(substitute(substitute(substitute(substitute(substitute(lower('source-upstream'!A284)," ","-"),"(",""),")",""),"&gt;",""),"&lt;",""),"---","-"),".","-"),"--","-"),"&amp;","-and-")</f>
        <v>yellow-australian-magpie</v>
      </c>
      <c r="B284" s="86" t="str">
        <f>Substitute(SUBSTITUTE(substitute(substitute(substitute(substitute(substitute(substitute(substitute(lower('source-upstream'!B284)," ","-"),"(",""),")",""),"&gt;",""),"&lt;",""),"---","-"),".","-"),"--","-"),"&amp;","-and-")</f>
        <v>noisy-redback-spider</v>
      </c>
      <c r="C284" s="71" t="str">
        <f>if('source-upstream'!C284="",'schema-frequency'!$B$11,vlookup('source-upstream'!C284,FREQUENCY_MAP, 3, FALSE))</f>
        <v>biannual</v>
      </c>
      <c r="D284" s="87" t="str">
        <f>'source-upstream'!D284</f>
        <v>OEM supplier vibration &amp; material handling equipment</v>
      </c>
      <c r="E284" s="71" t="str">
        <f>if('source-upstream'!E284="",'schema-yn'!$A$5,vlookup('source-upstream'!E284,YN_MAP,3,FALSE))</f>
        <v>yes</v>
      </c>
      <c r="F284" s="71" t="str">
        <f>if('source-upstream'!F284="",'schema-yn'!$A$5,vlookup('source-upstream'!F284,YN_MAP,3,FALSE))</f>
        <v>not-provided</v>
      </c>
      <c r="G284" s="71" t="str">
        <f>if('source-upstream'!G284="",'schema-yn'!$A$5,vlookup('source-upstream'!G284,YN_MAP,3,FALSE))</f>
        <v>yes</v>
      </c>
      <c r="H284" s="71" t="str">
        <f>if('source-upstream'!H284="",'schema-yn'!$A$5,vlookup('source-upstream'!H284,RESILIENCE_OPTION_MAP,3,FALSE))</f>
        <v>bc-strategy</v>
      </c>
      <c r="I284" s="71" t="str">
        <f>if(iserror(vlookup('source-upstream'!I284,'data-cleansing-maps'!N$5:N$10,1,FALSE)),'source-upstream'!I284,"")</f>
        <v/>
      </c>
      <c r="J284" s="87" t="str">
        <f>'source-upstream'!J284</f>
        <v>Alternative suppliers available</v>
      </c>
      <c r="K284" s="71" t="str">
        <f>if('source-upstream'!K284="",'schema-yn'!$A$5,vlookup('source-upstream'!K284,YN_MAP,3,FALSE))</f>
        <v>not-provided</v>
      </c>
      <c r="L284" s="88" t="str">
        <f>if('source-upstream'!L284="Not provided","",'source-upstream'!L284)</f>
        <v/>
      </c>
      <c r="M284" s="66" t="str">
        <f>if('source-upstream'!M284="",'schema-rv-services'!$B$26,vlookup(vlookup('source-upstream'!$M284,'analysis-rv-services'!$C:$E,3,FALSE),'schema-rv-services'!$A:$B,2, FALSE))</f>
        <v>plant-and-equipment</v>
      </c>
      <c r="N284" s="71"/>
    </row>
    <row r="285" ht="15.0" customHeight="1">
      <c r="A285" s="89" t="str">
        <f>Substitute(SUBSTITUTE(substitute(substitute(substitute(substitute(substitute(substitute(substitute(lower('source-upstream'!A285)," ","-"),"(",""),")",""),"&gt;",""),"&lt;",""),"---","-"),".","-"),"--","-"),"&amp;","-and-")</f>
        <v>yellow-australian-magpie</v>
      </c>
      <c r="B285" s="89" t="str">
        <f>Substitute(SUBSTITUTE(substitute(substitute(substitute(substitute(substitute(substitute(substitute(lower('source-upstream'!B285)," ","-"),"(",""),")",""),"&gt;",""),"&lt;",""),"---","-"),".","-"),"--","-"),"&amp;","-and-")</f>
        <v>clever-bush-stone-curlew</v>
      </c>
      <c r="C285" s="90" t="str">
        <f>if('source-upstream'!C285="",'schema-frequency'!$B$11,vlookup('source-upstream'!C285,FREQUENCY_MAP, 3, FALSE))</f>
        <v>biannual</v>
      </c>
      <c r="D285" s="91" t="str">
        <f>'source-upstream'!D285</f>
        <v>OEM supplier vibration &amp; material handling equipment</v>
      </c>
      <c r="E285" s="90" t="str">
        <f>if('source-upstream'!E285="",'schema-yn'!$A$5,vlookup('source-upstream'!E285,YN_MAP,3,FALSE))</f>
        <v>yes</v>
      </c>
      <c r="F285" s="90" t="str">
        <f>if('source-upstream'!F285="",'schema-yn'!$A$5,vlookup('source-upstream'!F285,YN_MAP,3,FALSE))</f>
        <v>not-provided</v>
      </c>
      <c r="G285" s="90" t="str">
        <f>if('source-upstream'!G285="",'schema-yn'!$A$5,vlookup('source-upstream'!G285,YN_MAP,3,FALSE))</f>
        <v>yes</v>
      </c>
      <c r="H285" s="90" t="str">
        <f>if('source-upstream'!H285="",'schema-yn'!$A$5,vlookup('source-upstream'!H285,RESILIENCE_OPTION_MAP,3,FALSE))</f>
        <v>bc-strategy</v>
      </c>
      <c r="I285" s="90" t="str">
        <f>if(iserror(vlookup('source-upstream'!I285,'data-cleansing-maps'!N$5:N$10,1,FALSE)),'source-upstream'!I285,"")</f>
        <v/>
      </c>
      <c r="J285" s="91" t="str">
        <f>'source-upstream'!J285</f>
        <v>Alternative suppliers available</v>
      </c>
      <c r="K285" s="90" t="str">
        <f>if('source-upstream'!K285="",'schema-yn'!$A$5,vlookup('source-upstream'!K285,YN_MAP,3,FALSE))</f>
        <v>not-provided</v>
      </c>
      <c r="L285" s="92" t="str">
        <f>if('source-upstream'!L285="Not provided","",'source-upstream'!L285)</f>
        <v/>
      </c>
      <c r="M285" s="66" t="str">
        <f>if('source-upstream'!M285="",'schema-rv-services'!$B$26,vlookup(vlookup('source-upstream'!$M285,'analysis-rv-services'!$C:$E,3,FALSE),'schema-rv-services'!$A:$B,2, FALSE))</f>
        <v>plant-and-equipment</v>
      </c>
      <c r="N285" s="90"/>
    </row>
  </sheetData>
  <autoFilter ref="$A$1:$N$2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1.0"/>
    <col customWidth="1" min="3" max="3" width="20.38"/>
    <col customWidth="1" min="4" max="4" width="4.63"/>
    <col customWidth="1" min="5" max="5" width="23.0"/>
    <col customWidth="1" min="6" max="11" width="4.13"/>
    <col customWidth="1" min="12" max="12" width="0.38"/>
    <col customWidth="1" min="13" max="13" width="29.38"/>
    <col customWidth="1" min="14" max="14" width="19.38"/>
  </cols>
  <sheetData>
    <row r="1" ht="30.0" customHeight="1">
      <c r="A1" s="60" t="s">
        <v>569</v>
      </c>
      <c r="B1" s="60" t="s">
        <v>568</v>
      </c>
      <c r="C1" s="60" t="s">
        <v>570</v>
      </c>
      <c r="D1" s="61" t="s">
        <v>571</v>
      </c>
      <c r="E1" s="60" t="s">
        <v>572</v>
      </c>
      <c r="F1" s="61" t="s">
        <v>608</v>
      </c>
      <c r="G1" s="61" t="s">
        <v>609</v>
      </c>
      <c r="H1" s="61" t="s">
        <v>610</v>
      </c>
      <c r="I1" s="61" t="s">
        <v>611</v>
      </c>
      <c r="J1" s="61" t="s">
        <v>612</v>
      </c>
      <c r="K1" s="61" t="s">
        <v>613</v>
      </c>
      <c r="L1" s="61" t="s">
        <v>614</v>
      </c>
      <c r="M1" s="60" t="s">
        <v>615</v>
      </c>
      <c r="N1" s="60"/>
    </row>
    <row r="2">
      <c r="A2" s="63" t="s">
        <v>27</v>
      </c>
      <c r="B2" s="62" t="str">
        <f t="shared" ref="B2:B25" si="1">Substitute(SUBSTITUTE(substitute(substitute(substitute(substitute(substitute(substitute(substitute(lower(A2)," ","-"),"(",""),")",""),"&gt;",""),"&lt;",""),"---","-"),".","-"),"--","-"),"&amp;","-and-")</f>
        <v>blue-lyrebird</v>
      </c>
      <c r="C2" s="64" t="str">
        <f t="shared" ref="C2:C25" si="2">A2</f>
        <v>Blue Lyrebird</v>
      </c>
      <c r="D2" s="64" t="str">
        <f>IFERROR(__xludf.DUMMYFUNCTION("TEXTJOIN("""", TRUE, ARRAYFORMULA(LEFT(SPLIT(C2, "" ""),1)))"),"BL")</f>
        <v>BL</v>
      </c>
      <c r="E2" s="65"/>
      <c r="F2" s="66" t="s">
        <v>576</v>
      </c>
      <c r="G2" s="66"/>
      <c r="H2" s="66"/>
      <c r="I2" s="66"/>
      <c r="J2" s="66"/>
      <c r="K2" s="66"/>
      <c r="L2" s="66"/>
      <c r="M2" s="66" t="s">
        <v>575</v>
      </c>
      <c r="N2" s="6"/>
    </row>
    <row r="3">
      <c r="A3" s="68" t="s">
        <v>53</v>
      </c>
      <c r="B3" s="67" t="str">
        <f t="shared" si="1"/>
        <v>clever-frilled-neck-lizard</v>
      </c>
      <c r="C3" s="69" t="str">
        <f t="shared" si="2"/>
        <v>Clever Frilled Neck Lizard</v>
      </c>
      <c r="D3" s="69" t="str">
        <f>IFERROR(__xludf.DUMMYFUNCTION("TEXTJOIN("""", TRUE, ARRAYFORMULA(LEFT(SPLIT(C3, "" ""),1)))"),"CFNL")</f>
        <v>CFNL</v>
      </c>
      <c r="E3" s="70"/>
      <c r="F3" s="66" t="s">
        <v>576</v>
      </c>
      <c r="G3" s="66"/>
      <c r="H3" s="66"/>
      <c r="I3" s="66"/>
      <c r="J3" s="66"/>
      <c r="K3" s="66"/>
      <c r="L3" s="66"/>
      <c r="M3" s="71" t="s">
        <v>577</v>
      </c>
      <c r="N3" s="6"/>
    </row>
    <row r="4">
      <c r="A4" s="68" t="s">
        <v>88</v>
      </c>
      <c r="B4" s="67" t="str">
        <f t="shared" si="1"/>
        <v>fuzzy-perentie</v>
      </c>
      <c r="C4" s="69" t="str">
        <f t="shared" si="2"/>
        <v>Fuzzy Perentie</v>
      </c>
      <c r="D4" s="69" t="str">
        <f>IFERROR(__xludf.DUMMYFUNCTION("TEXTJOIN("""", TRUE, ARRAYFORMULA(LEFT(SPLIT(C4, "" ""),1)))"),"FP")</f>
        <v>FP</v>
      </c>
      <c r="E4" s="70"/>
      <c r="F4" s="66" t="s">
        <v>576</v>
      </c>
      <c r="G4" s="66"/>
      <c r="H4" s="66"/>
      <c r="I4" s="66"/>
      <c r="J4" s="66"/>
      <c r="K4" s="66"/>
      <c r="L4" s="66"/>
      <c r="M4" s="71" t="s">
        <v>578</v>
      </c>
      <c r="N4" s="6"/>
    </row>
    <row r="5">
      <c r="A5" s="68" t="s">
        <v>47</v>
      </c>
      <c r="B5" s="67" t="str">
        <f t="shared" si="1"/>
        <v>fuzzy-sugar-glider</v>
      </c>
      <c r="C5" s="69" t="str">
        <f t="shared" si="2"/>
        <v>Fuzzy Sugar Glider</v>
      </c>
      <c r="D5" s="69" t="str">
        <f>IFERROR(__xludf.DUMMYFUNCTION("TEXTJOIN("""", TRUE, ARRAYFORMULA(LEFT(SPLIT(C5, "" ""),1)))"),"FSG")</f>
        <v>FSG</v>
      </c>
      <c r="E5" s="70"/>
      <c r="F5" s="66" t="s">
        <v>576</v>
      </c>
      <c r="G5" s="66"/>
      <c r="H5" s="66"/>
      <c r="I5" s="66"/>
      <c r="J5" s="66"/>
      <c r="K5" s="66"/>
      <c r="L5" s="66"/>
      <c r="M5" s="66" t="s">
        <v>579</v>
      </c>
      <c r="N5" s="6"/>
    </row>
    <row r="6">
      <c r="A6" s="68" t="s">
        <v>118</v>
      </c>
      <c r="B6" s="67" t="str">
        <f t="shared" si="1"/>
        <v>golden-possum</v>
      </c>
      <c r="C6" s="69" t="str">
        <f t="shared" si="2"/>
        <v>Golden Possum</v>
      </c>
      <c r="D6" s="69" t="str">
        <f>IFERROR(__xludf.DUMMYFUNCTION("TEXTJOIN("""", TRUE, ARRAYFORMULA(LEFT(SPLIT(C6, "" ""),1)))"),"GP")</f>
        <v>GP</v>
      </c>
      <c r="E6" s="70"/>
      <c r="F6" s="66" t="s">
        <v>576</v>
      </c>
      <c r="G6" s="66"/>
      <c r="H6" s="66"/>
      <c r="I6" s="66"/>
      <c r="J6" s="66"/>
      <c r="K6" s="66"/>
      <c r="L6" s="66"/>
      <c r="M6" s="71" t="s">
        <v>580</v>
      </c>
      <c r="N6" s="93"/>
    </row>
    <row r="7">
      <c r="A7" s="68" t="s">
        <v>129</v>
      </c>
      <c r="B7" s="67" t="str">
        <f t="shared" si="1"/>
        <v>lazy-lyrebird</v>
      </c>
      <c r="C7" s="69" t="str">
        <f t="shared" si="2"/>
        <v>Lazy Lyrebird</v>
      </c>
      <c r="D7" s="69" t="str">
        <f>IFERROR(__xludf.DUMMYFUNCTION("TEXTJOIN("""", TRUE, ARRAYFORMULA(LEFT(SPLIT(C7, "" ""),1)))"),"LL")</f>
        <v>LL</v>
      </c>
      <c r="E7" s="70"/>
      <c r="F7" s="66" t="s">
        <v>576</v>
      </c>
      <c r="G7" s="66"/>
      <c r="H7" s="66"/>
      <c r="I7" s="66"/>
      <c r="J7" s="66"/>
      <c r="K7" s="66"/>
      <c r="L7" s="66"/>
      <c r="M7" s="71" t="s">
        <v>581</v>
      </c>
      <c r="N7" s="93"/>
    </row>
    <row r="8">
      <c r="A8" s="68" t="s">
        <v>155</v>
      </c>
      <c r="B8" s="67" t="str">
        <f t="shared" si="1"/>
        <v>lazy-sugar-glider</v>
      </c>
      <c r="C8" s="69" t="str">
        <f t="shared" si="2"/>
        <v>Lazy Sugar Glider</v>
      </c>
      <c r="D8" s="69" t="str">
        <f>IFERROR(__xludf.DUMMYFUNCTION("TEXTJOIN("""", TRUE, ARRAYFORMULA(LEFT(SPLIT(C8, "" ""),1)))"),"LSG")</f>
        <v>LSG</v>
      </c>
      <c r="E8" s="70"/>
      <c r="F8" s="66" t="s">
        <v>576</v>
      </c>
      <c r="G8" s="66"/>
      <c r="H8" s="66"/>
      <c r="I8" s="66"/>
      <c r="J8" s="66"/>
      <c r="K8" s="66"/>
      <c r="L8" s="66"/>
      <c r="M8" s="71" t="s">
        <v>582</v>
      </c>
      <c r="N8" s="93"/>
    </row>
    <row r="9">
      <c r="A9" s="68" t="s">
        <v>200</v>
      </c>
      <c r="B9" s="67" t="str">
        <f t="shared" si="1"/>
        <v>noisy-dingo</v>
      </c>
      <c r="C9" s="69" t="str">
        <f t="shared" si="2"/>
        <v>Noisy Dingo</v>
      </c>
      <c r="D9" s="69" t="str">
        <f>IFERROR(__xludf.DUMMYFUNCTION("TEXTJOIN("""", TRUE, ARRAYFORMULA(LEFT(SPLIT(C9, "" ""),1)))"),"ND")</f>
        <v>ND</v>
      </c>
      <c r="E9" s="70"/>
      <c r="F9" s="66" t="s">
        <v>576</v>
      </c>
      <c r="G9" s="66"/>
      <c r="H9" s="66"/>
      <c r="I9" s="66"/>
      <c r="J9" s="66"/>
      <c r="K9" s="66"/>
      <c r="L9" s="66"/>
      <c r="M9" s="71" t="s">
        <v>583</v>
      </c>
      <c r="N9" s="93"/>
    </row>
    <row r="10">
      <c r="A10" s="68" t="s">
        <v>212</v>
      </c>
      <c r="B10" s="67" t="str">
        <f t="shared" si="1"/>
        <v>noisy-quokka</v>
      </c>
      <c r="C10" s="69" t="str">
        <f t="shared" si="2"/>
        <v>Noisy Quokka</v>
      </c>
      <c r="D10" s="69" t="str">
        <f>IFERROR(__xludf.DUMMYFUNCTION("TEXTJOIN("""", TRUE, ARRAYFORMULA(LEFT(SPLIT(C10, "" ""),1)))"),"NQ")</f>
        <v>NQ</v>
      </c>
      <c r="E10" s="70"/>
      <c r="F10" s="66" t="s">
        <v>576</v>
      </c>
      <c r="G10" s="66"/>
      <c r="H10" s="66"/>
      <c r="I10" s="66"/>
      <c r="J10" s="66"/>
      <c r="K10" s="66"/>
      <c r="L10" s="66"/>
      <c r="M10" s="71" t="s">
        <v>584</v>
      </c>
      <c r="N10" s="93"/>
    </row>
    <row r="11">
      <c r="A11" s="68" t="s">
        <v>232</v>
      </c>
      <c r="B11" s="67" t="str">
        <f t="shared" si="1"/>
        <v>red-lyrebird</v>
      </c>
      <c r="C11" s="69" t="str">
        <f t="shared" si="2"/>
        <v>Red Lyrebird</v>
      </c>
      <c r="D11" s="69" t="str">
        <f>IFERROR(__xludf.DUMMYFUNCTION("TEXTJOIN("""", TRUE, ARRAYFORMULA(LEFT(SPLIT(C11, "" ""),1)))"),"RL")</f>
        <v>RL</v>
      </c>
      <c r="E11" s="70"/>
      <c r="F11" s="66" t="s">
        <v>576</v>
      </c>
      <c r="G11" s="66"/>
      <c r="H11" s="66"/>
      <c r="I11" s="66"/>
      <c r="J11" s="66"/>
      <c r="K11" s="66"/>
      <c r="L11" s="66"/>
      <c r="M11" s="71" t="s">
        <v>581</v>
      </c>
      <c r="N11" s="93"/>
    </row>
    <row r="12">
      <c r="A12" s="68" t="s">
        <v>245</v>
      </c>
      <c r="B12" s="67" t="str">
        <f t="shared" si="1"/>
        <v>red-possum</v>
      </c>
      <c r="C12" s="69" t="str">
        <f t="shared" si="2"/>
        <v>Red Possum</v>
      </c>
      <c r="D12" s="69" t="str">
        <f>IFERROR(__xludf.DUMMYFUNCTION("TEXTJOIN("""", TRUE, ARRAYFORMULA(LEFT(SPLIT(C12, "" ""),1)))"),"RP")</f>
        <v>RP</v>
      </c>
      <c r="E12" s="70"/>
      <c r="F12" s="66" t="s">
        <v>576</v>
      </c>
      <c r="G12" s="66"/>
      <c r="H12" s="66"/>
      <c r="I12" s="66"/>
      <c r="J12" s="66"/>
      <c r="K12" s="66"/>
      <c r="L12" s="66"/>
      <c r="M12" s="71" t="s">
        <v>585</v>
      </c>
      <c r="N12" s="93"/>
    </row>
    <row r="13">
      <c r="A13" s="68" t="s">
        <v>211</v>
      </c>
      <c r="B13" s="67" t="str">
        <f t="shared" si="1"/>
        <v>silent-rosella</v>
      </c>
      <c r="C13" s="69" t="str">
        <f t="shared" si="2"/>
        <v>Silent Rosella</v>
      </c>
      <c r="D13" s="69" t="str">
        <f>IFERROR(__xludf.DUMMYFUNCTION("TEXTJOIN("""", TRUE, ARRAYFORMULA(LEFT(SPLIT(C13, "" ""),1)))"),"SR")</f>
        <v>SR</v>
      </c>
      <c r="E13" s="70"/>
      <c r="F13" s="66" t="s">
        <v>576</v>
      </c>
      <c r="G13" s="66"/>
      <c r="H13" s="66"/>
      <c r="I13" s="66"/>
      <c r="J13" s="66"/>
      <c r="K13" s="66"/>
      <c r="L13" s="66"/>
      <c r="M13" s="71" t="s">
        <v>583</v>
      </c>
      <c r="N13" s="93"/>
    </row>
    <row r="14">
      <c r="A14" s="68" t="s">
        <v>281</v>
      </c>
      <c r="B14" s="67" t="str">
        <f t="shared" si="1"/>
        <v>spotted-cockatoo</v>
      </c>
      <c r="C14" s="69" t="str">
        <f t="shared" si="2"/>
        <v>Spotted Cockatoo</v>
      </c>
      <c r="D14" s="69" t="str">
        <f>IFERROR(__xludf.DUMMYFUNCTION("TEXTJOIN("""", TRUE, ARRAYFORMULA(LEFT(SPLIT(C14, "" ""),1)))"),"SC")</f>
        <v>SC</v>
      </c>
      <c r="E14" s="70"/>
      <c r="F14" s="66" t="s">
        <v>576</v>
      </c>
      <c r="G14" s="66"/>
      <c r="H14" s="66"/>
      <c r="I14" s="66"/>
      <c r="J14" s="66"/>
      <c r="K14" s="66"/>
      <c r="L14" s="66"/>
      <c r="M14" s="71" t="s">
        <v>586</v>
      </c>
      <c r="N14" s="93"/>
    </row>
    <row r="15">
      <c r="A15" s="68" t="s">
        <v>230</v>
      </c>
      <c r="B15" s="67" t="str">
        <f t="shared" si="1"/>
        <v>spotted-koala</v>
      </c>
      <c r="C15" s="69" t="str">
        <f t="shared" si="2"/>
        <v>Spotted Koala</v>
      </c>
      <c r="D15" s="69" t="str">
        <f>IFERROR(__xludf.DUMMYFUNCTION("TEXTJOIN("""", TRUE, ARRAYFORMULA(LEFT(SPLIT(C15, "" ""),1)))"),"SK")</f>
        <v>SK</v>
      </c>
      <c r="E15" s="70"/>
      <c r="F15" s="66" t="s">
        <v>576</v>
      </c>
      <c r="G15" s="66"/>
      <c r="H15" s="66"/>
      <c r="I15" s="66"/>
      <c r="J15" s="66"/>
      <c r="K15" s="66"/>
      <c r="L15" s="66"/>
      <c r="M15" s="71" t="s">
        <v>587</v>
      </c>
      <c r="N15" s="93"/>
    </row>
    <row r="16">
      <c r="A16" s="68" t="s">
        <v>208</v>
      </c>
      <c r="B16" s="67" t="str">
        <f t="shared" si="1"/>
        <v>striped-frilled-neck-lizard</v>
      </c>
      <c r="C16" s="69" t="str">
        <f t="shared" si="2"/>
        <v>Striped Frilled Neck Lizard</v>
      </c>
      <c r="D16" s="69" t="str">
        <f>IFERROR(__xludf.DUMMYFUNCTION("TEXTJOIN("""", TRUE, ARRAYFORMULA(LEFT(SPLIT(C16, "" ""),1)))"),"SFNL")</f>
        <v>SFNL</v>
      </c>
      <c r="E16" s="70"/>
      <c r="F16" s="66" t="s">
        <v>576</v>
      </c>
      <c r="G16" s="66"/>
      <c r="H16" s="66"/>
      <c r="I16" s="66"/>
      <c r="J16" s="66"/>
      <c r="K16" s="66"/>
      <c r="L16" s="66"/>
      <c r="M16" s="71" t="s">
        <v>583</v>
      </c>
      <c r="N16" s="93"/>
    </row>
    <row r="17">
      <c r="A17" s="68" t="s">
        <v>312</v>
      </c>
      <c r="B17" s="67" t="str">
        <f t="shared" si="1"/>
        <v>striped-koala</v>
      </c>
      <c r="C17" s="69" t="str">
        <f t="shared" si="2"/>
        <v>Striped Koala</v>
      </c>
      <c r="D17" s="69" t="str">
        <f>IFERROR(__xludf.DUMMYFUNCTION("TEXTJOIN("""", TRUE, ARRAYFORMULA(LEFT(SPLIT(C17, "" ""),1)))"),"SK")</f>
        <v>SK</v>
      </c>
      <c r="E17" s="70"/>
      <c r="F17" s="66" t="s">
        <v>576</v>
      </c>
      <c r="G17" s="66"/>
      <c r="H17" s="66"/>
      <c r="I17" s="66"/>
      <c r="J17" s="66"/>
      <c r="K17" s="66"/>
      <c r="L17" s="66"/>
      <c r="M17" s="71" t="s">
        <v>588</v>
      </c>
      <c r="N17" s="93"/>
    </row>
    <row r="18">
      <c r="A18" s="68" t="s">
        <v>283</v>
      </c>
      <c r="B18" s="67" t="str">
        <f t="shared" si="1"/>
        <v>swift-blue-tongue-skink</v>
      </c>
      <c r="C18" s="69" t="str">
        <f t="shared" si="2"/>
        <v>Swift Blue-tongue Skink</v>
      </c>
      <c r="D18" s="69" t="str">
        <f>IFERROR(__xludf.DUMMYFUNCTION("TEXTJOIN("""", TRUE, ARRAYFORMULA(LEFT(SPLIT(C18, "" ""),1)))"),"SBS")</f>
        <v>SBS</v>
      </c>
      <c r="E18" s="70"/>
      <c r="F18" s="66" t="s">
        <v>576</v>
      </c>
      <c r="G18" s="66"/>
      <c r="H18" s="66"/>
      <c r="I18" s="66"/>
      <c r="J18" s="66"/>
      <c r="K18" s="66"/>
      <c r="L18" s="66"/>
      <c r="M18" s="71" t="s">
        <v>589</v>
      </c>
      <c r="N18" s="93"/>
    </row>
    <row r="19">
      <c r="A19" s="68" t="s">
        <v>331</v>
      </c>
      <c r="B19" s="67" t="str">
        <f t="shared" si="1"/>
        <v>tiny-platypus</v>
      </c>
      <c r="C19" s="69" t="str">
        <f t="shared" si="2"/>
        <v>Tiny Platypus</v>
      </c>
      <c r="D19" s="69" t="str">
        <f>IFERROR(__xludf.DUMMYFUNCTION("TEXTJOIN("""", TRUE, ARRAYFORMULA(LEFT(SPLIT(C19, "" ""),1)))"),"TP")</f>
        <v>TP</v>
      </c>
      <c r="E19" s="70"/>
      <c r="F19" s="66" t="s">
        <v>576</v>
      </c>
      <c r="G19" s="66"/>
      <c r="H19" s="66"/>
      <c r="I19" s="66"/>
      <c r="J19" s="66"/>
      <c r="K19" s="66"/>
      <c r="L19" s="66"/>
      <c r="M19" s="71" t="s">
        <v>586</v>
      </c>
      <c r="N19" s="93"/>
    </row>
    <row r="20">
      <c r="A20" s="68" t="s">
        <v>337</v>
      </c>
      <c r="B20" s="67" t="str">
        <f t="shared" si="1"/>
        <v>wild-cassowary</v>
      </c>
      <c r="C20" s="69" t="str">
        <f t="shared" si="2"/>
        <v>Wild Cassowary</v>
      </c>
      <c r="D20" s="69" t="str">
        <f>IFERROR(__xludf.DUMMYFUNCTION("TEXTJOIN("""", TRUE, ARRAYFORMULA(LEFT(SPLIT(C20, "" ""),1)))"),"WC")</f>
        <v>WC</v>
      </c>
      <c r="E20" s="70"/>
      <c r="F20" s="66" t="s">
        <v>576</v>
      </c>
      <c r="G20" s="66"/>
      <c r="H20" s="66"/>
      <c r="I20" s="66"/>
      <c r="J20" s="66"/>
      <c r="K20" s="66"/>
      <c r="L20" s="66"/>
      <c r="M20" s="71" t="s">
        <v>590</v>
      </c>
      <c r="N20" s="93"/>
    </row>
    <row r="21">
      <c r="A21" s="68" t="s">
        <v>351</v>
      </c>
      <c r="B21" s="67" t="str">
        <f t="shared" si="1"/>
        <v>wild-kangaroo</v>
      </c>
      <c r="C21" s="69" t="str">
        <f t="shared" si="2"/>
        <v>Wild Kangaroo</v>
      </c>
      <c r="D21" s="69" t="str">
        <f>IFERROR(__xludf.DUMMYFUNCTION("TEXTJOIN("""", TRUE, ARRAYFORMULA(LEFT(SPLIT(C21, "" ""),1)))"),"WK")</f>
        <v>WK</v>
      </c>
      <c r="E21" s="70"/>
      <c r="F21" s="66" t="s">
        <v>576</v>
      </c>
      <c r="G21" s="66"/>
      <c r="H21" s="66"/>
      <c r="I21" s="66"/>
      <c r="J21" s="66"/>
      <c r="K21" s="66"/>
      <c r="L21" s="66"/>
      <c r="M21" s="71" t="s">
        <v>577</v>
      </c>
      <c r="N21" s="93"/>
    </row>
    <row r="22">
      <c r="A22" s="68" t="s">
        <v>52</v>
      </c>
      <c r="B22" s="67" t="str">
        <f t="shared" si="1"/>
        <v>wild-numbat</v>
      </c>
      <c r="C22" s="69" t="str">
        <f t="shared" si="2"/>
        <v>Wild Numbat</v>
      </c>
      <c r="D22" s="69" t="str">
        <f>IFERROR(__xludf.DUMMYFUNCTION("TEXTJOIN("""", TRUE, ARRAYFORMULA(LEFT(SPLIT(C22, "" ""),1)))"),"WN")</f>
        <v>WN</v>
      </c>
      <c r="E22" s="70"/>
      <c r="F22" s="66" t="s">
        <v>576</v>
      </c>
      <c r="G22" s="66"/>
      <c r="H22" s="66"/>
      <c r="I22" s="66"/>
      <c r="J22" s="66"/>
      <c r="K22" s="66"/>
      <c r="L22" s="66"/>
      <c r="M22" s="71" t="s">
        <v>577</v>
      </c>
      <c r="N22" s="93"/>
    </row>
    <row r="23">
      <c r="A23" s="68" t="s">
        <v>231</v>
      </c>
      <c r="B23" s="67" t="str">
        <f t="shared" si="1"/>
        <v>wild-possum</v>
      </c>
      <c r="C23" s="69" t="str">
        <f t="shared" si="2"/>
        <v>Wild Possum</v>
      </c>
      <c r="D23" s="69" t="str">
        <f>IFERROR(__xludf.DUMMYFUNCTION("TEXTJOIN("""", TRUE, ARRAYFORMULA(LEFT(SPLIT(C23, "" ""),1)))"),"WP")</f>
        <v>WP</v>
      </c>
      <c r="E23" s="70"/>
      <c r="F23" s="66" t="s">
        <v>576</v>
      </c>
      <c r="G23" s="66"/>
      <c r="H23" s="66"/>
      <c r="I23" s="66"/>
      <c r="J23" s="66"/>
      <c r="K23" s="66"/>
      <c r="L23" s="66"/>
      <c r="M23" s="71" t="s">
        <v>591</v>
      </c>
      <c r="N23" s="93"/>
    </row>
    <row r="24">
      <c r="A24" s="68" t="s">
        <v>374</v>
      </c>
      <c r="B24" s="67" t="str">
        <f t="shared" si="1"/>
        <v>wild-tasmanian-devil</v>
      </c>
      <c r="C24" s="69" t="str">
        <f t="shared" si="2"/>
        <v>Wild Tasmanian Devil</v>
      </c>
      <c r="D24" s="69" t="str">
        <f>IFERROR(__xludf.DUMMYFUNCTION("TEXTJOIN("""", TRUE, ARRAYFORMULA(LEFT(SPLIT(C24, "" ""),1)))"),"WTD")</f>
        <v>WTD</v>
      </c>
      <c r="E24" s="70"/>
      <c r="F24" s="66" t="s">
        <v>576</v>
      </c>
      <c r="G24" s="66"/>
      <c r="H24" s="66"/>
      <c r="I24" s="66"/>
      <c r="J24" s="66"/>
      <c r="K24" s="66"/>
      <c r="L24" s="66"/>
      <c r="M24" s="71" t="s">
        <v>586</v>
      </c>
      <c r="N24" s="93"/>
    </row>
    <row r="25">
      <c r="A25" s="94" t="s">
        <v>44</v>
      </c>
      <c r="B25" s="95" t="str">
        <f t="shared" si="1"/>
        <v>yellow-australian-magpie</v>
      </c>
      <c r="C25" s="81" t="str">
        <f t="shared" si="2"/>
        <v>Yellow Australian Magpie</v>
      </c>
      <c r="D25" s="81" t="str">
        <f>IFERROR(__xludf.DUMMYFUNCTION("TEXTJOIN("""", TRUE, ARRAYFORMULA(LEFT(SPLIT(C25, "" ""),1)))"),"YAM")</f>
        <v>YAM</v>
      </c>
      <c r="E25" s="96"/>
      <c r="F25" s="5" t="s">
        <v>576</v>
      </c>
      <c r="G25" s="5"/>
      <c r="H25" s="5"/>
      <c r="I25" s="5"/>
      <c r="J25" s="5"/>
      <c r="K25" s="5"/>
      <c r="L25" s="5"/>
      <c r="M25" s="66" t="s">
        <v>592</v>
      </c>
      <c r="N25" s="9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17.38"/>
    <col customWidth="1" min="3" max="3" width="18.63"/>
    <col customWidth="1" min="4" max="4" width="9.0"/>
    <col customWidth="1" min="5" max="5" width="19.63"/>
    <col customWidth="1" min="6" max="12" width="4.5"/>
    <col customWidth="1" min="13" max="13" width="20.13"/>
  </cols>
  <sheetData>
    <row r="1">
      <c r="A1" s="97" t="s">
        <v>569</v>
      </c>
      <c r="B1" s="97" t="s">
        <v>568</v>
      </c>
      <c r="C1" s="97" t="s">
        <v>570</v>
      </c>
      <c r="D1" s="97" t="s">
        <v>571</v>
      </c>
      <c r="E1" s="97" t="s">
        <v>572</v>
      </c>
      <c r="F1" s="98" t="s">
        <v>608</v>
      </c>
      <c r="G1" s="98" t="s">
        <v>609</v>
      </c>
      <c r="H1" s="98" t="s">
        <v>610</v>
      </c>
      <c r="I1" s="98" t="s">
        <v>611</v>
      </c>
      <c r="J1" s="98" t="s">
        <v>612</v>
      </c>
      <c r="K1" s="98" t="s">
        <v>613</v>
      </c>
      <c r="L1" s="98" t="s">
        <v>614</v>
      </c>
      <c r="M1" s="97" t="s">
        <v>616</v>
      </c>
    </row>
    <row r="2" ht="18.0" customHeight="1">
      <c r="A2" s="99" t="str">
        <f>'analysis _non-RE-nodes'!A4</f>
        <v>Blue Bandicoot</v>
      </c>
      <c r="B2" s="77" t="str">
        <f t="shared" ref="B2:B219" si="1">Substitute(SUBSTITUTE(substitute(substitute(substitute(substitute(substitute(substitute(substitute(lower(A2)," ","-"),"(",""),")",""),"&gt;",""),"&lt;",""),"---","-"),".","-"),"--","-"),"&amp;","-and-")</f>
        <v>blue-bandicoot</v>
      </c>
      <c r="C2" s="100" t="str">
        <f>'analysis _non-RE-nodes'!A4</f>
        <v>Blue Bandicoot</v>
      </c>
      <c r="D2" s="100" t="str">
        <f>IFERROR(__xludf.DUMMYFUNCTION("TEXTJOIN("""", TRUE, ARRAYFORMULA(LEFT(SPLIT(C2, "" ""),1)))"),"BB")</f>
        <v>BB</v>
      </c>
      <c r="E2" s="101"/>
      <c r="F2" s="101" t="s">
        <v>593</v>
      </c>
      <c r="G2" s="102"/>
      <c r="H2" s="102"/>
      <c r="I2" s="102"/>
      <c r="J2" s="102"/>
      <c r="K2" s="102"/>
      <c r="L2" s="102"/>
      <c r="M2" s="103"/>
    </row>
    <row r="3" ht="18.0" customHeight="1">
      <c r="A3" s="104" t="str">
        <f>'analysis _non-RE-nodes'!A5</f>
        <v>Blue Bush Stone-curlew</v>
      </c>
      <c r="B3" s="79" t="str">
        <f t="shared" si="1"/>
        <v>blue-bush-stone-curlew</v>
      </c>
      <c r="C3" s="105" t="str">
        <f t="shared" ref="C3:C219" si="2">A3</f>
        <v>Blue Bush Stone-curlew</v>
      </c>
      <c r="D3" s="105" t="str">
        <f>IFERROR(__xludf.DUMMYFUNCTION("TEXTJOIN("""", TRUE, ARRAYFORMULA(LEFT(SPLIT(C3, "" ""),1)))"),"BBS")</f>
        <v>BBS</v>
      </c>
      <c r="E3" s="101"/>
      <c r="F3" s="101" t="s">
        <v>593</v>
      </c>
      <c r="G3" s="102"/>
      <c r="H3" s="102"/>
      <c r="I3" s="102"/>
      <c r="J3" s="102"/>
      <c r="K3" s="102"/>
      <c r="L3" s="102"/>
      <c r="M3" s="106"/>
    </row>
    <row r="4" ht="18.0" customHeight="1">
      <c r="A4" s="104" t="str">
        <f>'analysis _non-RE-nodes'!A6</f>
        <v>Blue Dingo</v>
      </c>
      <c r="B4" s="79" t="str">
        <f t="shared" si="1"/>
        <v>blue-dingo</v>
      </c>
      <c r="C4" s="105" t="str">
        <f t="shared" si="2"/>
        <v>Blue Dingo</v>
      </c>
      <c r="D4" s="105" t="str">
        <f>IFERROR(__xludf.DUMMYFUNCTION("TEXTJOIN("""", TRUE, ARRAYFORMULA(LEFT(SPLIT(C4, "" ""),1)))"),"BD")</f>
        <v>BD</v>
      </c>
      <c r="E4" s="101"/>
      <c r="F4" s="101" t="s">
        <v>593</v>
      </c>
      <c r="G4" s="102"/>
      <c r="H4" s="102"/>
      <c r="I4" s="102"/>
      <c r="J4" s="102"/>
      <c r="K4" s="102"/>
      <c r="L4" s="102"/>
      <c r="M4" s="106"/>
    </row>
    <row r="5" ht="18.0" customHeight="1">
      <c r="A5" s="104" t="str">
        <f>'analysis _non-RE-nodes'!A7</f>
        <v>Blue Echidna</v>
      </c>
      <c r="B5" s="79" t="str">
        <f t="shared" si="1"/>
        <v>blue-echidna</v>
      </c>
      <c r="C5" s="105" t="str">
        <f t="shared" si="2"/>
        <v>Blue Echidna</v>
      </c>
      <c r="D5" s="105" t="str">
        <f>IFERROR(__xludf.DUMMYFUNCTION("TEXTJOIN("""", TRUE, ARRAYFORMULA(LEFT(SPLIT(C5, "" ""),1)))"),"BE")</f>
        <v>BE</v>
      </c>
      <c r="E5" s="101"/>
      <c r="F5" s="101" t="s">
        <v>593</v>
      </c>
      <c r="G5" s="102"/>
      <c r="H5" s="102"/>
      <c r="I5" s="102"/>
      <c r="J5" s="102"/>
      <c r="K5" s="102"/>
      <c r="L5" s="102"/>
      <c r="M5" s="106"/>
    </row>
    <row r="6" ht="18.0" customHeight="1">
      <c r="A6" s="104" t="str">
        <f>'analysis _non-RE-nodes'!A8</f>
        <v>Blue Fairy Penguin</v>
      </c>
      <c r="B6" s="79" t="str">
        <f t="shared" si="1"/>
        <v>blue-fairy-penguin</v>
      </c>
      <c r="C6" s="105" t="str">
        <f t="shared" si="2"/>
        <v>Blue Fairy Penguin</v>
      </c>
      <c r="D6" s="105" t="str">
        <f>IFERROR(__xludf.DUMMYFUNCTION("TEXTJOIN("""", TRUE, ARRAYFORMULA(LEFT(SPLIT(C6, "" ""),1)))"),"BFP")</f>
        <v>BFP</v>
      </c>
      <c r="E6" s="101"/>
      <c r="F6" s="101" t="s">
        <v>593</v>
      </c>
      <c r="G6" s="102"/>
      <c r="H6" s="102"/>
      <c r="I6" s="102"/>
      <c r="J6" s="102"/>
      <c r="K6" s="102"/>
      <c r="L6" s="102"/>
      <c r="M6" s="106"/>
    </row>
    <row r="7" ht="18.0" customHeight="1">
      <c r="A7" s="104" t="str">
        <f>'analysis _non-RE-nodes'!A9</f>
        <v>Blue Frilled Neck Lizard</v>
      </c>
      <c r="B7" s="79" t="str">
        <f t="shared" si="1"/>
        <v>blue-frilled-neck-lizard</v>
      </c>
      <c r="C7" s="105" t="str">
        <f t="shared" si="2"/>
        <v>Blue Frilled Neck Lizard</v>
      </c>
      <c r="D7" s="105" t="str">
        <f>IFERROR(__xludf.DUMMYFUNCTION("TEXTJOIN("""", TRUE, ARRAYFORMULA(LEFT(SPLIT(C7, "" ""),1)))"),"BFNL")</f>
        <v>BFNL</v>
      </c>
      <c r="E7" s="101"/>
      <c r="F7" s="101" t="s">
        <v>593</v>
      </c>
      <c r="G7" s="102"/>
      <c r="H7" s="102"/>
      <c r="I7" s="102"/>
      <c r="J7" s="102"/>
      <c r="K7" s="102"/>
      <c r="L7" s="102"/>
      <c r="M7" s="106"/>
    </row>
    <row r="8" ht="18.0" customHeight="1">
      <c r="A8" s="104" t="str">
        <f>'analysis _non-RE-nodes'!A10</f>
        <v>Blue Goanna</v>
      </c>
      <c r="B8" s="79" t="str">
        <f t="shared" si="1"/>
        <v>blue-goanna</v>
      </c>
      <c r="C8" s="105" t="str">
        <f t="shared" si="2"/>
        <v>Blue Goanna</v>
      </c>
      <c r="D8" s="105" t="str">
        <f>IFERROR(__xludf.DUMMYFUNCTION("TEXTJOIN("""", TRUE, ARRAYFORMULA(LEFT(SPLIT(C8, "" ""),1)))"),"BG")</f>
        <v>BG</v>
      </c>
      <c r="E8" s="101"/>
      <c r="F8" s="101" t="s">
        <v>593</v>
      </c>
      <c r="G8" s="102"/>
      <c r="H8" s="102"/>
      <c r="I8" s="102"/>
      <c r="J8" s="102"/>
      <c r="K8" s="102"/>
      <c r="L8" s="102"/>
      <c r="M8" s="106"/>
    </row>
    <row r="9" ht="18.0" customHeight="1">
      <c r="A9" s="104" t="str">
        <f>'analysis _non-RE-nodes'!A11</f>
        <v>Blue Koala</v>
      </c>
      <c r="B9" s="79" t="str">
        <f t="shared" si="1"/>
        <v>blue-koala</v>
      </c>
      <c r="C9" s="105" t="str">
        <f t="shared" si="2"/>
        <v>Blue Koala</v>
      </c>
      <c r="D9" s="105" t="str">
        <f>IFERROR(__xludf.DUMMYFUNCTION("TEXTJOIN("""", TRUE, ARRAYFORMULA(LEFT(SPLIT(C9, "" ""),1)))"),"BK")</f>
        <v>BK</v>
      </c>
      <c r="E9" s="101"/>
      <c r="F9" s="101" t="s">
        <v>593</v>
      </c>
      <c r="G9" s="102"/>
      <c r="H9" s="102"/>
      <c r="I9" s="102"/>
      <c r="J9" s="102"/>
      <c r="K9" s="102"/>
      <c r="L9" s="102"/>
      <c r="M9" s="106"/>
    </row>
    <row r="10" ht="18.0" customHeight="1">
      <c r="A10" s="104" t="str">
        <f>'analysis _non-RE-nodes'!A12</f>
        <v>Blue Numbat</v>
      </c>
      <c r="B10" s="79" t="str">
        <f t="shared" si="1"/>
        <v>blue-numbat</v>
      </c>
      <c r="C10" s="105" t="str">
        <f t="shared" si="2"/>
        <v>Blue Numbat</v>
      </c>
      <c r="D10" s="105" t="str">
        <f>IFERROR(__xludf.DUMMYFUNCTION("TEXTJOIN("""", TRUE, ARRAYFORMULA(LEFT(SPLIT(C10, "" ""),1)))"),"BN")</f>
        <v>BN</v>
      </c>
      <c r="E10" s="101"/>
      <c r="F10" s="101" t="s">
        <v>593</v>
      </c>
      <c r="G10" s="102"/>
      <c r="H10" s="102"/>
      <c r="I10" s="102"/>
      <c r="J10" s="102"/>
      <c r="K10" s="102"/>
      <c r="L10" s="102"/>
      <c r="M10" s="106"/>
    </row>
    <row r="11" ht="18.0" customHeight="1">
      <c r="A11" s="104" t="str">
        <f>'analysis _non-RE-nodes'!A13</f>
        <v>Blue Perentie</v>
      </c>
      <c r="B11" s="79" t="str">
        <f t="shared" si="1"/>
        <v>blue-perentie</v>
      </c>
      <c r="C11" s="105" t="str">
        <f t="shared" si="2"/>
        <v>Blue Perentie</v>
      </c>
      <c r="D11" s="105" t="str">
        <f>IFERROR(__xludf.DUMMYFUNCTION("TEXTJOIN("""", TRUE, ARRAYFORMULA(LEFT(SPLIT(C11, "" ""),1)))"),"BP")</f>
        <v>BP</v>
      </c>
      <c r="E11" s="101"/>
      <c r="F11" s="101" t="s">
        <v>593</v>
      </c>
      <c r="G11" s="102"/>
      <c r="H11" s="102"/>
      <c r="I11" s="102"/>
      <c r="J11" s="102"/>
      <c r="K11" s="102"/>
      <c r="L11" s="102"/>
      <c r="M11" s="106"/>
    </row>
    <row r="12" ht="18.0" customHeight="1">
      <c r="A12" s="104" t="str">
        <f>'analysis _non-RE-nodes'!A14</f>
        <v>Blue Sugar Glider</v>
      </c>
      <c r="B12" s="79" t="str">
        <f t="shared" si="1"/>
        <v>blue-sugar-glider</v>
      </c>
      <c r="C12" s="105" t="str">
        <f t="shared" si="2"/>
        <v>Blue Sugar Glider</v>
      </c>
      <c r="D12" s="105" t="str">
        <f>IFERROR(__xludf.DUMMYFUNCTION("TEXTJOIN("""", TRUE, ARRAYFORMULA(LEFT(SPLIT(C12, "" ""),1)))"),"BSG")</f>
        <v>BSG</v>
      </c>
      <c r="E12" s="101"/>
      <c r="F12" s="101" t="s">
        <v>593</v>
      </c>
      <c r="G12" s="102"/>
      <c r="H12" s="102"/>
      <c r="I12" s="102"/>
      <c r="J12" s="102"/>
      <c r="K12" s="102"/>
      <c r="L12" s="102"/>
      <c r="M12" s="106"/>
    </row>
    <row r="13" ht="18.0" customHeight="1">
      <c r="A13" s="104" t="str">
        <f>'analysis _non-RE-nodes'!A15</f>
        <v>Blue Tasmanian Devil</v>
      </c>
      <c r="B13" s="79" t="str">
        <f t="shared" si="1"/>
        <v>blue-tasmanian-devil</v>
      </c>
      <c r="C13" s="105" t="str">
        <f t="shared" si="2"/>
        <v>Blue Tasmanian Devil</v>
      </c>
      <c r="D13" s="105" t="str">
        <f>IFERROR(__xludf.DUMMYFUNCTION("TEXTJOIN("""", TRUE, ARRAYFORMULA(LEFT(SPLIT(C13, "" ""),1)))"),"BTD")</f>
        <v>BTD</v>
      </c>
      <c r="E13" s="101"/>
      <c r="F13" s="101" t="s">
        <v>593</v>
      </c>
      <c r="G13" s="102"/>
      <c r="H13" s="102"/>
      <c r="I13" s="102"/>
      <c r="J13" s="102"/>
      <c r="K13" s="102"/>
      <c r="L13" s="102"/>
      <c r="M13" s="106"/>
    </row>
    <row r="14" ht="18.0" customHeight="1">
      <c r="A14" s="104" t="str">
        <f>'analysis _non-RE-nodes'!A16</f>
        <v>Blue Thorny Devil</v>
      </c>
      <c r="B14" s="79" t="str">
        <f t="shared" si="1"/>
        <v>blue-thorny-devil</v>
      </c>
      <c r="C14" s="105" t="str">
        <f t="shared" si="2"/>
        <v>Blue Thorny Devil</v>
      </c>
      <c r="D14" s="105" t="str">
        <f>IFERROR(__xludf.DUMMYFUNCTION("TEXTJOIN("""", TRUE, ARRAYFORMULA(LEFT(SPLIT(C14, "" ""),1)))"),"BTD")</f>
        <v>BTD</v>
      </c>
      <c r="E14" s="101"/>
      <c r="F14" s="101" t="s">
        <v>593</v>
      </c>
      <c r="G14" s="102"/>
      <c r="H14" s="102"/>
      <c r="I14" s="102"/>
      <c r="J14" s="102"/>
      <c r="K14" s="102"/>
      <c r="L14" s="102"/>
      <c r="M14" s="106"/>
    </row>
    <row r="15" ht="18.0" customHeight="1">
      <c r="A15" s="104" t="str">
        <f>'analysis _non-RE-nodes'!A17</f>
        <v>Blue Wallaby</v>
      </c>
      <c r="B15" s="79" t="str">
        <f t="shared" si="1"/>
        <v>blue-wallaby</v>
      </c>
      <c r="C15" s="105" t="str">
        <f t="shared" si="2"/>
        <v>Blue Wallaby</v>
      </c>
      <c r="D15" s="105" t="str">
        <f>IFERROR(__xludf.DUMMYFUNCTION("TEXTJOIN("""", TRUE, ARRAYFORMULA(LEFT(SPLIT(C15, "" ""),1)))"),"BW")</f>
        <v>BW</v>
      </c>
      <c r="E15" s="101"/>
      <c r="F15" s="101" t="s">
        <v>593</v>
      </c>
      <c r="G15" s="102"/>
      <c r="H15" s="102"/>
      <c r="I15" s="102"/>
      <c r="J15" s="102"/>
      <c r="K15" s="102"/>
      <c r="L15" s="102"/>
      <c r="M15" s="106"/>
    </row>
    <row r="16" ht="18.0" customHeight="1">
      <c r="A16" s="104" t="str">
        <f>'analysis _non-RE-nodes'!A18</f>
        <v>Brave Bandicoot</v>
      </c>
      <c r="B16" s="79" t="str">
        <f t="shared" si="1"/>
        <v>brave-bandicoot</v>
      </c>
      <c r="C16" s="105" t="str">
        <f t="shared" si="2"/>
        <v>Brave Bandicoot</v>
      </c>
      <c r="D16" s="105" t="str">
        <f>IFERROR(__xludf.DUMMYFUNCTION("TEXTJOIN("""", TRUE, ARRAYFORMULA(LEFT(SPLIT(C16, "" ""),1)))"),"BB")</f>
        <v>BB</v>
      </c>
      <c r="E16" s="101"/>
      <c r="F16" s="101" t="s">
        <v>593</v>
      </c>
      <c r="G16" s="102"/>
      <c r="H16" s="102"/>
      <c r="I16" s="102"/>
      <c r="J16" s="102"/>
      <c r="K16" s="102"/>
      <c r="L16" s="102"/>
      <c r="M16" s="106"/>
    </row>
    <row r="17" ht="18.0" customHeight="1">
      <c r="A17" s="104" t="str">
        <f>'analysis _non-RE-nodes'!A19</f>
        <v>Brave Bilby</v>
      </c>
      <c r="B17" s="79" t="str">
        <f t="shared" si="1"/>
        <v>brave-bilby</v>
      </c>
      <c r="C17" s="105" t="str">
        <f t="shared" si="2"/>
        <v>Brave Bilby</v>
      </c>
      <c r="D17" s="105" t="str">
        <f>IFERROR(__xludf.DUMMYFUNCTION("TEXTJOIN("""", TRUE, ARRAYFORMULA(LEFT(SPLIT(C17, "" ""),1)))"),"BB")</f>
        <v>BB</v>
      </c>
      <c r="E17" s="101"/>
      <c r="F17" s="101" t="s">
        <v>593</v>
      </c>
      <c r="G17" s="102"/>
      <c r="H17" s="102"/>
      <c r="I17" s="102"/>
      <c r="J17" s="102"/>
      <c r="K17" s="102"/>
      <c r="L17" s="102"/>
      <c r="M17" s="106"/>
    </row>
    <row r="18" ht="18.0" customHeight="1">
      <c r="A18" s="104" t="str">
        <f>'analysis _non-RE-nodes'!A20</f>
        <v>Brave Bush Stone-curlew</v>
      </c>
      <c r="B18" s="79" t="str">
        <f t="shared" si="1"/>
        <v>brave-bush-stone-curlew</v>
      </c>
      <c r="C18" s="105" t="str">
        <f t="shared" si="2"/>
        <v>Brave Bush Stone-curlew</v>
      </c>
      <c r="D18" s="105" t="str">
        <f>IFERROR(__xludf.DUMMYFUNCTION("TEXTJOIN("""", TRUE, ARRAYFORMULA(LEFT(SPLIT(C18, "" ""),1)))"),"BBS")</f>
        <v>BBS</v>
      </c>
      <c r="E18" s="101"/>
      <c r="F18" s="101" t="s">
        <v>593</v>
      </c>
      <c r="G18" s="102"/>
      <c r="H18" s="102"/>
      <c r="I18" s="102"/>
      <c r="J18" s="102"/>
      <c r="K18" s="102"/>
      <c r="L18" s="102"/>
      <c r="M18" s="106"/>
    </row>
    <row r="19" ht="18.0" customHeight="1">
      <c r="A19" s="104" t="str">
        <f>'analysis _non-RE-nodes'!A21</f>
        <v>Brave Cockatoo</v>
      </c>
      <c r="B19" s="79" t="str">
        <f t="shared" si="1"/>
        <v>brave-cockatoo</v>
      </c>
      <c r="C19" s="105" t="str">
        <f t="shared" si="2"/>
        <v>Brave Cockatoo</v>
      </c>
      <c r="D19" s="105" t="str">
        <f>IFERROR(__xludf.DUMMYFUNCTION("TEXTJOIN("""", TRUE, ARRAYFORMULA(LEFT(SPLIT(C19, "" ""),1)))"),"BC")</f>
        <v>BC</v>
      </c>
      <c r="E19" s="101"/>
      <c r="F19" s="101" t="s">
        <v>593</v>
      </c>
      <c r="G19" s="102"/>
      <c r="H19" s="102"/>
      <c r="I19" s="102"/>
      <c r="J19" s="102"/>
      <c r="K19" s="102"/>
      <c r="L19" s="102"/>
      <c r="M19" s="106"/>
    </row>
    <row r="20" ht="18.0" customHeight="1">
      <c r="A20" s="104" t="str">
        <f>'analysis _non-RE-nodes'!A22</f>
        <v>Brave Kookaburra</v>
      </c>
      <c r="B20" s="79" t="str">
        <f t="shared" si="1"/>
        <v>brave-kookaburra</v>
      </c>
      <c r="C20" s="105" t="str">
        <f t="shared" si="2"/>
        <v>Brave Kookaburra</v>
      </c>
      <c r="D20" s="105" t="str">
        <f>IFERROR(__xludf.DUMMYFUNCTION("TEXTJOIN("""", TRUE, ARRAYFORMULA(LEFT(SPLIT(C20, "" ""),1)))"),"BK")</f>
        <v>BK</v>
      </c>
      <c r="E20" s="101"/>
      <c r="F20" s="101" t="s">
        <v>593</v>
      </c>
      <c r="G20" s="102"/>
      <c r="H20" s="102"/>
      <c r="I20" s="102"/>
      <c r="J20" s="102"/>
      <c r="K20" s="102"/>
      <c r="L20" s="102"/>
      <c r="M20" s="106"/>
    </row>
    <row r="21" ht="18.0" customHeight="1">
      <c r="A21" s="104" t="str">
        <f>'analysis _non-RE-nodes'!A23</f>
        <v>Brave Perentie</v>
      </c>
      <c r="B21" s="79" t="str">
        <f t="shared" si="1"/>
        <v>brave-perentie</v>
      </c>
      <c r="C21" s="105" t="str">
        <f t="shared" si="2"/>
        <v>Brave Perentie</v>
      </c>
      <c r="D21" s="105" t="str">
        <f>IFERROR(__xludf.DUMMYFUNCTION("TEXTJOIN("""", TRUE, ARRAYFORMULA(LEFT(SPLIT(C21, "" ""),1)))"),"BP")</f>
        <v>BP</v>
      </c>
      <c r="E21" s="101"/>
      <c r="F21" s="101" t="s">
        <v>593</v>
      </c>
      <c r="G21" s="102"/>
      <c r="H21" s="102"/>
      <c r="I21" s="102"/>
      <c r="J21" s="102"/>
      <c r="K21" s="102"/>
      <c r="L21" s="102"/>
      <c r="M21" s="106"/>
    </row>
    <row r="22" ht="18.0" customHeight="1">
      <c r="A22" s="104" t="str">
        <f>'analysis _non-RE-nodes'!A24</f>
        <v>Brave Platypus</v>
      </c>
      <c r="B22" s="79" t="str">
        <f t="shared" si="1"/>
        <v>brave-platypus</v>
      </c>
      <c r="C22" s="105" t="str">
        <f t="shared" si="2"/>
        <v>Brave Platypus</v>
      </c>
      <c r="D22" s="105" t="str">
        <f>IFERROR(__xludf.DUMMYFUNCTION("TEXTJOIN("""", TRUE, ARRAYFORMULA(LEFT(SPLIT(C22, "" ""),1)))"),"BP")</f>
        <v>BP</v>
      </c>
      <c r="E22" s="101"/>
      <c r="F22" s="101" t="s">
        <v>593</v>
      </c>
      <c r="G22" s="102"/>
      <c r="H22" s="102"/>
      <c r="I22" s="102"/>
      <c r="J22" s="102"/>
      <c r="K22" s="102"/>
      <c r="L22" s="102"/>
      <c r="M22" s="106"/>
    </row>
    <row r="23" ht="18.0" customHeight="1">
      <c r="A23" s="104" t="str">
        <f>'analysis _non-RE-nodes'!A25</f>
        <v>Brave Quokka</v>
      </c>
      <c r="B23" s="79" t="str">
        <f t="shared" si="1"/>
        <v>brave-quokka</v>
      </c>
      <c r="C23" s="105" t="str">
        <f t="shared" si="2"/>
        <v>Brave Quokka</v>
      </c>
      <c r="D23" s="105" t="str">
        <f>IFERROR(__xludf.DUMMYFUNCTION("TEXTJOIN("""", TRUE, ARRAYFORMULA(LEFT(SPLIT(C23, "" ""),1)))"),"BQ")</f>
        <v>BQ</v>
      </c>
      <c r="E23" s="101"/>
      <c r="F23" s="101" t="s">
        <v>593</v>
      </c>
      <c r="G23" s="102"/>
      <c r="H23" s="102"/>
      <c r="I23" s="102"/>
      <c r="J23" s="102"/>
      <c r="K23" s="102"/>
      <c r="L23" s="102"/>
      <c r="M23" s="106"/>
    </row>
    <row r="24" ht="18.0" customHeight="1">
      <c r="A24" s="104" t="str">
        <f>'analysis _non-RE-nodes'!A26</f>
        <v>Brave Sugar Glider</v>
      </c>
      <c r="B24" s="79" t="str">
        <f t="shared" si="1"/>
        <v>brave-sugar-glider</v>
      </c>
      <c r="C24" s="105" t="str">
        <f t="shared" si="2"/>
        <v>Brave Sugar Glider</v>
      </c>
      <c r="D24" s="105" t="str">
        <f>IFERROR(__xludf.DUMMYFUNCTION("TEXTJOIN("""", TRUE, ARRAYFORMULA(LEFT(SPLIT(C24, "" ""),1)))"),"BSG")</f>
        <v>BSG</v>
      </c>
      <c r="E24" s="101"/>
      <c r="F24" s="101" t="s">
        <v>593</v>
      </c>
      <c r="G24" s="102"/>
      <c r="H24" s="102"/>
      <c r="I24" s="102"/>
      <c r="J24" s="102"/>
      <c r="K24" s="102"/>
      <c r="L24" s="102"/>
      <c r="M24" s="106"/>
    </row>
    <row r="25" ht="18.0" customHeight="1">
      <c r="A25" s="104" t="str">
        <f>'analysis _non-RE-nodes'!A27</f>
        <v>Brave Tasmanian Devil</v>
      </c>
      <c r="B25" s="79" t="str">
        <f t="shared" si="1"/>
        <v>brave-tasmanian-devil</v>
      </c>
      <c r="C25" s="105" t="str">
        <f t="shared" si="2"/>
        <v>Brave Tasmanian Devil</v>
      </c>
      <c r="D25" s="105" t="str">
        <f>IFERROR(__xludf.DUMMYFUNCTION("TEXTJOIN("""", TRUE, ARRAYFORMULA(LEFT(SPLIT(C25, "" ""),1)))"),"BTD")</f>
        <v>BTD</v>
      </c>
      <c r="E25" s="101"/>
      <c r="F25" s="101" t="s">
        <v>593</v>
      </c>
      <c r="G25" s="102"/>
      <c r="H25" s="102"/>
      <c r="I25" s="102"/>
      <c r="J25" s="102"/>
      <c r="K25" s="102"/>
      <c r="L25" s="102"/>
      <c r="M25" s="106"/>
    </row>
    <row r="26" ht="18.0" customHeight="1">
      <c r="A26" s="104" t="str">
        <f>'analysis _non-RE-nodes'!A28</f>
        <v>Clever Blue-tongue Skink</v>
      </c>
      <c r="B26" s="79" t="str">
        <f t="shared" si="1"/>
        <v>clever-blue-tongue-skink</v>
      </c>
      <c r="C26" s="105" t="str">
        <f t="shared" si="2"/>
        <v>Clever Blue-tongue Skink</v>
      </c>
      <c r="D26" s="105" t="str">
        <f>IFERROR(__xludf.DUMMYFUNCTION("TEXTJOIN("""", TRUE, ARRAYFORMULA(LEFT(SPLIT(C26, "" ""),1)))"),"CBS")</f>
        <v>CBS</v>
      </c>
      <c r="E26" s="101"/>
      <c r="F26" s="101" t="s">
        <v>593</v>
      </c>
      <c r="G26" s="107"/>
      <c r="H26" s="107"/>
      <c r="I26" s="107"/>
      <c r="J26" s="107"/>
      <c r="K26" s="107"/>
      <c r="L26" s="107"/>
      <c r="M26" s="108"/>
    </row>
    <row r="27" ht="18.0" customHeight="1">
      <c r="A27" s="104" t="str">
        <f>'analysis _non-RE-nodes'!A29</f>
        <v>Clever Bush Stone-curlew</v>
      </c>
      <c r="B27" s="79" t="str">
        <f t="shared" si="1"/>
        <v>clever-bush-stone-curlew</v>
      </c>
      <c r="C27" s="105" t="str">
        <f t="shared" si="2"/>
        <v>Clever Bush Stone-curlew</v>
      </c>
      <c r="D27" s="105" t="str">
        <f>IFERROR(__xludf.DUMMYFUNCTION("TEXTJOIN("""", TRUE, ARRAYFORMULA(LEFT(SPLIT(C27, "" ""),1)))"),"CBS")</f>
        <v>CBS</v>
      </c>
      <c r="E27" s="101"/>
      <c r="F27" s="101" t="s">
        <v>593</v>
      </c>
      <c r="G27" s="107"/>
      <c r="H27" s="107"/>
      <c r="I27" s="107"/>
      <c r="J27" s="107"/>
      <c r="K27" s="107"/>
      <c r="L27" s="107"/>
      <c r="M27" s="108"/>
    </row>
    <row r="28" ht="18.0" customHeight="1">
      <c r="A28" s="104" t="str">
        <f>'analysis _non-RE-nodes'!A30</f>
        <v>Clever Emu</v>
      </c>
      <c r="B28" s="79" t="str">
        <f t="shared" si="1"/>
        <v>clever-emu</v>
      </c>
      <c r="C28" s="105" t="str">
        <f t="shared" si="2"/>
        <v>Clever Emu</v>
      </c>
      <c r="D28" s="105" t="str">
        <f>IFERROR(__xludf.DUMMYFUNCTION("TEXTJOIN("""", TRUE, ARRAYFORMULA(LEFT(SPLIT(C28, "" ""),1)))"),"CE")</f>
        <v>CE</v>
      </c>
      <c r="E28" s="101"/>
      <c r="F28" s="101" t="s">
        <v>593</v>
      </c>
      <c r="G28" s="107"/>
      <c r="H28" s="107"/>
      <c r="I28" s="107"/>
      <c r="J28" s="107"/>
      <c r="K28" s="107"/>
      <c r="L28" s="107"/>
      <c r="M28" s="108"/>
    </row>
    <row r="29" ht="18.0" customHeight="1">
      <c r="A29" s="104" t="str">
        <f>'analysis _non-RE-nodes'!A31</f>
        <v>Clever Goanna</v>
      </c>
      <c r="B29" s="79" t="str">
        <f t="shared" si="1"/>
        <v>clever-goanna</v>
      </c>
      <c r="C29" s="105" t="str">
        <f t="shared" si="2"/>
        <v>Clever Goanna</v>
      </c>
      <c r="D29" s="105" t="str">
        <f>IFERROR(__xludf.DUMMYFUNCTION("TEXTJOIN("""", TRUE, ARRAYFORMULA(LEFT(SPLIT(C29, "" ""),1)))"),"CG")</f>
        <v>CG</v>
      </c>
      <c r="E29" s="101"/>
      <c r="F29" s="101" t="s">
        <v>593</v>
      </c>
      <c r="G29" s="107"/>
      <c r="H29" s="107"/>
      <c r="I29" s="107"/>
      <c r="J29" s="107"/>
      <c r="K29" s="107"/>
      <c r="L29" s="107"/>
      <c r="M29" s="108"/>
    </row>
    <row r="30" ht="18.0" customHeight="1">
      <c r="A30" s="104" t="str">
        <f>'analysis _non-RE-nodes'!A32</f>
        <v>Clever Kangaroo</v>
      </c>
      <c r="B30" s="79" t="str">
        <f t="shared" si="1"/>
        <v>clever-kangaroo</v>
      </c>
      <c r="C30" s="105" t="str">
        <f t="shared" si="2"/>
        <v>Clever Kangaroo</v>
      </c>
      <c r="D30" s="105" t="str">
        <f>IFERROR(__xludf.DUMMYFUNCTION("TEXTJOIN("""", TRUE, ARRAYFORMULA(LEFT(SPLIT(C30, "" ""),1)))"),"CK")</f>
        <v>CK</v>
      </c>
      <c r="E30" s="101"/>
      <c r="F30" s="101" t="s">
        <v>593</v>
      </c>
      <c r="G30" s="107"/>
      <c r="H30" s="107"/>
      <c r="I30" s="107"/>
      <c r="J30" s="107"/>
      <c r="K30" s="107"/>
      <c r="L30" s="107"/>
      <c r="M30" s="108"/>
    </row>
    <row r="31" ht="18.0" customHeight="1">
      <c r="A31" s="104" t="str">
        <f>'analysis _non-RE-nodes'!A33</f>
        <v>Clever Koala</v>
      </c>
      <c r="B31" s="79" t="str">
        <f t="shared" si="1"/>
        <v>clever-koala</v>
      </c>
      <c r="C31" s="105" t="str">
        <f t="shared" si="2"/>
        <v>Clever Koala</v>
      </c>
      <c r="D31" s="105" t="str">
        <f>IFERROR(__xludf.DUMMYFUNCTION("TEXTJOIN("""", TRUE, ARRAYFORMULA(LEFT(SPLIT(C31, "" ""),1)))"),"CK")</f>
        <v>CK</v>
      </c>
      <c r="E31" s="101"/>
      <c r="F31" s="101" t="s">
        <v>593</v>
      </c>
      <c r="G31" s="107"/>
      <c r="H31" s="107"/>
      <c r="I31" s="107"/>
      <c r="J31" s="107"/>
      <c r="K31" s="107"/>
      <c r="L31" s="107"/>
      <c r="M31" s="108"/>
    </row>
    <row r="32" ht="18.0" customHeight="1">
      <c r="A32" s="104" t="str">
        <f>'analysis _non-RE-nodes'!A34</f>
        <v>Clever Perentie</v>
      </c>
      <c r="B32" s="79" t="str">
        <f t="shared" si="1"/>
        <v>clever-perentie</v>
      </c>
      <c r="C32" s="105" t="str">
        <f t="shared" si="2"/>
        <v>Clever Perentie</v>
      </c>
      <c r="D32" s="105" t="str">
        <f>IFERROR(__xludf.DUMMYFUNCTION("TEXTJOIN("""", TRUE, ARRAYFORMULA(LEFT(SPLIT(C32, "" ""),1)))"),"CP")</f>
        <v>CP</v>
      </c>
      <c r="E32" s="101"/>
      <c r="F32" s="101" t="s">
        <v>593</v>
      </c>
      <c r="G32" s="107"/>
      <c r="H32" s="107"/>
      <c r="I32" s="107"/>
      <c r="J32" s="107"/>
      <c r="K32" s="107"/>
      <c r="L32" s="107"/>
      <c r="M32" s="108"/>
    </row>
    <row r="33" ht="18.0" customHeight="1">
      <c r="A33" s="104" t="str">
        <f>'analysis _non-RE-nodes'!A35</f>
        <v>Clever Quokka</v>
      </c>
      <c r="B33" s="79" t="str">
        <f t="shared" si="1"/>
        <v>clever-quokka</v>
      </c>
      <c r="C33" s="105" t="str">
        <f t="shared" si="2"/>
        <v>Clever Quokka</v>
      </c>
      <c r="D33" s="105" t="str">
        <f>IFERROR(__xludf.DUMMYFUNCTION("TEXTJOIN("""", TRUE, ARRAYFORMULA(LEFT(SPLIT(C33, "" ""),1)))"),"CQ")</f>
        <v>CQ</v>
      </c>
      <c r="E33" s="101"/>
      <c r="F33" s="101" t="s">
        <v>593</v>
      </c>
      <c r="G33" s="107"/>
      <c r="H33" s="107"/>
      <c r="I33" s="107"/>
      <c r="J33" s="107"/>
      <c r="K33" s="107"/>
      <c r="L33" s="107"/>
      <c r="M33" s="108"/>
    </row>
    <row r="34" ht="18.0" customHeight="1">
      <c r="A34" s="104" t="str">
        <f>'analysis _non-RE-nodes'!A36</f>
        <v>Clever Sugar Glider</v>
      </c>
      <c r="B34" s="79" t="str">
        <f t="shared" si="1"/>
        <v>clever-sugar-glider</v>
      </c>
      <c r="C34" s="105" t="str">
        <f t="shared" si="2"/>
        <v>Clever Sugar Glider</v>
      </c>
      <c r="D34" s="105" t="str">
        <f>IFERROR(__xludf.DUMMYFUNCTION("TEXTJOIN("""", TRUE, ARRAYFORMULA(LEFT(SPLIT(C34, "" ""),1)))"),"CSG")</f>
        <v>CSG</v>
      </c>
      <c r="E34" s="101"/>
      <c r="F34" s="101" t="s">
        <v>593</v>
      </c>
      <c r="G34" s="107"/>
      <c r="H34" s="107"/>
      <c r="I34" s="107"/>
      <c r="J34" s="107"/>
      <c r="K34" s="107"/>
      <c r="L34" s="107"/>
      <c r="M34" s="108"/>
    </row>
    <row r="35" ht="18.0" customHeight="1">
      <c r="A35" s="104" t="str">
        <f>'analysis _non-RE-nodes'!A37</f>
        <v>Clever Tree Kangaroo</v>
      </c>
      <c r="B35" s="79" t="str">
        <f t="shared" si="1"/>
        <v>clever-tree-kangaroo</v>
      </c>
      <c r="C35" s="105" t="str">
        <f t="shared" si="2"/>
        <v>Clever Tree Kangaroo</v>
      </c>
      <c r="D35" s="105" t="str">
        <f>IFERROR(__xludf.DUMMYFUNCTION("TEXTJOIN("""", TRUE, ARRAYFORMULA(LEFT(SPLIT(C35, "" ""),1)))"),"CTK")</f>
        <v>CTK</v>
      </c>
      <c r="E35" s="101"/>
      <c r="F35" s="101" t="s">
        <v>593</v>
      </c>
      <c r="G35" s="107"/>
      <c r="H35" s="107"/>
      <c r="I35" s="107"/>
      <c r="J35" s="107"/>
      <c r="K35" s="107"/>
      <c r="L35" s="107"/>
      <c r="M35" s="108"/>
    </row>
    <row r="36" ht="18.0" customHeight="1">
      <c r="A36" s="104" t="str">
        <f>'analysis _non-RE-nodes'!A38</f>
        <v>Fuzzy Cassowary</v>
      </c>
      <c r="B36" s="79" t="str">
        <f t="shared" si="1"/>
        <v>fuzzy-cassowary</v>
      </c>
      <c r="C36" s="105" t="str">
        <f t="shared" si="2"/>
        <v>Fuzzy Cassowary</v>
      </c>
      <c r="D36" s="105" t="str">
        <f>IFERROR(__xludf.DUMMYFUNCTION("TEXTJOIN("""", TRUE, ARRAYFORMULA(LEFT(SPLIT(C36, "" ""),1)))"),"FC")</f>
        <v>FC</v>
      </c>
      <c r="E36" s="101"/>
      <c r="F36" s="101" t="s">
        <v>593</v>
      </c>
      <c r="G36" s="107"/>
      <c r="H36" s="107"/>
      <c r="I36" s="107"/>
      <c r="J36" s="107"/>
      <c r="K36" s="107"/>
      <c r="L36" s="107"/>
      <c r="M36" s="108"/>
    </row>
    <row r="37" ht="18.0" customHeight="1">
      <c r="A37" s="104" t="str">
        <f>'analysis _non-RE-nodes'!A39</f>
        <v>Fuzzy Echidna</v>
      </c>
      <c r="B37" s="79" t="str">
        <f t="shared" si="1"/>
        <v>fuzzy-echidna</v>
      </c>
      <c r="C37" s="105" t="str">
        <f t="shared" si="2"/>
        <v>Fuzzy Echidna</v>
      </c>
      <c r="D37" s="105" t="str">
        <f>IFERROR(__xludf.DUMMYFUNCTION("TEXTJOIN("""", TRUE, ARRAYFORMULA(LEFT(SPLIT(C37, "" ""),1)))"),"FE")</f>
        <v>FE</v>
      </c>
      <c r="E37" s="101"/>
      <c r="F37" s="101" t="s">
        <v>593</v>
      </c>
      <c r="G37" s="107"/>
      <c r="H37" s="107"/>
      <c r="I37" s="107"/>
      <c r="J37" s="107"/>
      <c r="K37" s="107"/>
      <c r="L37" s="107"/>
      <c r="M37" s="108"/>
    </row>
    <row r="38" ht="18.0" customHeight="1">
      <c r="A38" s="104" t="str">
        <f>'analysis _non-RE-nodes'!A40</f>
        <v>Fuzzy Fairy Penguin</v>
      </c>
      <c r="B38" s="79" t="str">
        <f t="shared" si="1"/>
        <v>fuzzy-fairy-penguin</v>
      </c>
      <c r="C38" s="105" t="str">
        <f t="shared" si="2"/>
        <v>Fuzzy Fairy Penguin</v>
      </c>
      <c r="D38" s="105" t="str">
        <f>IFERROR(__xludf.DUMMYFUNCTION("TEXTJOIN("""", TRUE, ARRAYFORMULA(LEFT(SPLIT(C38, "" ""),1)))"),"FFP")</f>
        <v>FFP</v>
      </c>
      <c r="E38" s="101"/>
      <c r="F38" s="101" t="s">
        <v>593</v>
      </c>
      <c r="G38" s="107"/>
      <c r="H38" s="107"/>
      <c r="I38" s="107"/>
      <c r="J38" s="107"/>
      <c r="K38" s="107"/>
      <c r="L38" s="107"/>
      <c r="M38" s="108"/>
    </row>
    <row r="39" ht="18.0" customHeight="1">
      <c r="A39" s="104" t="str">
        <f>'analysis _non-RE-nodes'!A41</f>
        <v>Fuzzy Goanna</v>
      </c>
      <c r="B39" s="79" t="str">
        <f t="shared" si="1"/>
        <v>fuzzy-goanna</v>
      </c>
      <c r="C39" s="105" t="str">
        <f t="shared" si="2"/>
        <v>Fuzzy Goanna</v>
      </c>
      <c r="D39" s="105" t="str">
        <f>IFERROR(__xludf.DUMMYFUNCTION("TEXTJOIN("""", TRUE, ARRAYFORMULA(LEFT(SPLIT(C39, "" ""),1)))"),"FG")</f>
        <v>FG</v>
      </c>
      <c r="E39" s="101"/>
      <c r="F39" s="101" t="s">
        <v>593</v>
      </c>
      <c r="G39" s="107"/>
      <c r="H39" s="107"/>
      <c r="I39" s="107"/>
      <c r="J39" s="107"/>
      <c r="K39" s="107"/>
      <c r="L39" s="107"/>
      <c r="M39" s="108"/>
    </row>
    <row r="40" ht="18.0" customHeight="1">
      <c r="A40" s="104" t="str">
        <f>'analysis _non-RE-nodes'!A42</f>
        <v>Fuzzy Kangaroo</v>
      </c>
      <c r="B40" s="79" t="str">
        <f t="shared" si="1"/>
        <v>fuzzy-kangaroo</v>
      </c>
      <c r="C40" s="105" t="str">
        <f t="shared" si="2"/>
        <v>Fuzzy Kangaroo</v>
      </c>
      <c r="D40" s="105" t="str">
        <f>IFERROR(__xludf.DUMMYFUNCTION("TEXTJOIN("""", TRUE, ARRAYFORMULA(LEFT(SPLIT(C40, "" ""),1)))"),"FK")</f>
        <v>FK</v>
      </c>
      <c r="E40" s="101"/>
      <c r="F40" s="101" t="s">
        <v>593</v>
      </c>
      <c r="G40" s="107"/>
      <c r="H40" s="107"/>
      <c r="I40" s="107"/>
      <c r="J40" s="107"/>
      <c r="K40" s="107"/>
      <c r="L40" s="107"/>
      <c r="M40" s="108"/>
    </row>
    <row r="41" ht="18.0" customHeight="1">
      <c r="A41" s="104" t="str">
        <f>'analysis _non-RE-nodes'!A43</f>
        <v>Fuzzy Koala</v>
      </c>
      <c r="B41" s="79" t="str">
        <f t="shared" si="1"/>
        <v>fuzzy-koala</v>
      </c>
      <c r="C41" s="105" t="str">
        <f t="shared" si="2"/>
        <v>Fuzzy Koala</v>
      </c>
      <c r="D41" s="105" t="str">
        <f>IFERROR(__xludf.DUMMYFUNCTION("TEXTJOIN("""", TRUE, ARRAYFORMULA(LEFT(SPLIT(C41, "" ""),1)))"),"FK")</f>
        <v>FK</v>
      </c>
      <c r="E41" s="101"/>
      <c r="F41" s="101" t="s">
        <v>593</v>
      </c>
      <c r="G41" s="107"/>
      <c r="H41" s="107"/>
      <c r="I41" s="107"/>
      <c r="J41" s="107"/>
      <c r="K41" s="107"/>
      <c r="L41" s="107"/>
      <c r="M41" s="108"/>
    </row>
    <row r="42" ht="18.0" customHeight="1">
      <c r="A42" s="104" t="str">
        <f>'analysis _non-RE-nodes'!A44</f>
        <v>Fuzzy Lyrebird</v>
      </c>
      <c r="B42" s="79" t="str">
        <f t="shared" si="1"/>
        <v>fuzzy-lyrebird</v>
      </c>
      <c r="C42" s="105" t="str">
        <f t="shared" si="2"/>
        <v>Fuzzy Lyrebird</v>
      </c>
      <c r="D42" s="105" t="str">
        <f>IFERROR(__xludf.DUMMYFUNCTION("TEXTJOIN("""", TRUE, ARRAYFORMULA(LEFT(SPLIT(C42, "" ""),1)))"),"FL")</f>
        <v>FL</v>
      </c>
      <c r="E42" s="101"/>
      <c r="F42" s="101" t="s">
        <v>593</v>
      </c>
      <c r="G42" s="107"/>
      <c r="H42" s="107"/>
      <c r="I42" s="107"/>
      <c r="J42" s="107"/>
      <c r="K42" s="107"/>
      <c r="L42" s="107"/>
      <c r="M42" s="108"/>
    </row>
    <row r="43" ht="18.0" customHeight="1">
      <c r="A43" s="104" t="str">
        <f>'analysis _non-RE-nodes'!A45</f>
        <v>Fuzzy Platypus</v>
      </c>
      <c r="B43" s="79" t="str">
        <f t="shared" si="1"/>
        <v>fuzzy-platypus</v>
      </c>
      <c r="C43" s="105" t="str">
        <f t="shared" si="2"/>
        <v>Fuzzy Platypus</v>
      </c>
      <c r="D43" s="105" t="str">
        <f>IFERROR(__xludf.DUMMYFUNCTION("TEXTJOIN("""", TRUE, ARRAYFORMULA(LEFT(SPLIT(C43, "" ""),1)))"),"FP")</f>
        <v>FP</v>
      </c>
      <c r="E43" s="101"/>
      <c r="F43" s="101" t="s">
        <v>593</v>
      </c>
      <c r="G43" s="107"/>
      <c r="H43" s="107"/>
      <c r="I43" s="107"/>
      <c r="J43" s="107"/>
      <c r="K43" s="107"/>
      <c r="L43" s="107"/>
      <c r="M43" s="108"/>
    </row>
    <row r="44" ht="18.0" customHeight="1">
      <c r="A44" s="104" t="str">
        <f>'analysis _non-RE-nodes'!A46</f>
        <v>Fuzzy Quokka</v>
      </c>
      <c r="B44" s="79" t="str">
        <f t="shared" si="1"/>
        <v>fuzzy-quokka</v>
      </c>
      <c r="C44" s="105" t="str">
        <f t="shared" si="2"/>
        <v>Fuzzy Quokka</v>
      </c>
      <c r="D44" s="105" t="str">
        <f>IFERROR(__xludf.DUMMYFUNCTION("TEXTJOIN("""", TRUE, ARRAYFORMULA(LEFT(SPLIT(C44, "" ""),1)))"),"FQ")</f>
        <v>FQ</v>
      </c>
      <c r="E44" s="101"/>
      <c r="F44" s="101" t="s">
        <v>593</v>
      </c>
      <c r="G44" s="107"/>
      <c r="H44" s="107"/>
      <c r="I44" s="107"/>
      <c r="J44" s="107"/>
      <c r="K44" s="107"/>
      <c r="L44" s="107"/>
      <c r="M44" s="108"/>
    </row>
    <row r="45" ht="18.0" customHeight="1">
      <c r="A45" s="104" t="str">
        <f>'analysis _non-RE-nodes'!A47</f>
        <v>Fuzzy Redback Spider</v>
      </c>
      <c r="B45" s="79" t="str">
        <f t="shared" si="1"/>
        <v>fuzzy-redback-spider</v>
      </c>
      <c r="C45" s="105" t="str">
        <f t="shared" si="2"/>
        <v>Fuzzy Redback Spider</v>
      </c>
      <c r="D45" s="105" t="str">
        <f>IFERROR(__xludf.DUMMYFUNCTION("TEXTJOIN("""", TRUE, ARRAYFORMULA(LEFT(SPLIT(C45, "" ""),1)))"),"FRS")</f>
        <v>FRS</v>
      </c>
      <c r="E45" s="101"/>
      <c r="F45" s="101" t="s">
        <v>593</v>
      </c>
      <c r="G45" s="107"/>
      <c r="H45" s="107"/>
      <c r="I45" s="107"/>
      <c r="J45" s="107"/>
      <c r="K45" s="107"/>
      <c r="L45" s="107"/>
      <c r="M45" s="108"/>
    </row>
    <row r="46" ht="18.0" customHeight="1">
      <c r="A46" s="104" t="str">
        <f>'analysis _non-RE-nodes'!A48</f>
        <v>Fuzzy Wallaby</v>
      </c>
      <c r="B46" s="79" t="str">
        <f t="shared" si="1"/>
        <v>fuzzy-wallaby</v>
      </c>
      <c r="C46" s="105" t="str">
        <f t="shared" si="2"/>
        <v>Fuzzy Wallaby</v>
      </c>
      <c r="D46" s="105" t="str">
        <f>IFERROR(__xludf.DUMMYFUNCTION("TEXTJOIN("""", TRUE, ARRAYFORMULA(LEFT(SPLIT(C46, "" ""),1)))"),"FW")</f>
        <v>FW</v>
      </c>
      <c r="E46" s="101"/>
      <c r="F46" s="101" t="s">
        <v>593</v>
      </c>
      <c r="G46" s="107"/>
      <c r="H46" s="107"/>
      <c r="I46" s="107"/>
      <c r="J46" s="107"/>
      <c r="K46" s="107"/>
      <c r="L46" s="107"/>
      <c r="M46" s="108"/>
    </row>
    <row r="47" ht="18.0" customHeight="1">
      <c r="A47" s="104" t="str">
        <f>'analysis _non-RE-nodes'!A49</f>
        <v>Fuzzy Wombat</v>
      </c>
      <c r="B47" s="79" t="str">
        <f t="shared" si="1"/>
        <v>fuzzy-wombat</v>
      </c>
      <c r="C47" s="105" t="str">
        <f t="shared" si="2"/>
        <v>Fuzzy Wombat</v>
      </c>
      <c r="D47" s="105" t="str">
        <f>IFERROR(__xludf.DUMMYFUNCTION("TEXTJOIN("""", TRUE, ARRAYFORMULA(LEFT(SPLIT(C47, "" ""),1)))"),"FW")</f>
        <v>FW</v>
      </c>
      <c r="E47" s="101"/>
      <c r="F47" s="101" t="s">
        <v>593</v>
      </c>
      <c r="G47" s="107"/>
      <c r="H47" s="107"/>
      <c r="I47" s="107"/>
      <c r="J47" s="107"/>
      <c r="K47" s="107"/>
      <c r="L47" s="107"/>
      <c r="M47" s="108"/>
    </row>
    <row r="48" ht="18.0" customHeight="1">
      <c r="A48" s="104" t="str">
        <f>'analysis _non-RE-nodes'!A50</f>
        <v>Giant Blue-tongue Skink</v>
      </c>
      <c r="B48" s="79" t="str">
        <f t="shared" si="1"/>
        <v>giant-blue-tongue-skink</v>
      </c>
      <c r="C48" s="105" t="str">
        <f t="shared" si="2"/>
        <v>Giant Blue-tongue Skink</v>
      </c>
      <c r="D48" s="105" t="str">
        <f>IFERROR(__xludf.DUMMYFUNCTION("TEXTJOIN("""", TRUE, ARRAYFORMULA(LEFT(SPLIT(C48, "" ""),1)))"),"GBS")</f>
        <v>GBS</v>
      </c>
      <c r="E48" s="101"/>
      <c r="F48" s="101" t="s">
        <v>593</v>
      </c>
      <c r="G48" s="107"/>
      <c r="H48" s="107"/>
      <c r="I48" s="107"/>
      <c r="J48" s="107"/>
      <c r="K48" s="107"/>
      <c r="L48" s="107"/>
      <c r="M48" s="108"/>
    </row>
    <row r="49" ht="18.0" customHeight="1">
      <c r="A49" s="104" t="str">
        <f>'analysis _non-RE-nodes'!A51</f>
        <v>Giant Bush Stone-curlew</v>
      </c>
      <c r="B49" s="79" t="str">
        <f t="shared" si="1"/>
        <v>giant-bush-stone-curlew</v>
      </c>
      <c r="C49" s="105" t="str">
        <f t="shared" si="2"/>
        <v>Giant Bush Stone-curlew</v>
      </c>
      <c r="D49" s="105" t="str">
        <f>IFERROR(__xludf.DUMMYFUNCTION("TEXTJOIN("""", TRUE, ARRAYFORMULA(LEFT(SPLIT(C49, "" ""),1)))"),"GBS")</f>
        <v>GBS</v>
      </c>
      <c r="E49" s="101"/>
      <c r="F49" s="101" t="s">
        <v>593</v>
      </c>
      <c r="G49" s="107"/>
      <c r="H49" s="107"/>
      <c r="I49" s="107"/>
      <c r="J49" s="107"/>
      <c r="K49" s="107"/>
      <c r="L49" s="107"/>
      <c r="M49" s="108"/>
    </row>
    <row r="50" ht="18.0" customHeight="1">
      <c r="A50" s="104" t="str">
        <f>'analysis _non-RE-nodes'!A52</f>
        <v>Giant Cockatoo</v>
      </c>
      <c r="B50" s="79" t="str">
        <f t="shared" si="1"/>
        <v>giant-cockatoo</v>
      </c>
      <c r="C50" s="105" t="str">
        <f t="shared" si="2"/>
        <v>Giant Cockatoo</v>
      </c>
      <c r="D50" s="105" t="str">
        <f>IFERROR(__xludf.DUMMYFUNCTION("TEXTJOIN("""", TRUE, ARRAYFORMULA(LEFT(SPLIT(C50, "" ""),1)))"),"GC")</f>
        <v>GC</v>
      </c>
      <c r="E50" s="101"/>
      <c r="F50" s="101" t="s">
        <v>593</v>
      </c>
      <c r="G50" s="107"/>
      <c r="H50" s="107"/>
      <c r="I50" s="107"/>
      <c r="J50" s="107"/>
      <c r="K50" s="107"/>
      <c r="L50" s="107"/>
      <c r="M50" s="108"/>
    </row>
    <row r="51" ht="18.0" customHeight="1">
      <c r="A51" s="104" t="str">
        <f>'analysis _non-RE-nodes'!A53</f>
        <v>Giant Dingo</v>
      </c>
      <c r="B51" s="79" t="str">
        <f t="shared" si="1"/>
        <v>giant-dingo</v>
      </c>
      <c r="C51" s="105" t="str">
        <f t="shared" si="2"/>
        <v>Giant Dingo</v>
      </c>
      <c r="D51" s="105" t="str">
        <f>IFERROR(__xludf.DUMMYFUNCTION("TEXTJOIN("""", TRUE, ARRAYFORMULA(LEFT(SPLIT(C51, "" ""),1)))"),"GD")</f>
        <v>GD</v>
      </c>
      <c r="E51" s="101"/>
      <c r="F51" s="101" t="s">
        <v>593</v>
      </c>
      <c r="G51" s="107"/>
      <c r="H51" s="107"/>
      <c r="I51" s="107"/>
      <c r="J51" s="107"/>
      <c r="K51" s="107"/>
      <c r="L51" s="107"/>
      <c r="M51" s="108"/>
    </row>
    <row r="52" ht="18.0" customHeight="1">
      <c r="A52" s="104" t="str">
        <f>'analysis _non-RE-nodes'!A54</f>
        <v>Giant Emu</v>
      </c>
      <c r="B52" s="79" t="str">
        <f t="shared" si="1"/>
        <v>giant-emu</v>
      </c>
      <c r="C52" s="105" t="str">
        <f t="shared" si="2"/>
        <v>Giant Emu</v>
      </c>
      <c r="D52" s="105" t="str">
        <f>IFERROR(__xludf.DUMMYFUNCTION("TEXTJOIN("""", TRUE, ARRAYFORMULA(LEFT(SPLIT(C52, "" ""),1)))"),"GE")</f>
        <v>GE</v>
      </c>
      <c r="E52" s="101"/>
      <c r="F52" s="101" t="s">
        <v>593</v>
      </c>
      <c r="G52" s="107"/>
      <c r="H52" s="107"/>
      <c r="I52" s="107"/>
      <c r="J52" s="107"/>
      <c r="K52" s="107"/>
      <c r="L52" s="107"/>
      <c r="M52" s="108"/>
    </row>
    <row r="53" ht="18.0" customHeight="1">
      <c r="A53" s="104" t="str">
        <f>'analysis _non-RE-nodes'!A55</f>
        <v>Giant Platypus</v>
      </c>
      <c r="B53" s="79" t="str">
        <f t="shared" si="1"/>
        <v>giant-platypus</v>
      </c>
      <c r="C53" s="105" t="str">
        <f t="shared" si="2"/>
        <v>Giant Platypus</v>
      </c>
      <c r="D53" s="105" t="str">
        <f>IFERROR(__xludf.DUMMYFUNCTION("TEXTJOIN("""", TRUE, ARRAYFORMULA(LEFT(SPLIT(C53, "" ""),1)))"),"GP")</f>
        <v>GP</v>
      </c>
      <c r="E53" s="101"/>
      <c r="F53" s="101" t="s">
        <v>593</v>
      </c>
      <c r="G53" s="107"/>
      <c r="H53" s="107"/>
      <c r="I53" s="107"/>
      <c r="J53" s="107"/>
      <c r="K53" s="107"/>
      <c r="L53" s="107"/>
      <c r="M53" s="108"/>
    </row>
    <row r="54" ht="18.0" customHeight="1">
      <c r="A54" s="104" t="str">
        <f>'analysis _non-RE-nodes'!A56</f>
        <v>Giant Quokka</v>
      </c>
      <c r="B54" s="79" t="str">
        <f t="shared" si="1"/>
        <v>giant-quokka</v>
      </c>
      <c r="C54" s="105" t="str">
        <f t="shared" si="2"/>
        <v>Giant Quokka</v>
      </c>
      <c r="D54" s="105" t="str">
        <f>IFERROR(__xludf.DUMMYFUNCTION("TEXTJOIN("""", TRUE, ARRAYFORMULA(LEFT(SPLIT(C54, "" ""),1)))"),"GQ")</f>
        <v>GQ</v>
      </c>
      <c r="E54" s="101"/>
      <c r="F54" s="101" t="s">
        <v>593</v>
      </c>
      <c r="G54" s="107"/>
      <c r="H54" s="107"/>
      <c r="I54" s="107"/>
      <c r="J54" s="107"/>
      <c r="K54" s="107"/>
      <c r="L54" s="107"/>
      <c r="M54" s="108"/>
    </row>
    <row r="55" ht="18.0" customHeight="1">
      <c r="A55" s="104" t="str">
        <f>'analysis _non-RE-nodes'!A57</f>
        <v>Giant Redback Spider</v>
      </c>
      <c r="B55" s="79" t="str">
        <f t="shared" si="1"/>
        <v>giant-redback-spider</v>
      </c>
      <c r="C55" s="105" t="str">
        <f t="shared" si="2"/>
        <v>Giant Redback Spider</v>
      </c>
      <c r="D55" s="105" t="str">
        <f>IFERROR(__xludf.DUMMYFUNCTION("TEXTJOIN("""", TRUE, ARRAYFORMULA(LEFT(SPLIT(C55, "" ""),1)))"),"GRS")</f>
        <v>GRS</v>
      </c>
      <c r="E55" s="101"/>
      <c r="F55" s="101" t="s">
        <v>593</v>
      </c>
      <c r="G55" s="107"/>
      <c r="H55" s="107"/>
      <c r="I55" s="107"/>
      <c r="J55" s="107"/>
      <c r="K55" s="107"/>
      <c r="L55" s="107"/>
      <c r="M55" s="108"/>
    </row>
    <row r="56" ht="18.0" customHeight="1">
      <c r="A56" s="104" t="str">
        <f>'analysis _non-RE-nodes'!A58</f>
        <v>Giant Rosella</v>
      </c>
      <c r="B56" s="79" t="str">
        <f t="shared" si="1"/>
        <v>giant-rosella</v>
      </c>
      <c r="C56" s="105" t="str">
        <f t="shared" si="2"/>
        <v>Giant Rosella</v>
      </c>
      <c r="D56" s="105" t="str">
        <f>IFERROR(__xludf.DUMMYFUNCTION("TEXTJOIN("""", TRUE, ARRAYFORMULA(LEFT(SPLIT(C56, "" ""),1)))"),"GR")</f>
        <v>GR</v>
      </c>
      <c r="E56" s="101"/>
      <c r="F56" s="101" t="s">
        <v>593</v>
      </c>
      <c r="G56" s="107"/>
      <c r="H56" s="107"/>
      <c r="I56" s="107"/>
      <c r="J56" s="107"/>
      <c r="K56" s="107"/>
      <c r="L56" s="107"/>
      <c r="M56" s="108"/>
    </row>
    <row r="57" ht="18.0" customHeight="1">
      <c r="A57" s="104" t="str">
        <f>'analysis _non-RE-nodes'!A59</f>
        <v>Giant Tasmanian Devil</v>
      </c>
      <c r="B57" s="79" t="str">
        <f t="shared" si="1"/>
        <v>giant-tasmanian-devil</v>
      </c>
      <c r="C57" s="105" t="str">
        <f t="shared" si="2"/>
        <v>Giant Tasmanian Devil</v>
      </c>
      <c r="D57" s="105" t="str">
        <f>IFERROR(__xludf.DUMMYFUNCTION("TEXTJOIN("""", TRUE, ARRAYFORMULA(LEFT(SPLIT(C57, "" ""),1)))"),"GTD")</f>
        <v>GTD</v>
      </c>
      <c r="E57" s="101"/>
      <c r="F57" s="101" t="s">
        <v>593</v>
      </c>
      <c r="G57" s="107"/>
      <c r="H57" s="107"/>
      <c r="I57" s="107"/>
      <c r="J57" s="107"/>
      <c r="K57" s="107"/>
      <c r="L57" s="107"/>
      <c r="M57" s="108"/>
    </row>
    <row r="58" ht="18.0" customHeight="1">
      <c r="A58" s="104" t="str">
        <f>'analysis _non-RE-nodes'!A60</f>
        <v>Giant Thorny Devil</v>
      </c>
      <c r="B58" s="79" t="str">
        <f t="shared" si="1"/>
        <v>giant-thorny-devil</v>
      </c>
      <c r="C58" s="105" t="str">
        <f t="shared" si="2"/>
        <v>Giant Thorny Devil</v>
      </c>
      <c r="D58" s="105" t="str">
        <f>IFERROR(__xludf.DUMMYFUNCTION("TEXTJOIN("""", TRUE, ARRAYFORMULA(LEFT(SPLIT(C58, "" ""),1)))"),"GTD")</f>
        <v>GTD</v>
      </c>
      <c r="E58" s="101"/>
      <c r="F58" s="101" t="s">
        <v>593</v>
      </c>
      <c r="G58" s="107"/>
      <c r="H58" s="107"/>
      <c r="I58" s="107"/>
      <c r="J58" s="107"/>
      <c r="K58" s="107"/>
      <c r="L58" s="107"/>
      <c r="M58" s="108"/>
    </row>
    <row r="59" ht="18.0" customHeight="1">
      <c r="A59" s="104" t="str">
        <f>'analysis _non-RE-nodes'!A61</f>
        <v>Golden Australian Magpie</v>
      </c>
      <c r="B59" s="79" t="str">
        <f t="shared" si="1"/>
        <v>golden-australian-magpie</v>
      </c>
      <c r="C59" s="105" t="str">
        <f t="shared" si="2"/>
        <v>Golden Australian Magpie</v>
      </c>
      <c r="D59" s="105" t="str">
        <f>IFERROR(__xludf.DUMMYFUNCTION("TEXTJOIN("""", TRUE, ARRAYFORMULA(LEFT(SPLIT(C59, "" ""),1)))"),"GAM")</f>
        <v>GAM</v>
      </c>
      <c r="E59" s="101"/>
      <c r="F59" s="101" t="s">
        <v>593</v>
      </c>
      <c r="G59" s="107"/>
      <c r="H59" s="107"/>
      <c r="I59" s="107"/>
      <c r="J59" s="107"/>
      <c r="K59" s="107"/>
      <c r="L59" s="107"/>
      <c r="M59" s="108"/>
    </row>
    <row r="60" ht="18.0" customHeight="1">
      <c r="A60" s="104" t="str">
        <f>'analysis _non-RE-nodes'!A62</f>
        <v>Golden Bush Stone-curlew</v>
      </c>
      <c r="B60" s="79" t="str">
        <f t="shared" si="1"/>
        <v>golden-bush-stone-curlew</v>
      </c>
      <c r="C60" s="105" t="str">
        <f t="shared" si="2"/>
        <v>Golden Bush Stone-curlew</v>
      </c>
      <c r="D60" s="105" t="str">
        <f>IFERROR(__xludf.DUMMYFUNCTION("TEXTJOIN("""", TRUE, ARRAYFORMULA(LEFT(SPLIT(C60, "" ""),1)))"),"GBS")</f>
        <v>GBS</v>
      </c>
      <c r="E60" s="101"/>
      <c r="F60" s="101" t="s">
        <v>593</v>
      </c>
      <c r="G60" s="107"/>
      <c r="H60" s="107"/>
      <c r="I60" s="107"/>
      <c r="J60" s="107"/>
      <c r="K60" s="107"/>
      <c r="L60" s="107"/>
      <c r="M60" s="108"/>
    </row>
    <row r="61" ht="18.0" customHeight="1">
      <c r="A61" s="104" t="str">
        <f>'analysis _non-RE-nodes'!A63</f>
        <v>Golden Echidna</v>
      </c>
      <c r="B61" s="79" t="str">
        <f t="shared" si="1"/>
        <v>golden-echidna</v>
      </c>
      <c r="C61" s="105" t="str">
        <f t="shared" si="2"/>
        <v>Golden Echidna</v>
      </c>
      <c r="D61" s="105" t="str">
        <f>IFERROR(__xludf.DUMMYFUNCTION("TEXTJOIN("""", TRUE, ARRAYFORMULA(LEFT(SPLIT(C61, "" ""),1)))"),"GE")</f>
        <v>GE</v>
      </c>
      <c r="E61" s="101"/>
      <c r="F61" s="101" t="s">
        <v>593</v>
      </c>
      <c r="G61" s="107"/>
      <c r="H61" s="107"/>
      <c r="I61" s="107"/>
      <c r="J61" s="107"/>
      <c r="K61" s="107"/>
      <c r="L61" s="107"/>
      <c r="M61" s="108"/>
    </row>
    <row r="62" ht="18.0" customHeight="1">
      <c r="A62" s="104" t="str">
        <f>'analysis _non-RE-nodes'!A64</f>
        <v>Golden Emu</v>
      </c>
      <c r="B62" s="79" t="str">
        <f t="shared" si="1"/>
        <v>golden-emu</v>
      </c>
      <c r="C62" s="105" t="str">
        <f t="shared" si="2"/>
        <v>Golden Emu</v>
      </c>
      <c r="D62" s="105" t="str">
        <f>IFERROR(__xludf.DUMMYFUNCTION("TEXTJOIN("""", TRUE, ARRAYFORMULA(LEFT(SPLIT(C62, "" ""),1)))"),"GE")</f>
        <v>GE</v>
      </c>
      <c r="E62" s="101"/>
      <c r="F62" s="101" t="s">
        <v>593</v>
      </c>
      <c r="G62" s="107"/>
      <c r="H62" s="107"/>
      <c r="I62" s="107"/>
      <c r="J62" s="107"/>
      <c r="K62" s="107"/>
      <c r="L62" s="107"/>
      <c r="M62" s="108"/>
    </row>
    <row r="63" ht="18.0" customHeight="1">
      <c r="A63" s="104" t="str">
        <f>'analysis _non-RE-nodes'!A65</f>
        <v>Golden Fairy Penguin</v>
      </c>
      <c r="B63" s="79" t="str">
        <f t="shared" si="1"/>
        <v>golden-fairy-penguin</v>
      </c>
      <c r="C63" s="105" t="str">
        <f t="shared" si="2"/>
        <v>Golden Fairy Penguin</v>
      </c>
      <c r="D63" s="105" t="str">
        <f>IFERROR(__xludf.DUMMYFUNCTION("TEXTJOIN("""", TRUE, ARRAYFORMULA(LEFT(SPLIT(C63, "" ""),1)))"),"GFP")</f>
        <v>GFP</v>
      </c>
      <c r="E63" s="101"/>
      <c r="F63" s="101" t="s">
        <v>593</v>
      </c>
      <c r="G63" s="107"/>
      <c r="H63" s="107"/>
      <c r="I63" s="107"/>
      <c r="J63" s="107"/>
      <c r="K63" s="107"/>
      <c r="L63" s="107"/>
      <c r="M63" s="108"/>
    </row>
    <row r="64" ht="18.0" customHeight="1">
      <c r="A64" s="104" t="str">
        <f>'analysis _non-RE-nodes'!A66</f>
        <v>Golden Frilled Neck Lizard</v>
      </c>
      <c r="B64" s="79" t="str">
        <f t="shared" si="1"/>
        <v>golden-frilled-neck-lizard</v>
      </c>
      <c r="C64" s="105" t="str">
        <f t="shared" si="2"/>
        <v>Golden Frilled Neck Lizard</v>
      </c>
      <c r="D64" s="105" t="str">
        <f>IFERROR(__xludf.DUMMYFUNCTION("TEXTJOIN("""", TRUE, ARRAYFORMULA(LEFT(SPLIT(C64, "" ""),1)))"),"GFNL")</f>
        <v>GFNL</v>
      </c>
      <c r="E64" s="101"/>
      <c r="F64" s="101" t="s">
        <v>593</v>
      </c>
      <c r="G64" s="107"/>
      <c r="H64" s="107"/>
      <c r="I64" s="107"/>
      <c r="J64" s="107"/>
      <c r="K64" s="107"/>
      <c r="L64" s="107"/>
      <c r="M64" s="108"/>
    </row>
    <row r="65" ht="18.0" customHeight="1">
      <c r="A65" s="104" t="str">
        <f>'analysis _non-RE-nodes'!A67</f>
        <v>Golden Goanna</v>
      </c>
      <c r="B65" s="79" t="str">
        <f t="shared" si="1"/>
        <v>golden-goanna</v>
      </c>
      <c r="C65" s="105" t="str">
        <f t="shared" si="2"/>
        <v>Golden Goanna</v>
      </c>
      <c r="D65" s="105" t="str">
        <f>IFERROR(__xludf.DUMMYFUNCTION("TEXTJOIN("""", TRUE, ARRAYFORMULA(LEFT(SPLIT(C65, "" ""),1)))"),"GG")</f>
        <v>GG</v>
      </c>
      <c r="E65" s="101"/>
      <c r="F65" s="101" t="s">
        <v>593</v>
      </c>
      <c r="G65" s="107"/>
      <c r="H65" s="107"/>
      <c r="I65" s="107"/>
      <c r="J65" s="107"/>
      <c r="K65" s="107"/>
      <c r="L65" s="107"/>
      <c r="M65" s="108"/>
    </row>
    <row r="66" ht="18.0" customHeight="1">
      <c r="A66" s="104" t="str">
        <f>'analysis _non-RE-nodes'!A68</f>
        <v>Golden Kangaroo</v>
      </c>
      <c r="B66" s="79" t="str">
        <f t="shared" si="1"/>
        <v>golden-kangaroo</v>
      </c>
      <c r="C66" s="105" t="str">
        <f t="shared" si="2"/>
        <v>Golden Kangaroo</v>
      </c>
      <c r="D66" s="105" t="str">
        <f>IFERROR(__xludf.DUMMYFUNCTION("TEXTJOIN("""", TRUE, ARRAYFORMULA(LEFT(SPLIT(C66, "" ""),1)))"),"GK")</f>
        <v>GK</v>
      </c>
      <c r="E66" s="101"/>
      <c r="F66" s="101" t="s">
        <v>593</v>
      </c>
      <c r="G66" s="107"/>
      <c r="H66" s="107"/>
      <c r="I66" s="107"/>
      <c r="J66" s="107"/>
      <c r="K66" s="107"/>
      <c r="L66" s="107"/>
      <c r="M66" s="108"/>
    </row>
    <row r="67" ht="18.0" customHeight="1">
      <c r="A67" s="104" t="str">
        <f>'analysis _non-RE-nodes'!A69</f>
        <v>Golden Koala</v>
      </c>
      <c r="B67" s="79" t="str">
        <f t="shared" si="1"/>
        <v>golden-koala</v>
      </c>
      <c r="C67" s="105" t="str">
        <f t="shared" si="2"/>
        <v>Golden Koala</v>
      </c>
      <c r="D67" s="105" t="str">
        <f>IFERROR(__xludf.DUMMYFUNCTION("TEXTJOIN("""", TRUE, ARRAYFORMULA(LEFT(SPLIT(C67, "" ""),1)))"),"GK")</f>
        <v>GK</v>
      </c>
      <c r="E67" s="101"/>
      <c r="F67" s="101" t="s">
        <v>593</v>
      </c>
      <c r="G67" s="107"/>
      <c r="H67" s="107"/>
      <c r="I67" s="107"/>
      <c r="J67" s="107"/>
      <c r="K67" s="107"/>
      <c r="L67" s="107"/>
      <c r="M67" s="108"/>
    </row>
    <row r="68" ht="18.0" customHeight="1">
      <c r="A68" s="104" t="str">
        <f>'analysis _non-RE-nodes'!A70</f>
        <v>Golden Kookaburra</v>
      </c>
      <c r="B68" s="79" t="str">
        <f t="shared" si="1"/>
        <v>golden-kookaburra</v>
      </c>
      <c r="C68" s="105" t="str">
        <f t="shared" si="2"/>
        <v>Golden Kookaburra</v>
      </c>
      <c r="D68" s="105" t="str">
        <f>IFERROR(__xludf.DUMMYFUNCTION("TEXTJOIN("""", TRUE, ARRAYFORMULA(LEFT(SPLIT(C68, "" ""),1)))"),"GK")</f>
        <v>GK</v>
      </c>
      <c r="E68" s="101"/>
      <c r="F68" s="101" t="s">
        <v>593</v>
      </c>
      <c r="G68" s="107"/>
      <c r="H68" s="107"/>
      <c r="I68" s="107"/>
      <c r="J68" s="107"/>
      <c r="K68" s="107"/>
      <c r="L68" s="107"/>
      <c r="M68" s="108"/>
    </row>
    <row r="69" ht="18.0" customHeight="1">
      <c r="A69" s="104" t="str">
        <f>'analysis _non-RE-nodes'!A71</f>
        <v>Golden Lyrebird</v>
      </c>
      <c r="B69" s="79" t="str">
        <f t="shared" si="1"/>
        <v>golden-lyrebird</v>
      </c>
      <c r="C69" s="105" t="str">
        <f t="shared" si="2"/>
        <v>Golden Lyrebird</v>
      </c>
      <c r="D69" s="105" t="str">
        <f>IFERROR(__xludf.DUMMYFUNCTION("TEXTJOIN("""", TRUE, ARRAYFORMULA(LEFT(SPLIT(C69, "" ""),1)))"),"GL")</f>
        <v>GL</v>
      </c>
      <c r="E69" s="101"/>
      <c r="F69" s="101" t="s">
        <v>593</v>
      </c>
      <c r="G69" s="107"/>
      <c r="H69" s="107"/>
      <c r="I69" s="107"/>
      <c r="J69" s="107"/>
      <c r="K69" s="107"/>
      <c r="L69" s="107"/>
      <c r="M69" s="108"/>
    </row>
    <row r="70" ht="18.0" customHeight="1">
      <c r="A70" s="104" t="str">
        <f>'analysis _non-RE-nodes'!A72</f>
        <v>Golden Perentie</v>
      </c>
      <c r="B70" s="79" t="str">
        <f t="shared" si="1"/>
        <v>golden-perentie</v>
      </c>
      <c r="C70" s="105" t="str">
        <f t="shared" si="2"/>
        <v>Golden Perentie</v>
      </c>
      <c r="D70" s="105" t="str">
        <f>IFERROR(__xludf.DUMMYFUNCTION("TEXTJOIN("""", TRUE, ARRAYFORMULA(LEFT(SPLIT(C70, "" ""),1)))"),"GP")</f>
        <v>GP</v>
      </c>
      <c r="E70" s="101"/>
      <c r="F70" s="101" t="s">
        <v>593</v>
      </c>
      <c r="G70" s="107"/>
      <c r="H70" s="107"/>
      <c r="I70" s="107"/>
      <c r="J70" s="107"/>
      <c r="K70" s="107"/>
      <c r="L70" s="107"/>
      <c r="M70" s="108"/>
    </row>
    <row r="71" ht="18.0" customHeight="1">
      <c r="A71" s="104" t="str">
        <f>'analysis _non-RE-nodes'!A73</f>
        <v>Golden Tasmanian Devil</v>
      </c>
      <c r="B71" s="79" t="str">
        <f t="shared" si="1"/>
        <v>golden-tasmanian-devil</v>
      </c>
      <c r="C71" s="105" t="str">
        <f t="shared" si="2"/>
        <v>Golden Tasmanian Devil</v>
      </c>
      <c r="D71" s="105" t="str">
        <f>IFERROR(__xludf.DUMMYFUNCTION("TEXTJOIN("""", TRUE, ARRAYFORMULA(LEFT(SPLIT(C71, "" ""),1)))"),"GTD")</f>
        <v>GTD</v>
      </c>
      <c r="E71" s="101"/>
      <c r="F71" s="101" t="s">
        <v>593</v>
      </c>
      <c r="G71" s="107"/>
      <c r="H71" s="107"/>
      <c r="I71" s="107"/>
      <c r="J71" s="107"/>
      <c r="K71" s="107"/>
      <c r="L71" s="107"/>
      <c r="M71" s="108"/>
    </row>
    <row r="72" ht="18.0" customHeight="1">
      <c r="A72" s="104" t="str">
        <f>'analysis _non-RE-nodes'!A74</f>
        <v>Golden Wallaby</v>
      </c>
      <c r="B72" s="79" t="str">
        <f t="shared" si="1"/>
        <v>golden-wallaby</v>
      </c>
      <c r="C72" s="105" t="str">
        <f t="shared" si="2"/>
        <v>Golden Wallaby</v>
      </c>
      <c r="D72" s="105" t="str">
        <f>IFERROR(__xludf.DUMMYFUNCTION("TEXTJOIN("""", TRUE, ARRAYFORMULA(LEFT(SPLIT(C72, "" ""),1)))"),"GW")</f>
        <v>GW</v>
      </c>
      <c r="E72" s="101"/>
      <c r="F72" s="101" t="s">
        <v>593</v>
      </c>
      <c r="G72" s="107"/>
      <c r="H72" s="107"/>
      <c r="I72" s="107"/>
      <c r="J72" s="107"/>
      <c r="K72" s="107"/>
      <c r="L72" s="107"/>
      <c r="M72" s="108"/>
    </row>
    <row r="73" ht="18.0" customHeight="1">
      <c r="A73" s="104" t="str">
        <f>'analysis _non-RE-nodes'!A75</f>
        <v>Green Bandicoot</v>
      </c>
      <c r="B73" s="79" t="str">
        <f t="shared" si="1"/>
        <v>green-bandicoot</v>
      </c>
      <c r="C73" s="105" t="str">
        <f t="shared" si="2"/>
        <v>Green Bandicoot</v>
      </c>
      <c r="D73" s="105" t="str">
        <f>IFERROR(__xludf.DUMMYFUNCTION("TEXTJOIN("""", TRUE, ARRAYFORMULA(LEFT(SPLIT(C73, "" ""),1)))"),"GB")</f>
        <v>GB</v>
      </c>
      <c r="E73" s="101"/>
      <c r="F73" s="101" t="s">
        <v>593</v>
      </c>
      <c r="G73" s="107"/>
      <c r="H73" s="107"/>
      <c r="I73" s="107"/>
      <c r="J73" s="107"/>
      <c r="K73" s="107"/>
      <c r="L73" s="107"/>
      <c r="M73" s="108"/>
    </row>
    <row r="74" ht="18.0" customHeight="1">
      <c r="A74" s="104" t="str">
        <f>'analysis _non-RE-nodes'!A76</f>
        <v>Green Bush Stone-curlew</v>
      </c>
      <c r="B74" s="79" t="str">
        <f t="shared" si="1"/>
        <v>green-bush-stone-curlew</v>
      </c>
      <c r="C74" s="105" t="str">
        <f t="shared" si="2"/>
        <v>Green Bush Stone-curlew</v>
      </c>
      <c r="D74" s="105" t="str">
        <f>IFERROR(__xludf.DUMMYFUNCTION("TEXTJOIN("""", TRUE, ARRAYFORMULA(LEFT(SPLIT(C74, "" ""),1)))"),"GBS")</f>
        <v>GBS</v>
      </c>
      <c r="E74" s="101"/>
      <c r="F74" s="101" t="s">
        <v>593</v>
      </c>
      <c r="G74" s="107"/>
      <c r="H74" s="107"/>
      <c r="I74" s="107"/>
      <c r="J74" s="107"/>
      <c r="K74" s="107"/>
      <c r="L74" s="107"/>
      <c r="M74" s="108"/>
    </row>
    <row r="75" ht="18.0" customHeight="1">
      <c r="A75" s="104" t="str">
        <f>'analysis _non-RE-nodes'!A77</f>
        <v>Green Dingo</v>
      </c>
      <c r="B75" s="79" t="str">
        <f t="shared" si="1"/>
        <v>green-dingo</v>
      </c>
      <c r="C75" s="105" t="str">
        <f t="shared" si="2"/>
        <v>Green Dingo</v>
      </c>
      <c r="D75" s="105" t="str">
        <f>IFERROR(__xludf.DUMMYFUNCTION("TEXTJOIN("""", TRUE, ARRAYFORMULA(LEFT(SPLIT(C75, "" ""),1)))"),"GD")</f>
        <v>GD</v>
      </c>
      <c r="E75" s="101"/>
      <c r="F75" s="101" t="s">
        <v>593</v>
      </c>
      <c r="G75" s="107"/>
      <c r="H75" s="107"/>
      <c r="I75" s="107"/>
      <c r="J75" s="107"/>
      <c r="K75" s="107"/>
      <c r="L75" s="107"/>
      <c r="M75" s="108"/>
    </row>
    <row r="76" ht="18.0" customHeight="1">
      <c r="A76" s="104" t="str">
        <f>'analysis _non-RE-nodes'!A78</f>
        <v>Green Emu</v>
      </c>
      <c r="B76" s="79" t="str">
        <f t="shared" si="1"/>
        <v>green-emu</v>
      </c>
      <c r="C76" s="105" t="str">
        <f t="shared" si="2"/>
        <v>Green Emu</v>
      </c>
      <c r="D76" s="105" t="str">
        <f>IFERROR(__xludf.DUMMYFUNCTION("TEXTJOIN("""", TRUE, ARRAYFORMULA(LEFT(SPLIT(C76, "" ""),1)))"),"GE")</f>
        <v>GE</v>
      </c>
      <c r="E76" s="101"/>
      <c r="F76" s="101" t="s">
        <v>593</v>
      </c>
      <c r="G76" s="107"/>
      <c r="H76" s="107"/>
      <c r="I76" s="107"/>
      <c r="J76" s="107"/>
      <c r="K76" s="107"/>
      <c r="L76" s="107"/>
      <c r="M76" s="108"/>
    </row>
    <row r="77" ht="18.0" customHeight="1">
      <c r="A77" s="104" t="str">
        <f>'analysis _non-RE-nodes'!A79</f>
        <v>Green Kangaroo</v>
      </c>
      <c r="B77" s="79" t="str">
        <f t="shared" si="1"/>
        <v>green-kangaroo</v>
      </c>
      <c r="C77" s="105" t="str">
        <f t="shared" si="2"/>
        <v>Green Kangaroo</v>
      </c>
      <c r="D77" s="105" t="str">
        <f>IFERROR(__xludf.DUMMYFUNCTION("TEXTJOIN("""", TRUE, ARRAYFORMULA(LEFT(SPLIT(C77, "" ""),1)))"),"GK")</f>
        <v>GK</v>
      </c>
      <c r="E77" s="101"/>
      <c r="F77" s="101" t="s">
        <v>593</v>
      </c>
      <c r="G77" s="107"/>
      <c r="H77" s="107"/>
      <c r="I77" s="107"/>
      <c r="J77" s="107"/>
      <c r="K77" s="107"/>
      <c r="L77" s="107"/>
      <c r="M77" s="108"/>
    </row>
    <row r="78" ht="18.0" customHeight="1">
      <c r="A78" s="104" t="str">
        <f>'analysis _non-RE-nodes'!A80</f>
        <v>Green Koala</v>
      </c>
      <c r="B78" s="79" t="str">
        <f t="shared" si="1"/>
        <v>green-koala</v>
      </c>
      <c r="C78" s="105" t="str">
        <f t="shared" si="2"/>
        <v>Green Koala</v>
      </c>
      <c r="D78" s="105" t="str">
        <f>IFERROR(__xludf.DUMMYFUNCTION("TEXTJOIN("""", TRUE, ARRAYFORMULA(LEFT(SPLIT(C78, "" ""),1)))"),"GK")</f>
        <v>GK</v>
      </c>
      <c r="E78" s="101"/>
      <c r="F78" s="101" t="s">
        <v>593</v>
      </c>
      <c r="G78" s="107"/>
      <c r="H78" s="107"/>
      <c r="I78" s="107"/>
      <c r="J78" s="107"/>
      <c r="K78" s="107"/>
      <c r="L78" s="107"/>
      <c r="M78" s="108"/>
    </row>
    <row r="79" ht="18.0" customHeight="1">
      <c r="A79" s="104" t="str">
        <f>'analysis _non-RE-nodes'!A81</f>
        <v>Green Platypus</v>
      </c>
      <c r="B79" s="79" t="str">
        <f t="shared" si="1"/>
        <v>green-platypus</v>
      </c>
      <c r="C79" s="105" t="str">
        <f t="shared" si="2"/>
        <v>Green Platypus</v>
      </c>
      <c r="D79" s="105" t="str">
        <f>IFERROR(__xludf.DUMMYFUNCTION("TEXTJOIN("""", TRUE, ARRAYFORMULA(LEFT(SPLIT(C79, "" ""),1)))"),"GP")</f>
        <v>GP</v>
      </c>
      <c r="E79" s="101"/>
      <c r="F79" s="101" t="s">
        <v>593</v>
      </c>
      <c r="G79" s="107"/>
      <c r="H79" s="107"/>
      <c r="I79" s="107"/>
      <c r="J79" s="107"/>
      <c r="K79" s="107"/>
      <c r="L79" s="107"/>
      <c r="M79" s="108"/>
    </row>
    <row r="80" ht="18.0" customHeight="1">
      <c r="A80" s="104" t="str">
        <f>'analysis _non-RE-nodes'!A82</f>
        <v>Green Redback Spider</v>
      </c>
      <c r="B80" s="79" t="str">
        <f t="shared" si="1"/>
        <v>green-redback-spider</v>
      </c>
      <c r="C80" s="105" t="str">
        <f t="shared" si="2"/>
        <v>Green Redback Spider</v>
      </c>
      <c r="D80" s="105" t="str">
        <f>IFERROR(__xludf.DUMMYFUNCTION("TEXTJOIN("""", TRUE, ARRAYFORMULA(LEFT(SPLIT(C80, "" ""),1)))"),"GRS")</f>
        <v>GRS</v>
      </c>
      <c r="E80" s="101"/>
      <c r="F80" s="101" t="s">
        <v>593</v>
      </c>
      <c r="G80" s="107"/>
      <c r="H80" s="107"/>
      <c r="I80" s="107"/>
      <c r="J80" s="107"/>
      <c r="K80" s="107"/>
      <c r="L80" s="107"/>
      <c r="M80" s="108"/>
    </row>
    <row r="81" ht="18.0" customHeight="1">
      <c r="A81" s="104" t="str">
        <f>'analysis _non-RE-nodes'!A83</f>
        <v>Green Rosella</v>
      </c>
      <c r="B81" s="79" t="str">
        <f t="shared" si="1"/>
        <v>green-rosella</v>
      </c>
      <c r="C81" s="105" t="str">
        <f t="shared" si="2"/>
        <v>Green Rosella</v>
      </c>
      <c r="D81" s="105" t="str">
        <f>IFERROR(__xludf.DUMMYFUNCTION("TEXTJOIN("""", TRUE, ARRAYFORMULA(LEFT(SPLIT(C81, "" ""),1)))"),"GR")</f>
        <v>GR</v>
      </c>
      <c r="E81" s="101"/>
      <c r="F81" s="101" t="s">
        <v>593</v>
      </c>
      <c r="G81" s="107"/>
      <c r="H81" s="107"/>
      <c r="I81" s="107"/>
      <c r="J81" s="107"/>
      <c r="K81" s="107"/>
      <c r="L81" s="107"/>
      <c r="M81" s="108"/>
    </row>
    <row r="82" ht="18.0" customHeight="1">
      <c r="A82" s="104" t="str">
        <f>'analysis _non-RE-nodes'!A84</f>
        <v>Green Tasmanian Devil</v>
      </c>
      <c r="B82" s="79" t="str">
        <f t="shared" si="1"/>
        <v>green-tasmanian-devil</v>
      </c>
      <c r="C82" s="105" t="str">
        <f t="shared" si="2"/>
        <v>Green Tasmanian Devil</v>
      </c>
      <c r="D82" s="105" t="str">
        <f>IFERROR(__xludf.DUMMYFUNCTION("TEXTJOIN("""", TRUE, ARRAYFORMULA(LEFT(SPLIT(C82, "" ""),1)))"),"GTD")</f>
        <v>GTD</v>
      </c>
      <c r="E82" s="101"/>
      <c r="F82" s="101" t="s">
        <v>593</v>
      </c>
      <c r="G82" s="107"/>
      <c r="H82" s="107"/>
      <c r="I82" s="107"/>
      <c r="J82" s="107"/>
      <c r="K82" s="107"/>
      <c r="L82" s="107"/>
      <c r="M82" s="108"/>
    </row>
    <row r="83" ht="18.0" customHeight="1">
      <c r="A83" s="104" t="str">
        <f>'analysis _non-RE-nodes'!A85</f>
        <v>Green Wombat</v>
      </c>
      <c r="B83" s="79" t="str">
        <f t="shared" si="1"/>
        <v>green-wombat</v>
      </c>
      <c r="C83" s="105" t="str">
        <f t="shared" si="2"/>
        <v>Green Wombat</v>
      </c>
      <c r="D83" s="105" t="str">
        <f>IFERROR(__xludf.DUMMYFUNCTION("TEXTJOIN("""", TRUE, ARRAYFORMULA(LEFT(SPLIT(C83, "" ""),1)))"),"GW")</f>
        <v>GW</v>
      </c>
      <c r="E83" s="101"/>
      <c r="F83" s="101" t="s">
        <v>593</v>
      </c>
      <c r="G83" s="107"/>
      <c r="H83" s="107"/>
      <c r="I83" s="107"/>
      <c r="J83" s="107"/>
      <c r="K83" s="107"/>
      <c r="L83" s="107"/>
      <c r="M83" s="108"/>
    </row>
    <row r="84" ht="18.0" customHeight="1">
      <c r="A84" s="104" t="str">
        <f>'analysis _non-RE-nodes'!A86</f>
        <v>Happy Blue-tongue Skink</v>
      </c>
      <c r="B84" s="79" t="str">
        <f t="shared" si="1"/>
        <v>happy-blue-tongue-skink</v>
      </c>
      <c r="C84" s="105" t="str">
        <f t="shared" si="2"/>
        <v>Happy Blue-tongue Skink</v>
      </c>
      <c r="D84" s="105" t="str">
        <f>IFERROR(__xludf.DUMMYFUNCTION("TEXTJOIN("""", TRUE, ARRAYFORMULA(LEFT(SPLIT(C84, "" ""),1)))"),"HBS")</f>
        <v>HBS</v>
      </c>
      <c r="E84" s="101"/>
      <c r="F84" s="101" t="s">
        <v>593</v>
      </c>
      <c r="G84" s="107"/>
      <c r="H84" s="107"/>
      <c r="I84" s="107"/>
      <c r="J84" s="107"/>
      <c r="K84" s="107"/>
      <c r="L84" s="107"/>
      <c r="M84" s="108"/>
    </row>
    <row r="85" ht="18.0" customHeight="1">
      <c r="A85" s="104" t="str">
        <f>'analysis _non-RE-nodes'!A87</f>
        <v>Happy Echidna</v>
      </c>
      <c r="B85" s="79" t="str">
        <f t="shared" si="1"/>
        <v>happy-echidna</v>
      </c>
      <c r="C85" s="105" t="str">
        <f t="shared" si="2"/>
        <v>Happy Echidna</v>
      </c>
      <c r="D85" s="105" t="str">
        <f>IFERROR(__xludf.DUMMYFUNCTION("TEXTJOIN("""", TRUE, ARRAYFORMULA(LEFT(SPLIT(C85, "" ""),1)))"),"HE")</f>
        <v>HE</v>
      </c>
      <c r="E85" s="101"/>
      <c r="F85" s="101" t="s">
        <v>593</v>
      </c>
      <c r="G85" s="107"/>
      <c r="H85" s="107"/>
      <c r="I85" s="107"/>
      <c r="J85" s="107"/>
      <c r="K85" s="107"/>
      <c r="L85" s="107"/>
      <c r="M85" s="108"/>
    </row>
    <row r="86" ht="18.0" customHeight="1">
      <c r="A86" s="104" t="str">
        <f>'analysis _non-RE-nodes'!A88</f>
        <v>Happy Fairy Penguin</v>
      </c>
      <c r="B86" s="79" t="str">
        <f t="shared" si="1"/>
        <v>happy-fairy-penguin</v>
      </c>
      <c r="C86" s="105" t="str">
        <f t="shared" si="2"/>
        <v>Happy Fairy Penguin</v>
      </c>
      <c r="D86" s="105" t="str">
        <f>IFERROR(__xludf.DUMMYFUNCTION("TEXTJOIN("""", TRUE, ARRAYFORMULA(LEFT(SPLIT(C86, "" ""),1)))"),"HFP")</f>
        <v>HFP</v>
      </c>
      <c r="E86" s="101"/>
      <c r="F86" s="101" t="s">
        <v>593</v>
      </c>
      <c r="G86" s="107"/>
      <c r="H86" s="107"/>
      <c r="I86" s="107"/>
      <c r="J86" s="107"/>
      <c r="K86" s="107"/>
      <c r="L86" s="107"/>
      <c r="M86" s="108"/>
    </row>
    <row r="87" ht="18.0" customHeight="1">
      <c r="A87" s="104" t="str">
        <f>'analysis _non-RE-nodes'!A89</f>
        <v>Happy Frilled Neck Lizard</v>
      </c>
      <c r="B87" s="79" t="str">
        <f t="shared" si="1"/>
        <v>happy-frilled-neck-lizard</v>
      </c>
      <c r="C87" s="105" t="str">
        <f t="shared" si="2"/>
        <v>Happy Frilled Neck Lizard</v>
      </c>
      <c r="D87" s="105" t="str">
        <f>IFERROR(__xludf.DUMMYFUNCTION("TEXTJOIN("""", TRUE, ARRAYFORMULA(LEFT(SPLIT(C87, "" ""),1)))"),"HFNL")</f>
        <v>HFNL</v>
      </c>
      <c r="E87" s="101"/>
      <c r="F87" s="101" t="s">
        <v>593</v>
      </c>
      <c r="G87" s="107"/>
      <c r="H87" s="107"/>
      <c r="I87" s="107"/>
      <c r="J87" s="107"/>
      <c r="K87" s="107"/>
      <c r="L87" s="107"/>
      <c r="M87" s="108"/>
    </row>
    <row r="88" ht="18.0" customHeight="1">
      <c r="A88" s="104" t="str">
        <f>'analysis _non-RE-nodes'!A90</f>
        <v>Happy Goanna</v>
      </c>
      <c r="B88" s="79" t="str">
        <f t="shared" si="1"/>
        <v>happy-goanna</v>
      </c>
      <c r="C88" s="105" t="str">
        <f t="shared" si="2"/>
        <v>Happy Goanna</v>
      </c>
      <c r="D88" s="105" t="str">
        <f>IFERROR(__xludf.DUMMYFUNCTION("TEXTJOIN("""", TRUE, ARRAYFORMULA(LEFT(SPLIT(C88, "" ""),1)))"),"HG")</f>
        <v>HG</v>
      </c>
      <c r="E88" s="101"/>
      <c r="F88" s="101" t="s">
        <v>593</v>
      </c>
      <c r="G88" s="107"/>
      <c r="H88" s="107"/>
      <c r="I88" s="107"/>
      <c r="J88" s="107"/>
      <c r="K88" s="107"/>
      <c r="L88" s="107"/>
      <c r="M88" s="108"/>
    </row>
    <row r="89" ht="18.0" customHeight="1">
      <c r="A89" s="104" t="str">
        <f>'analysis _non-RE-nodes'!A91</f>
        <v>Happy Perentie</v>
      </c>
      <c r="B89" s="79" t="str">
        <f t="shared" si="1"/>
        <v>happy-perentie</v>
      </c>
      <c r="C89" s="105" t="str">
        <f t="shared" si="2"/>
        <v>Happy Perentie</v>
      </c>
      <c r="D89" s="105" t="str">
        <f>IFERROR(__xludf.DUMMYFUNCTION("TEXTJOIN("""", TRUE, ARRAYFORMULA(LEFT(SPLIT(C89, "" ""),1)))"),"HP")</f>
        <v>HP</v>
      </c>
      <c r="E89" s="101"/>
      <c r="F89" s="101" t="s">
        <v>593</v>
      </c>
      <c r="G89" s="107"/>
      <c r="H89" s="107"/>
      <c r="I89" s="107"/>
      <c r="J89" s="107"/>
      <c r="K89" s="107"/>
      <c r="L89" s="107"/>
      <c r="M89" s="108"/>
    </row>
    <row r="90" ht="18.0" customHeight="1">
      <c r="A90" s="104" t="str">
        <f>'analysis _non-RE-nodes'!A92</f>
        <v>Happy Platypus</v>
      </c>
      <c r="B90" s="79" t="str">
        <f t="shared" si="1"/>
        <v>happy-platypus</v>
      </c>
      <c r="C90" s="105" t="str">
        <f t="shared" si="2"/>
        <v>Happy Platypus</v>
      </c>
      <c r="D90" s="105" t="str">
        <f>IFERROR(__xludf.DUMMYFUNCTION("TEXTJOIN("""", TRUE, ARRAYFORMULA(LEFT(SPLIT(C90, "" ""),1)))"),"HP")</f>
        <v>HP</v>
      </c>
      <c r="E90" s="101"/>
      <c r="F90" s="101" t="s">
        <v>593</v>
      </c>
      <c r="G90" s="107"/>
      <c r="H90" s="107"/>
      <c r="I90" s="107"/>
      <c r="J90" s="107"/>
      <c r="K90" s="107"/>
      <c r="L90" s="107"/>
      <c r="M90" s="108"/>
    </row>
    <row r="91" ht="18.0" customHeight="1">
      <c r="A91" s="104" t="str">
        <f>'analysis _non-RE-nodes'!A93</f>
        <v>Happy Quokka</v>
      </c>
      <c r="B91" s="79" t="str">
        <f t="shared" si="1"/>
        <v>happy-quokka</v>
      </c>
      <c r="C91" s="105" t="str">
        <f t="shared" si="2"/>
        <v>Happy Quokka</v>
      </c>
      <c r="D91" s="105" t="str">
        <f>IFERROR(__xludf.DUMMYFUNCTION("TEXTJOIN("""", TRUE, ARRAYFORMULA(LEFT(SPLIT(C91, "" ""),1)))"),"HQ")</f>
        <v>HQ</v>
      </c>
      <c r="E91" s="101"/>
      <c r="F91" s="101" t="s">
        <v>593</v>
      </c>
      <c r="G91" s="107"/>
      <c r="H91" s="107"/>
      <c r="I91" s="107"/>
      <c r="J91" s="107"/>
      <c r="K91" s="107"/>
      <c r="L91" s="107"/>
      <c r="M91" s="108"/>
    </row>
    <row r="92" ht="18.0" customHeight="1">
      <c r="A92" s="104" t="str">
        <f>'analysis _non-RE-nodes'!A94</f>
        <v>Happy Rosella</v>
      </c>
      <c r="B92" s="79" t="str">
        <f t="shared" si="1"/>
        <v>happy-rosella</v>
      </c>
      <c r="C92" s="105" t="str">
        <f t="shared" si="2"/>
        <v>Happy Rosella</v>
      </c>
      <c r="D92" s="105" t="str">
        <f>IFERROR(__xludf.DUMMYFUNCTION("TEXTJOIN("""", TRUE, ARRAYFORMULA(LEFT(SPLIT(C92, "" ""),1)))"),"HR")</f>
        <v>HR</v>
      </c>
      <c r="E92" s="101"/>
      <c r="F92" s="101" t="s">
        <v>593</v>
      </c>
      <c r="G92" s="107"/>
      <c r="H92" s="107"/>
      <c r="I92" s="107"/>
      <c r="J92" s="107"/>
      <c r="K92" s="107"/>
      <c r="L92" s="107"/>
      <c r="M92" s="108"/>
    </row>
    <row r="93" ht="18.0" customHeight="1">
      <c r="A93" s="104" t="str">
        <f>'analysis _non-RE-nodes'!A95</f>
        <v>Lazy Bilby</v>
      </c>
      <c r="B93" s="79" t="str">
        <f t="shared" si="1"/>
        <v>lazy-bilby</v>
      </c>
      <c r="C93" s="105" t="str">
        <f t="shared" si="2"/>
        <v>Lazy Bilby</v>
      </c>
      <c r="D93" s="105" t="str">
        <f>IFERROR(__xludf.DUMMYFUNCTION("TEXTJOIN("""", TRUE, ARRAYFORMULA(LEFT(SPLIT(C93, "" ""),1)))"),"LB")</f>
        <v>LB</v>
      </c>
      <c r="E93" s="101"/>
      <c r="F93" s="101" t="s">
        <v>593</v>
      </c>
      <c r="G93" s="107"/>
      <c r="H93" s="107"/>
      <c r="I93" s="107"/>
      <c r="J93" s="107"/>
      <c r="K93" s="107"/>
      <c r="L93" s="107"/>
      <c r="M93" s="108"/>
    </row>
    <row r="94" ht="18.0" customHeight="1">
      <c r="A94" s="104" t="str">
        <f>'analysis _non-RE-nodes'!A96</f>
        <v>Lazy Blue-tongue Skink</v>
      </c>
      <c r="B94" s="79" t="str">
        <f t="shared" si="1"/>
        <v>lazy-blue-tongue-skink</v>
      </c>
      <c r="C94" s="105" t="str">
        <f t="shared" si="2"/>
        <v>Lazy Blue-tongue Skink</v>
      </c>
      <c r="D94" s="105" t="str">
        <f>IFERROR(__xludf.DUMMYFUNCTION("TEXTJOIN("""", TRUE, ARRAYFORMULA(LEFT(SPLIT(C94, "" ""),1)))"),"LBS")</f>
        <v>LBS</v>
      </c>
      <c r="E94" s="101"/>
      <c r="F94" s="101" t="s">
        <v>593</v>
      </c>
      <c r="G94" s="107"/>
      <c r="H94" s="107"/>
      <c r="I94" s="107"/>
      <c r="J94" s="107"/>
      <c r="K94" s="107"/>
      <c r="L94" s="107"/>
      <c r="M94" s="108"/>
    </row>
    <row r="95" ht="18.0" customHeight="1">
      <c r="A95" s="104" t="str">
        <f>'analysis _non-RE-nodes'!A97</f>
        <v>Lazy Cockatoo</v>
      </c>
      <c r="B95" s="79" t="str">
        <f t="shared" si="1"/>
        <v>lazy-cockatoo</v>
      </c>
      <c r="C95" s="105" t="str">
        <f t="shared" si="2"/>
        <v>Lazy Cockatoo</v>
      </c>
      <c r="D95" s="105" t="str">
        <f>IFERROR(__xludf.DUMMYFUNCTION("TEXTJOIN("""", TRUE, ARRAYFORMULA(LEFT(SPLIT(C95, "" ""),1)))"),"LC")</f>
        <v>LC</v>
      </c>
      <c r="E95" s="101"/>
      <c r="F95" s="101" t="s">
        <v>593</v>
      </c>
      <c r="G95" s="107"/>
      <c r="H95" s="107"/>
      <c r="I95" s="107"/>
      <c r="J95" s="107"/>
      <c r="K95" s="107"/>
      <c r="L95" s="107"/>
      <c r="M95" s="108"/>
    </row>
    <row r="96" ht="18.0" customHeight="1">
      <c r="A96" s="104" t="str">
        <f>'analysis _non-RE-nodes'!A98</f>
        <v>Lazy Fairy Penguin</v>
      </c>
      <c r="B96" s="79" t="str">
        <f t="shared" si="1"/>
        <v>lazy-fairy-penguin</v>
      </c>
      <c r="C96" s="105" t="str">
        <f t="shared" si="2"/>
        <v>Lazy Fairy Penguin</v>
      </c>
      <c r="D96" s="105" t="str">
        <f>IFERROR(__xludf.DUMMYFUNCTION("TEXTJOIN("""", TRUE, ARRAYFORMULA(LEFT(SPLIT(C96, "" ""),1)))"),"LFP")</f>
        <v>LFP</v>
      </c>
      <c r="E96" s="101"/>
      <c r="F96" s="101" t="s">
        <v>593</v>
      </c>
      <c r="G96" s="107"/>
      <c r="H96" s="107"/>
      <c r="I96" s="107"/>
      <c r="J96" s="107"/>
      <c r="K96" s="107"/>
      <c r="L96" s="107"/>
      <c r="M96" s="108"/>
    </row>
    <row r="97" ht="18.0" customHeight="1">
      <c r="A97" s="104" t="str">
        <f>'analysis _non-RE-nodes'!A99</f>
        <v>Lazy Goanna</v>
      </c>
      <c r="B97" s="79" t="str">
        <f t="shared" si="1"/>
        <v>lazy-goanna</v>
      </c>
      <c r="C97" s="105" t="str">
        <f t="shared" si="2"/>
        <v>Lazy Goanna</v>
      </c>
      <c r="D97" s="105" t="str">
        <f>IFERROR(__xludf.DUMMYFUNCTION("TEXTJOIN("""", TRUE, ARRAYFORMULA(LEFT(SPLIT(C97, "" ""),1)))"),"LG")</f>
        <v>LG</v>
      </c>
      <c r="E97" s="101"/>
      <c r="F97" s="101" t="s">
        <v>593</v>
      </c>
      <c r="G97" s="107"/>
      <c r="H97" s="107"/>
      <c r="I97" s="107"/>
      <c r="J97" s="107"/>
      <c r="K97" s="107"/>
      <c r="L97" s="107"/>
      <c r="M97" s="108"/>
    </row>
    <row r="98" ht="18.0" customHeight="1">
      <c r="A98" s="104" t="str">
        <f>'analysis _non-RE-nodes'!A100</f>
        <v>Lazy Kangaroo</v>
      </c>
      <c r="B98" s="79" t="str">
        <f t="shared" si="1"/>
        <v>lazy-kangaroo</v>
      </c>
      <c r="C98" s="105" t="str">
        <f t="shared" si="2"/>
        <v>Lazy Kangaroo</v>
      </c>
      <c r="D98" s="105" t="str">
        <f>IFERROR(__xludf.DUMMYFUNCTION("TEXTJOIN("""", TRUE, ARRAYFORMULA(LEFT(SPLIT(C98, "" ""),1)))"),"LK")</f>
        <v>LK</v>
      </c>
      <c r="E98" s="101"/>
      <c r="F98" s="101" t="s">
        <v>593</v>
      </c>
      <c r="G98" s="107"/>
      <c r="H98" s="107"/>
      <c r="I98" s="107"/>
      <c r="J98" s="107"/>
      <c r="K98" s="107"/>
      <c r="L98" s="107"/>
      <c r="M98" s="108"/>
    </row>
    <row r="99" ht="18.0" customHeight="1">
      <c r="A99" s="104" t="str">
        <f>'analysis _non-RE-nodes'!A101</f>
        <v>Lazy Perentie</v>
      </c>
      <c r="B99" s="79" t="str">
        <f t="shared" si="1"/>
        <v>lazy-perentie</v>
      </c>
      <c r="C99" s="105" t="str">
        <f t="shared" si="2"/>
        <v>Lazy Perentie</v>
      </c>
      <c r="D99" s="105" t="str">
        <f>IFERROR(__xludf.DUMMYFUNCTION("TEXTJOIN("""", TRUE, ARRAYFORMULA(LEFT(SPLIT(C99, "" ""),1)))"),"LP")</f>
        <v>LP</v>
      </c>
      <c r="E99" s="101"/>
      <c r="F99" s="101" t="s">
        <v>593</v>
      </c>
      <c r="G99" s="107"/>
      <c r="H99" s="107"/>
      <c r="I99" s="107"/>
      <c r="J99" s="107"/>
      <c r="K99" s="107"/>
      <c r="L99" s="107"/>
      <c r="M99" s="108"/>
    </row>
    <row r="100" ht="18.0" customHeight="1">
      <c r="A100" s="104" t="str">
        <f>'analysis _non-RE-nodes'!A102</f>
        <v>Lazy Quokka</v>
      </c>
      <c r="B100" s="79" t="str">
        <f t="shared" si="1"/>
        <v>lazy-quokka</v>
      </c>
      <c r="C100" s="105" t="str">
        <f t="shared" si="2"/>
        <v>Lazy Quokka</v>
      </c>
      <c r="D100" s="105" t="str">
        <f>IFERROR(__xludf.DUMMYFUNCTION("TEXTJOIN("""", TRUE, ARRAYFORMULA(LEFT(SPLIT(C100, "" ""),1)))"),"LQ")</f>
        <v>LQ</v>
      </c>
      <c r="E100" s="101"/>
      <c r="F100" s="101" t="s">
        <v>593</v>
      </c>
      <c r="G100" s="107"/>
      <c r="H100" s="107"/>
      <c r="I100" s="107"/>
      <c r="J100" s="107"/>
      <c r="K100" s="107"/>
      <c r="L100" s="107"/>
      <c r="M100" s="108"/>
    </row>
    <row r="101" ht="18.0" customHeight="1">
      <c r="A101" s="104" t="str">
        <f>'analysis _non-RE-nodes'!A103</f>
        <v>Lazy Tree Kangaroo</v>
      </c>
      <c r="B101" s="79" t="str">
        <f t="shared" si="1"/>
        <v>lazy-tree-kangaroo</v>
      </c>
      <c r="C101" s="105" t="str">
        <f t="shared" si="2"/>
        <v>Lazy Tree Kangaroo</v>
      </c>
      <c r="D101" s="105" t="str">
        <f>IFERROR(__xludf.DUMMYFUNCTION("TEXTJOIN("""", TRUE, ARRAYFORMULA(LEFT(SPLIT(C101, "" ""),1)))"),"LTK")</f>
        <v>LTK</v>
      </c>
      <c r="E101" s="101"/>
      <c r="F101" s="101" t="s">
        <v>593</v>
      </c>
      <c r="G101" s="107"/>
      <c r="H101" s="107"/>
      <c r="I101" s="107"/>
      <c r="J101" s="107"/>
      <c r="K101" s="107"/>
      <c r="L101" s="107"/>
      <c r="M101" s="108"/>
    </row>
    <row r="102" ht="18.0" customHeight="1">
      <c r="A102" s="104" t="str">
        <f>'analysis _non-RE-nodes'!A104</f>
        <v>Lazy Wombat</v>
      </c>
      <c r="B102" s="79" t="str">
        <f t="shared" si="1"/>
        <v>lazy-wombat</v>
      </c>
      <c r="C102" s="105" t="str">
        <f t="shared" si="2"/>
        <v>Lazy Wombat</v>
      </c>
      <c r="D102" s="105" t="str">
        <f>IFERROR(__xludf.DUMMYFUNCTION("TEXTJOIN("""", TRUE, ARRAYFORMULA(LEFT(SPLIT(C102, "" ""),1)))"),"LW")</f>
        <v>LW</v>
      </c>
      <c r="E102" s="101"/>
      <c r="F102" s="101" t="s">
        <v>593</v>
      </c>
      <c r="G102" s="107"/>
      <c r="H102" s="107"/>
      <c r="I102" s="107"/>
      <c r="J102" s="107"/>
      <c r="K102" s="107"/>
      <c r="L102" s="107"/>
      <c r="M102" s="108"/>
    </row>
    <row r="103" ht="18.0" customHeight="1">
      <c r="A103" s="104" t="str">
        <f>'analysis _non-RE-nodes'!A105</f>
        <v>Noisy Australian Magpie</v>
      </c>
      <c r="B103" s="79" t="str">
        <f t="shared" si="1"/>
        <v>noisy-australian-magpie</v>
      </c>
      <c r="C103" s="105" t="str">
        <f t="shared" si="2"/>
        <v>Noisy Australian Magpie</v>
      </c>
      <c r="D103" s="105" t="str">
        <f>IFERROR(__xludf.DUMMYFUNCTION("TEXTJOIN("""", TRUE, ARRAYFORMULA(LEFT(SPLIT(C103, "" ""),1)))"),"NAM")</f>
        <v>NAM</v>
      </c>
      <c r="E103" s="101"/>
      <c r="F103" s="101" t="s">
        <v>593</v>
      </c>
      <c r="G103" s="107"/>
      <c r="H103" s="107"/>
      <c r="I103" s="107"/>
      <c r="J103" s="107"/>
      <c r="K103" s="107"/>
      <c r="L103" s="107"/>
      <c r="M103" s="108"/>
    </row>
    <row r="104" ht="18.0" customHeight="1">
      <c r="A104" s="104" t="str">
        <f>'analysis _non-RE-nodes'!A106</f>
        <v>Noisy Bilby</v>
      </c>
      <c r="B104" s="79" t="str">
        <f t="shared" si="1"/>
        <v>noisy-bilby</v>
      </c>
      <c r="C104" s="105" t="str">
        <f t="shared" si="2"/>
        <v>Noisy Bilby</v>
      </c>
      <c r="D104" s="105" t="str">
        <f>IFERROR(__xludf.DUMMYFUNCTION("TEXTJOIN("""", TRUE, ARRAYFORMULA(LEFT(SPLIT(C104, "" ""),1)))"),"NB")</f>
        <v>NB</v>
      </c>
      <c r="E104" s="101"/>
      <c r="F104" s="101" t="s">
        <v>593</v>
      </c>
      <c r="G104" s="107"/>
      <c r="H104" s="107"/>
      <c r="I104" s="107"/>
      <c r="J104" s="107"/>
      <c r="K104" s="107"/>
      <c r="L104" s="107"/>
      <c r="M104" s="108"/>
    </row>
    <row r="105" ht="18.0" customHeight="1">
      <c r="A105" s="104" t="str">
        <f>'analysis _non-RE-nodes'!A107</f>
        <v>Noisy Cockatoo</v>
      </c>
      <c r="B105" s="79" t="str">
        <f t="shared" si="1"/>
        <v>noisy-cockatoo</v>
      </c>
      <c r="C105" s="105" t="str">
        <f t="shared" si="2"/>
        <v>Noisy Cockatoo</v>
      </c>
      <c r="D105" s="105" t="str">
        <f>IFERROR(__xludf.DUMMYFUNCTION("TEXTJOIN("""", TRUE, ARRAYFORMULA(LEFT(SPLIT(C105, "" ""),1)))"),"NC")</f>
        <v>NC</v>
      </c>
      <c r="E105" s="101"/>
      <c r="F105" s="101" t="s">
        <v>593</v>
      </c>
      <c r="G105" s="107"/>
      <c r="H105" s="107"/>
      <c r="I105" s="107"/>
      <c r="J105" s="107"/>
      <c r="K105" s="107"/>
      <c r="L105" s="107"/>
      <c r="M105" s="108"/>
    </row>
    <row r="106" ht="18.0" customHeight="1">
      <c r="A106" s="104" t="str">
        <f>'analysis _non-RE-nodes'!A108</f>
        <v>Noisy Echidna</v>
      </c>
      <c r="B106" s="79" t="str">
        <f t="shared" si="1"/>
        <v>noisy-echidna</v>
      </c>
      <c r="C106" s="105" t="str">
        <f t="shared" si="2"/>
        <v>Noisy Echidna</v>
      </c>
      <c r="D106" s="105" t="str">
        <f>IFERROR(__xludf.DUMMYFUNCTION("TEXTJOIN("""", TRUE, ARRAYFORMULA(LEFT(SPLIT(C106, "" ""),1)))"),"NE")</f>
        <v>NE</v>
      </c>
      <c r="E106" s="101"/>
      <c r="F106" s="101" t="s">
        <v>593</v>
      </c>
      <c r="G106" s="107"/>
      <c r="H106" s="107"/>
      <c r="I106" s="107"/>
      <c r="J106" s="107"/>
      <c r="K106" s="107"/>
      <c r="L106" s="107"/>
      <c r="M106" s="108"/>
    </row>
    <row r="107" ht="18.0" customHeight="1">
      <c r="A107" s="104" t="str">
        <f>'analysis _non-RE-nodes'!A109</f>
        <v>Noisy Kangaroo</v>
      </c>
      <c r="B107" s="79" t="str">
        <f t="shared" si="1"/>
        <v>noisy-kangaroo</v>
      </c>
      <c r="C107" s="105" t="str">
        <f t="shared" si="2"/>
        <v>Noisy Kangaroo</v>
      </c>
      <c r="D107" s="105" t="str">
        <f>IFERROR(__xludf.DUMMYFUNCTION("TEXTJOIN("""", TRUE, ARRAYFORMULA(LEFT(SPLIT(C107, "" ""),1)))"),"NK")</f>
        <v>NK</v>
      </c>
      <c r="E107" s="101"/>
      <c r="F107" s="101" t="s">
        <v>593</v>
      </c>
      <c r="G107" s="107"/>
      <c r="H107" s="107"/>
      <c r="I107" s="107"/>
      <c r="J107" s="107"/>
      <c r="K107" s="107"/>
      <c r="L107" s="107"/>
      <c r="M107" s="108"/>
    </row>
    <row r="108" ht="18.0" customHeight="1">
      <c r="A108" s="104" t="str">
        <f>'analysis _non-RE-nodes'!A110</f>
        <v>Noisy Kookaburra</v>
      </c>
      <c r="B108" s="79" t="str">
        <f t="shared" si="1"/>
        <v>noisy-kookaburra</v>
      </c>
      <c r="C108" s="105" t="str">
        <f t="shared" si="2"/>
        <v>Noisy Kookaburra</v>
      </c>
      <c r="D108" s="105" t="str">
        <f>IFERROR(__xludf.DUMMYFUNCTION("TEXTJOIN("""", TRUE, ARRAYFORMULA(LEFT(SPLIT(C108, "" ""),1)))"),"NK")</f>
        <v>NK</v>
      </c>
      <c r="E108" s="101"/>
      <c r="F108" s="101" t="s">
        <v>593</v>
      </c>
      <c r="G108" s="107"/>
      <c r="H108" s="107"/>
      <c r="I108" s="107"/>
      <c r="J108" s="107"/>
      <c r="K108" s="107"/>
      <c r="L108" s="107"/>
      <c r="M108" s="108"/>
    </row>
    <row r="109" ht="18.0" customHeight="1">
      <c r="A109" s="104" t="str">
        <f>'analysis _non-RE-nodes'!A111</f>
        <v>Noisy Numbat</v>
      </c>
      <c r="B109" s="79" t="str">
        <f t="shared" si="1"/>
        <v>noisy-numbat</v>
      </c>
      <c r="C109" s="105" t="str">
        <f t="shared" si="2"/>
        <v>Noisy Numbat</v>
      </c>
      <c r="D109" s="105" t="str">
        <f>IFERROR(__xludf.DUMMYFUNCTION("TEXTJOIN("""", TRUE, ARRAYFORMULA(LEFT(SPLIT(C109, "" ""),1)))"),"NN")</f>
        <v>NN</v>
      </c>
      <c r="E109" s="101"/>
      <c r="F109" s="101" t="s">
        <v>593</v>
      </c>
      <c r="G109" s="107"/>
      <c r="H109" s="107"/>
      <c r="I109" s="107"/>
      <c r="J109" s="107"/>
      <c r="K109" s="107"/>
      <c r="L109" s="107"/>
      <c r="M109" s="108"/>
    </row>
    <row r="110" ht="18.0" customHeight="1">
      <c r="A110" s="104" t="str">
        <f>'analysis _non-RE-nodes'!A112</f>
        <v>Noisy Perentie</v>
      </c>
      <c r="B110" s="79" t="str">
        <f t="shared" si="1"/>
        <v>noisy-perentie</v>
      </c>
      <c r="C110" s="105" t="str">
        <f t="shared" si="2"/>
        <v>Noisy Perentie</v>
      </c>
      <c r="D110" s="105" t="str">
        <f>IFERROR(__xludf.DUMMYFUNCTION("TEXTJOIN("""", TRUE, ARRAYFORMULA(LEFT(SPLIT(C110, "" ""),1)))"),"NP")</f>
        <v>NP</v>
      </c>
      <c r="E110" s="101"/>
      <c r="F110" s="101" t="s">
        <v>593</v>
      </c>
      <c r="G110" s="107"/>
      <c r="H110" s="107"/>
      <c r="I110" s="107"/>
      <c r="J110" s="107"/>
      <c r="K110" s="107"/>
      <c r="L110" s="107"/>
      <c r="M110" s="108"/>
    </row>
    <row r="111" ht="18.0" customHeight="1">
      <c r="A111" s="104" t="str">
        <f>'analysis _non-RE-nodes'!A113</f>
        <v>Noisy Possum</v>
      </c>
      <c r="B111" s="79" t="str">
        <f t="shared" si="1"/>
        <v>noisy-possum</v>
      </c>
      <c r="C111" s="105" t="str">
        <f t="shared" si="2"/>
        <v>Noisy Possum</v>
      </c>
      <c r="D111" s="105" t="str">
        <f>IFERROR(__xludf.DUMMYFUNCTION("TEXTJOIN("""", TRUE, ARRAYFORMULA(LEFT(SPLIT(C111, "" ""),1)))"),"NP")</f>
        <v>NP</v>
      </c>
      <c r="E111" s="101"/>
      <c r="F111" s="101" t="s">
        <v>593</v>
      </c>
      <c r="G111" s="107"/>
      <c r="H111" s="107"/>
      <c r="I111" s="107"/>
      <c r="J111" s="107"/>
      <c r="K111" s="107"/>
      <c r="L111" s="107"/>
      <c r="M111" s="108"/>
    </row>
    <row r="112" ht="18.0" customHeight="1">
      <c r="A112" s="104" t="str">
        <f>'analysis _non-RE-nodes'!A114</f>
        <v>Noisy Redback Spider</v>
      </c>
      <c r="B112" s="79" t="str">
        <f t="shared" si="1"/>
        <v>noisy-redback-spider</v>
      </c>
      <c r="C112" s="105" t="str">
        <f t="shared" si="2"/>
        <v>Noisy Redback Spider</v>
      </c>
      <c r="D112" s="105" t="str">
        <f>IFERROR(__xludf.DUMMYFUNCTION("TEXTJOIN("""", TRUE, ARRAYFORMULA(LEFT(SPLIT(C112, "" ""),1)))"),"NRS")</f>
        <v>NRS</v>
      </c>
      <c r="E112" s="101"/>
      <c r="F112" s="101" t="s">
        <v>593</v>
      </c>
      <c r="G112" s="107"/>
      <c r="H112" s="107"/>
      <c r="I112" s="107"/>
      <c r="J112" s="107"/>
      <c r="K112" s="107"/>
      <c r="L112" s="107"/>
      <c r="M112" s="108"/>
    </row>
    <row r="113" ht="18.0" customHeight="1">
      <c r="A113" s="104" t="str">
        <f>'analysis _non-RE-nodes'!A115</f>
        <v>Noisy Rosella</v>
      </c>
      <c r="B113" s="79" t="str">
        <f t="shared" si="1"/>
        <v>noisy-rosella</v>
      </c>
      <c r="C113" s="105" t="str">
        <f t="shared" si="2"/>
        <v>Noisy Rosella</v>
      </c>
      <c r="D113" s="105" t="str">
        <f>IFERROR(__xludf.DUMMYFUNCTION("TEXTJOIN("""", TRUE, ARRAYFORMULA(LEFT(SPLIT(C113, "" ""),1)))"),"NR")</f>
        <v>NR</v>
      </c>
      <c r="E113" s="101"/>
      <c r="F113" s="101" t="s">
        <v>593</v>
      </c>
      <c r="G113" s="107"/>
      <c r="H113" s="107"/>
      <c r="I113" s="107"/>
      <c r="J113" s="107"/>
      <c r="K113" s="107"/>
      <c r="L113" s="107"/>
      <c r="M113" s="108"/>
    </row>
    <row r="114" ht="18.0" customHeight="1">
      <c r="A114" s="104" t="str">
        <f>'analysis _non-RE-nodes'!A116</f>
        <v>Noisy Sugar Glider</v>
      </c>
      <c r="B114" s="79" t="str">
        <f t="shared" si="1"/>
        <v>noisy-sugar-glider</v>
      </c>
      <c r="C114" s="105" t="str">
        <f t="shared" si="2"/>
        <v>Noisy Sugar Glider</v>
      </c>
      <c r="D114" s="105" t="str">
        <f>IFERROR(__xludf.DUMMYFUNCTION("TEXTJOIN("""", TRUE, ARRAYFORMULA(LEFT(SPLIT(C114, "" ""),1)))"),"NSG")</f>
        <v>NSG</v>
      </c>
      <c r="E114" s="101"/>
      <c r="F114" s="101" t="s">
        <v>593</v>
      </c>
      <c r="G114" s="107"/>
      <c r="H114" s="107"/>
      <c r="I114" s="107"/>
      <c r="J114" s="107"/>
      <c r="K114" s="107"/>
      <c r="L114" s="107"/>
      <c r="M114" s="108"/>
    </row>
    <row r="115" ht="18.0" customHeight="1">
      <c r="A115" s="104" t="str">
        <f>'analysis _non-RE-nodes'!A117</f>
        <v>Noisy Tree Kangaroo</v>
      </c>
      <c r="B115" s="79" t="str">
        <f t="shared" si="1"/>
        <v>noisy-tree-kangaroo</v>
      </c>
      <c r="C115" s="105" t="str">
        <f t="shared" si="2"/>
        <v>Noisy Tree Kangaroo</v>
      </c>
      <c r="D115" s="105" t="str">
        <f>IFERROR(__xludf.DUMMYFUNCTION("TEXTJOIN("""", TRUE, ARRAYFORMULA(LEFT(SPLIT(C115, "" ""),1)))"),"NTK")</f>
        <v>NTK</v>
      </c>
      <c r="E115" s="101"/>
      <c r="F115" s="101" t="s">
        <v>593</v>
      </c>
      <c r="G115" s="107"/>
      <c r="H115" s="107"/>
      <c r="I115" s="107"/>
      <c r="J115" s="107"/>
      <c r="K115" s="107"/>
      <c r="L115" s="107"/>
      <c r="M115" s="108"/>
    </row>
    <row r="116" ht="18.0" customHeight="1">
      <c r="A116" s="104" t="str">
        <f>'analysis _non-RE-nodes'!A118</f>
        <v>Noisy Wombat</v>
      </c>
      <c r="B116" s="79" t="str">
        <f t="shared" si="1"/>
        <v>noisy-wombat</v>
      </c>
      <c r="C116" s="105" t="str">
        <f t="shared" si="2"/>
        <v>Noisy Wombat</v>
      </c>
      <c r="D116" s="105" t="str">
        <f>IFERROR(__xludf.DUMMYFUNCTION("TEXTJOIN("""", TRUE, ARRAYFORMULA(LEFT(SPLIT(C116, "" ""),1)))"),"NW")</f>
        <v>NW</v>
      </c>
      <c r="E116" s="101"/>
      <c r="F116" s="101" t="s">
        <v>593</v>
      </c>
      <c r="G116" s="107"/>
      <c r="H116" s="107"/>
      <c r="I116" s="107"/>
      <c r="J116" s="107"/>
      <c r="K116" s="107"/>
      <c r="L116" s="107"/>
      <c r="M116" s="108"/>
    </row>
    <row r="117" ht="18.0" customHeight="1">
      <c r="A117" s="104" t="str">
        <f>'analysis _non-RE-nodes'!A119</f>
        <v>Red Australian Magpie</v>
      </c>
      <c r="B117" s="79" t="str">
        <f t="shared" si="1"/>
        <v>red-australian-magpie</v>
      </c>
      <c r="C117" s="105" t="str">
        <f t="shared" si="2"/>
        <v>Red Australian Magpie</v>
      </c>
      <c r="D117" s="105" t="str">
        <f>IFERROR(__xludf.DUMMYFUNCTION("TEXTJOIN("""", TRUE, ARRAYFORMULA(LEFT(SPLIT(C117, "" ""),1)))"),"RAM")</f>
        <v>RAM</v>
      </c>
      <c r="E117" s="101"/>
      <c r="F117" s="101" t="s">
        <v>593</v>
      </c>
      <c r="G117" s="107"/>
      <c r="H117" s="107"/>
      <c r="I117" s="107"/>
      <c r="J117" s="107"/>
      <c r="K117" s="107"/>
      <c r="L117" s="107"/>
      <c r="M117" s="108"/>
    </row>
    <row r="118" ht="18.0" customHeight="1">
      <c r="A118" s="104" t="str">
        <f>'analysis _non-RE-nodes'!A120</f>
        <v>Red Bush Stone-curlew</v>
      </c>
      <c r="B118" s="79" t="str">
        <f t="shared" si="1"/>
        <v>red-bush-stone-curlew</v>
      </c>
      <c r="C118" s="105" t="str">
        <f t="shared" si="2"/>
        <v>Red Bush Stone-curlew</v>
      </c>
      <c r="D118" s="105" t="str">
        <f>IFERROR(__xludf.DUMMYFUNCTION("TEXTJOIN("""", TRUE, ARRAYFORMULA(LEFT(SPLIT(C118, "" ""),1)))"),"RBS")</f>
        <v>RBS</v>
      </c>
      <c r="E118" s="101"/>
      <c r="F118" s="101" t="s">
        <v>593</v>
      </c>
      <c r="G118" s="107"/>
      <c r="H118" s="107"/>
      <c r="I118" s="107"/>
      <c r="J118" s="107"/>
      <c r="K118" s="107"/>
      <c r="L118" s="107"/>
      <c r="M118" s="108"/>
    </row>
    <row r="119" ht="18.0" customHeight="1">
      <c r="A119" s="104" t="str">
        <f>'analysis _non-RE-nodes'!A121</f>
        <v>Red Dingo</v>
      </c>
      <c r="B119" s="79" t="str">
        <f t="shared" si="1"/>
        <v>red-dingo</v>
      </c>
      <c r="C119" s="105" t="str">
        <f t="shared" si="2"/>
        <v>Red Dingo</v>
      </c>
      <c r="D119" s="105" t="str">
        <f>IFERROR(__xludf.DUMMYFUNCTION("TEXTJOIN("""", TRUE, ARRAYFORMULA(LEFT(SPLIT(C119, "" ""),1)))"),"RD")</f>
        <v>RD</v>
      </c>
      <c r="E119" s="101"/>
      <c r="F119" s="101" t="s">
        <v>593</v>
      </c>
      <c r="G119" s="107"/>
      <c r="H119" s="107"/>
      <c r="I119" s="107"/>
      <c r="J119" s="107"/>
      <c r="K119" s="107"/>
      <c r="L119" s="107"/>
      <c r="M119" s="108"/>
    </row>
    <row r="120" ht="18.0" customHeight="1">
      <c r="A120" s="104" t="str">
        <f>'analysis _non-RE-nodes'!A122</f>
        <v>Red Fairy Penguin</v>
      </c>
      <c r="B120" s="79" t="str">
        <f t="shared" si="1"/>
        <v>red-fairy-penguin</v>
      </c>
      <c r="C120" s="105" t="str">
        <f t="shared" si="2"/>
        <v>Red Fairy Penguin</v>
      </c>
      <c r="D120" s="105" t="str">
        <f>IFERROR(__xludf.DUMMYFUNCTION("TEXTJOIN("""", TRUE, ARRAYFORMULA(LEFT(SPLIT(C120, "" ""),1)))"),"RFP")</f>
        <v>RFP</v>
      </c>
      <c r="E120" s="101"/>
      <c r="F120" s="101" t="s">
        <v>593</v>
      </c>
      <c r="G120" s="107"/>
      <c r="H120" s="107"/>
      <c r="I120" s="107"/>
      <c r="J120" s="107"/>
      <c r="K120" s="107"/>
      <c r="L120" s="107"/>
      <c r="M120" s="108"/>
    </row>
    <row r="121" ht="18.0" customHeight="1">
      <c r="A121" s="104" t="str">
        <f>'analysis _non-RE-nodes'!A123</f>
        <v>Red Frilled Neck Lizard</v>
      </c>
      <c r="B121" s="79" t="str">
        <f t="shared" si="1"/>
        <v>red-frilled-neck-lizard</v>
      </c>
      <c r="C121" s="105" t="str">
        <f t="shared" si="2"/>
        <v>Red Frilled Neck Lizard</v>
      </c>
      <c r="D121" s="105" t="str">
        <f>IFERROR(__xludf.DUMMYFUNCTION("TEXTJOIN("""", TRUE, ARRAYFORMULA(LEFT(SPLIT(C121, "" ""),1)))"),"RFNL")</f>
        <v>RFNL</v>
      </c>
      <c r="E121" s="101"/>
      <c r="F121" s="101" t="s">
        <v>593</v>
      </c>
      <c r="G121" s="107"/>
      <c r="H121" s="107"/>
      <c r="I121" s="107"/>
      <c r="J121" s="107"/>
      <c r="K121" s="107"/>
      <c r="L121" s="107"/>
      <c r="M121" s="108"/>
    </row>
    <row r="122" ht="18.0" customHeight="1">
      <c r="A122" s="104" t="str">
        <f>'analysis _non-RE-nodes'!A124</f>
        <v>Red Koala</v>
      </c>
      <c r="B122" s="79" t="str">
        <f t="shared" si="1"/>
        <v>red-koala</v>
      </c>
      <c r="C122" s="105" t="str">
        <f t="shared" si="2"/>
        <v>Red Koala</v>
      </c>
      <c r="D122" s="105" t="str">
        <f>IFERROR(__xludf.DUMMYFUNCTION("TEXTJOIN("""", TRUE, ARRAYFORMULA(LEFT(SPLIT(C122, "" ""),1)))"),"RK")</f>
        <v>RK</v>
      </c>
      <c r="E122" s="101"/>
      <c r="F122" s="101" t="s">
        <v>593</v>
      </c>
      <c r="G122" s="107"/>
      <c r="H122" s="107"/>
      <c r="I122" s="107"/>
      <c r="J122" s="107"/>
      <c r="K122" s="107"/>
      <c r="L122" s="107"/>
      <c r="M122" s="108"/>
    </row>
    <row r="123" ht="18.0" customHeight="1">
      <c r="A123" s="104" t="str">
        <f>'analysis _non-RE-nodes'!A125</f>
        <v>Red Numbat</v>
      </c>
      <c r="B123" s="79" t="str">
        <f t="shared" si="1"/>
        <v>red-numbat</v>
      </c>
      <c r="C123" s="105" t="str">
        <f t="shared" si="2"/>
        <v>Red Numbat</v>
      </c>
      <c r="D123" s="105" t="str">
        <f>IFERROR(__xludf.DUMMYFUNCTION("TEXTJOIN("""", TRUE, ARRAYFORMULA(LEFT(SPLIT(C123, "" ""),1)))"),"RN")</f>
        <v>RN</v>
      </c>
      <c r="E123" s="101"/>
      <c r="F123" s="101" t="s">
        <v>593</v>
      </c>
      <c r="G123" s="107"/>
      <c r="H123" s="107"/>
      <c r="I123" s="107"/>
      <c r="J123" s="107"/>
      <c r="K123" s="107"/>
      <c r="L123" s="107"/>
      <c r="M123" s="108"/>
    </row>
    <row r="124" ht="18.0" customHeight="1">
      <c r="A124" s="104" t="str">
        <f>'analysis _non-RE-nodes'!A126</f>
        <v>Red Tasmanian Devil</v>
      </c>
      <c r="B124" s="79" t="str">
        <f t="shared" si="1"/>
        <v>red-tasmanian-devil</v>
      </c>
      <c r="C124" s="105" t="str">
        <f t="shared" si="2"/>
        <v>Red Tasmanian Devil</v>
      </c>
      <c r="D124" s="105" t="str">
        <f>IFERROR(__xludf.DUMMYFUNCTION("TEXTJOIN("""", TRUE, ARRAYFORMULA(LEFT(SPLIT(C124, "" ""),1)))"),"RTD")</f>
        <v>RTD</v>
      </c>
      <c r="E124" s="101"/>
      <c r="F124" s="101" t="s">
        <v>593</v>
      </c>
      <c r="G124" s="107"/>
      <c r="H124" s="107"/>
      <c r="I124" s="107"/>
      <c r="J124" s="107"/>
      <c r="K124" s="107"/>
      <c r="L124" s="107"/>
      <c r="M124" s="108"/>
    </row>
    <row r="125" ht="18.0" customHeight="1">
      <c r="A125" s="104" t="str">
        <f>'analysis _non-RE-nodes'!A127</f>
        <v>Red Thorny Devil</v>
      </c>
      <c r="B125" s="79" t="str">
        <f t="shared" si="1"/>
        <v>red-thorny-devil</v>
      </c>
      <c r="C125" s="105" t="str">
        <f t="shared" si="2"/>
        <v>Red Thorny Devil</v>
      </c>
      <c r="D125" s="105" t="str">
        <f>IFERROR(__xludf.DUMMYFUNCTION("TEXTJOIN("""", TRUE, ARRAYFORMULA(LEFT(SPLIT(C125, "" ""),1)))"),"RTD")</f>
        <v>RTD</v>
      </c>
      <c r="E125" s="101"/>
      <c r="F125" s="101" t="s">
        <v>593</v>
      </c>
      <c r="G125" s="107"/>
      <c r="H125" s="107"/>
      <c r="I125" s="107"/>
      <c r="J125" s="107"/>
      <c r="K125" s="107"/>
      <c r="L125" s="107"/>
      <c r="M125" s="108"/>
    </row>
    <row r="126" ht="18.0" customHeight="1">
      <c r="A126" s="104" t="str">
        <f>'analysis _non-RE-nodes'!A128</f>
        <v>Red Tree Kangaroo</v>
      </c>
      <c r="B126" s="79" t="str">
        <f t="shared" si="1"/>
        <v>red-tree-kangaroo</v>
      </c>
      <c r="C126" s="105" t="str">
        <f t="shared" si="2"/>
        <v>Red Tree Kangaroo</v>
      </c>
      <c r="D126" s="105" t="str">
        <f>IFERROR(__xludf.DUMMYFUNCTION("TEXTJOIN("""", TRUE, ARRAYFORMULA(LEFT(SPLIT(C126, "" ""),1)))"),"RTK")</f>
        <v>RTK</v>
      </c>
      <c r="E126" s="101"/>
      <c r="F126" s="101" t="s">
        <v>593</v>
      </c>
      <c r="G126" s="107"/>
      <c r="H126" s="107"/>
      <c r="I126" s="107"/>
      <c r="J126" s="107"/>
      <c r="K126" s="107"/>
      <c r="L126" s="107"/>
      <c r="M126" s="108"/>
    </row>
    <row r="127" ht="18.0" customHeight="1">
      <c r="A127" s="104" t="str">
        <f>'analysis _non-RE-nodes'!A129</f>
        <v>Red Wombat</v>
      </c>
      <c r="B127" s="79" t="str">
        <f t="shared" si="1"/>
        <v>red-wombat</v>
      </c>
      <c r="C127" s="105" t="str">
        <f t="shared" si="2"/>
        <v>Red Wombat</v>
      </c>
      <c r="D127" s="105" t="str">
        <f>IFERROR(__xludf.DUMMYFUNCTION("TEXTJOIN("""", TRUE, ARRAYFORMULA(LEFT(SPLIT(C127, "" ""),1)))"),"RW")</f>
        <v>RW</v>
      </c>
      <c r="E127" s="101"/>
      <c r="F127" s="101" t="s">
        <v>593</v>
      </c>
      <c r="G127" s="107"/>
      <c r="H127" s="107"/>
      <c r="I127" s="107"/>
      <c r="J127" s="107"/>
      <c r="K127" s="107"/>
      <c r="L127" s="107"/>
      <c r="M127" s="108"/>
    </row>
    <row r="128" ht="18.0" customHeight="1">
      <c r="A128" s="104" t="str">
        <f>'analysis _non-RE-nodes'!A130</f>
        <v>Shy Australian Magpie</v>
      </c>
      <c r="B128" s="79" t="str">
        <f t="shared" si="1"/>
        <v>shy-australian-magpie</v>
      </c>
      <c r="C128" s="105" t="str">
        <f t="shared" si="2"/>
        <v>Shy Australian Magpie</v>
      </c>
      <c r="D128" s="105" t="str">
        <f>IFERROR(__xludf.DUMMYFUNCTION("TEXTJOIN("""", TRUE, ARRAYFORMULA(LEFT(SPLIT(C128, "" ""),1)))"),"SAM")</f>
        <v>SAM</v>
      </c>
      <c r="E128" s="101"/>
      <c r="F128" s="101" t="s">
        <v>593</v>
      </c>
      <c r="G128" s="107"/>
      <c r="H128" s="107"/>
      <c r="I128" s="107"/>
      <c r="J128" s="107"/>
      <c r="K128" s="107"/>
      <c r="L128" s="107"/>
      <c r="M128" s="108"/>
    </row>
    <row r="129" ht="18.0" customHeight="1">
      <c r="A129" s="104" t="str">
        <f>'analysis _non-RE-nodes'!A131</f>
        <v>Shy Bilby</v>
      </c>
      <c r="B129" s="79" t="str">
        <f t="shared" si="1"/>
        <v>shy-bilby</v>
      </c>
      <c r="C129" s="105" t="str">
        <f t="shared" si="2"/>
        <v>Shy Bilby</v>
      </c>
      <c r="D129" s="105" t="str">
        <f>IFERROR(__xludf.DUMMYFUNCTION("TEXTJOIN("""", TRUE, ARRAYFORMULA(LEFT(SPLIT(C129, "" ""),1)))"),"SB")</f>
        <v>SB</v>
      </c>
      <c r="E129" s="101"/>
      <c r="F129" s="101" t="s">
        <v>593</v>
      </c>
      <c r="G129" s="107"/>
      <c r="H129" s="107"/>
      <c r="I129" s="107"/>
      <c r="J129" s="107"/>
      <c r="K129" s="107"/>
      <c r="L129" s="107"/>
      <c r="M129" s="108"/>
    </row>
    <row r="130" ht="18.0" customHeight="1">
      <c r="A130" s="104" t="str">
        <f>'analysis _non-RE-nodes'!A132</f>
        <v>Shy Blue-tongue Skink</v>
      </c>
      <c r="B130" s="79" t="str">
        <f t="shared" si="1"/>
        <v>shy-blue-tongue-skink</v>
      </c>
      <c r="C130" s="105" t="str">
        <f t="shared" si="2"/>
        <v>Shy Blue-tongue Skink</v>
      </c>
      <c r="D130" s="105" t="str">
        <f>IFERROR(__xludf.DUMMYFUNCTION("TEXTJOIN("""", TRUE, ARRAYFORMULA(LEFT(SPLIT(C130, "" ""),1)))"),"SBS")</f>
        <v>SBS</v>
      </c>
      <c r="E130" s="101"/>
      <c r="F130" s="101" t="s">
        <v>593</v>
      </c>
      <c r="G130" s="107"/>
      <c r="H130" s="107"/>
      <c r="I130" s="107"/>
      <c r="J130" s="107"/>
      <c r="K130" s="107"/>
      <c r="L130" s="107"/>
      <c r="M130" s="108"/>
    </row>
    <row r="131" ht="18.0" customHeight="1">
      <c r="A131" s="104" t="str">
        <f>'analysis _non-RE-nodes'!A133</f>
        <v>Shy Cockatoo</v>
      </c>
      <c r="B131" s="79" t="str">
        <f t="shared" si="1"/>
        <v>shy-cockatoo</v>
      </c>
      <c r="C131" s="105" t="str">
        <f t="shared" si="2"/>
        <v>Shy Cockatoo</v>
      </c>
      <c r="D131" s="105" t="str">
        <f>IFERROR(__xludf.DUMMYFUNCTION("TEXTJOIN("""", TRUE, ARRAYFORMULA(LEFT(SPLIT(C131, "" ""),1)))"),"SC")</f>
        <v>SC</v>
      </c>
      <c r="E131" s="101"/>
      <c r="F131" s="101" t="s">
        <v>593</v>
      </c>
      <c r="G131" s="107"/>
      <c r="H131" s="107"/>
      <c r="I131" s="107"/>
      <c r="J131" s="107"/>
      <c r="K131" s="107"/>
      <c r="L131" s="107"/>
      <c r="M131" s="108"/>
    </row>
    <row r="132" ht="18.0" customHeight="1">
      <c r="A132" s="104" t="str">
        <f>'analysis _non-RE-nodes'!A134</f>
        <v>Shy Dingo</v>
      </c>
      <c r="B132" s="79" t="str">
        <f t="shared" si="1"/>
        <v>shy-dingo</v>
      </c>
      <c r="C132" s="105" t="str">
        <f t="shared" si="2"/>
        <v>Shy Dingo</v>
      </c>
      <c r="D132" s="105" t="str">
        <f>IFERROR(__xludf.DUMMYFUNCTION("TEXTJOIN("""", TRUE, ARRAYFORMULA(LEFT(SPLIT(C132, "" ""),1)))"),"SD")</f>
        <v>SD</v>
      </c>
      <c r="E132" s="101"/>
      <c r="F132" s="101" t="s">
        <v>593</v>
      </c>
      <c r="G132" s="107"/>
      <c r="H132" s="107"/>
      <c r="I132" s="107"/>
      <c r="J132" s="107"/>
      <c r="K132" s="107"/>
      <c r="L132" s="107"/>
      <c r="M132" s="108"/>
    </row>
    <row r="133" ht="18.0" customHeight="1">
      <c r="A133" s="104" t="str">
        <f>'analysis _non-RE-nodes'!A135</f>
        <v>Shy Echidna</v>
      </c>
      <c r="B133" s="79" t="str">
        <f t="shared" si="1"/>
        <v>shy-echidna</v>
      </c>
      <c r="C133" s="105" t="str">
        <f t="shared" si="2"/>
        <v>Shy Echidna</v>
      </c>
      <c r="D133" s="105" t="str">
        <f>IFERROR(__xludf.DUMMYFUNCTION("TEXTJOIN("""", TRUE, ARRAYFORMULA(LEFT(SPLIT(C133, "" ""),1)))"),"SE")</f>
        <v>SE</v>
      </c>
      <c r="E133" s="101"/>
      <c r="F133" s="101" t="s">
        <v>593</v>
      </c>
      <c r="G133" s="107"/>
      <c r="H133" s="107"/>
      <c r="I133" s="107"/>
      <c r="J133" s="107"/>
      <c r="K133" s="107"/>
      <c r="L133" s="107"/>
      <c r="M133" s="108"/>
    </row>
    <row r="134" ht="18.0" customHeight="1">
      <c r="A134" s="104" t="str">
        <f>'analysis _non-RE-nodes'!A136</f>
        <v>Shy Frilled Neck Lizard</v>
      </c>
      <c r="B134" s="79" t="str">
        <f t="shared" si="1"/>
        <v>shy-frilled-neck-lizard</v>
      </c>
      <c r="C134" s="105" t="str">
        <f t="shared" si="2"/>
        <v>Shy Frilled Neck Lizard</v>
      </c>
      <c r="D134" s="105" t="str">
        <f>IFERROR(__xludf.DUMMYFUNCTION("TEXTJOIN("""", TRUE, ARRAYFORMULA(LEFT(SPLIT(C134, "" ""),1)))"),"SFNL")</f>
        <v>SFNL</v>
      </c>
      <c r="E134" s="101"/>
      <c r="F134" s="101" t="s">
        <v>593</v>
      </c>
      <c r="G134" s="107"/>
      <c r="H134" s="107"/>
      <c r="I134" s="107"/>
      <c r="J134" s="107"/>
      <c r="K134" s="107"/>
      <c r="L134" s="107"/>
      <c r="M134" s="108"/>
    </row>
    <row r="135" ht="18.0" customHeight="1">
      <c r="A135" s="104" t="str">
        <f>'analysis _non-RE-nodes'!A137</f>
        <v>Shy Koala</v>
      </c>
      <c r="B135" s="79" t="str">
        <f t="shared" si="1"/>
        <v>shy-koala</v>
      </c>
      <c r="C135" s="105" t="str">
        <f t="shared" si="2"/>
        <v>Shy Koala</v>
      </c>
      <c r="D135" s="105" t="str">
        <f>IFERROR(__xludf.DUMMYFUNCTION("TEXTJOIN("""", TRUE, ARRAYFORMULA(LEFT(SPLIT(C135, "" ""),1)))"),"SK")</f>
        <v>SK</v>
      </c>
      <c r="E135" s="101"/>
      <c r="F135" s="101" t="s">
        <v>593</v>
      </c>
      <c r="G135" s="107"/>
      <c r="H135" s="107"/>
      <c r="I135" s="107"/>
      <c r="J135" s="107"/>
      <c r="K135" s="107"/>
      <c r="L135" s="107"/>
      <c r="M135" s="108"/>
    </row>
    <row r="136" ht="18.0" customHeight="1">
      <c r="A136" s="104" t="str">
        <f>'analysis _non-RE-nodes'!A138</f>
        <v>Shy Kookaburra</v>
      </c>
      <c r="B136" s="79" t="str">
        <f t="shared" si="1"/>
        <v>shy-kookaburra</v>
      </c>
      <c r="C136" s="105" t="str">
        <f t="shared" si="2"/>
        <v>Shy Kookaburra</v>
      </c>
      <c r="D136" s="105" t="str">
        <f>IFERROR(__xludf.DUMMYFUNCTION("TEXTJOIN("""", TRUE, ARRAYFORMULA(LEFT(SPLIT(C136, "" ""),1)))"),"SK")</f>
        <v>SK</v>
      </c>
      <c r="E136" s="101"/>
      <c r="F136" s="101" t="s">
        <v>593</v>
      </c>
      <c r="G136" s="107"/>
      <c r="H136" s="107"/>
      <c r="I136" s="107"/>
      <c r="J136" s="107"/>
      <c r="K136" s="107"/>
      <c r="L136" s="107"/>
      <c r="M136" s="108"/>
    </row>
    <row r="137" ht="18.0" customHeight="1">
      <c r="A137" s="104" t="str">
        <f>'analysis _non-RE-nodes'!A139</f>
        <v>Shy Lyrebird</v>
      </c>
      <c r="B137" s="79" t="str">
        <f t="shared" si="1"/>
        <v>shy-lyrebird</v>
      </c>
      <c r="C137" s="105" t="str">
        <f t="shared" si="2"/>
        <v>Shy Lyrebird</v>
      </c>
      <c r="D137" s="105" t="str">
        <f>IFERROR(__xludf.DUMMYFUNCTION("TEXTJOIN("""", TRUE, ARRAYFORMULA(LEFT(SPLIT(C137, "" ""),1)))"),"SL")</f>
        <v>SL</v>
      </c>
      <c r="E137" s="101"/>
      <c r="F137" s="101" t="s">
        <v>593</v>
      </c>
      <c r="G137" s="107"/>
      <c r="H137" s="107"/>
      <c r="I137" s="107"/>
      <c r="J137" s="107"/>
      <c r="K137" s="107"/>
      <c r="L137" s="107"/>
      <c r="M137" s="108"/>
    </row>
    <row r="138" ht="18.0" customHeight="1">
      <c r="A138" s="104" t="str">
        <f>'analysis _non-RE-nodes'!A140</f>
        <v>Shy Numbat</v>
      </c>
      <c r="B138" s="79" t="str">
        <f t="shared" si="1"/>
        <v>shy-numbat</v>
      </c>
      <c r="C138" s="105" t="str">
        <f t="shared" si="2"/>
        <v>Shy Numbat</v>
      </c>
      <c r="D138" s="105" t="str">
        <f>IFERROR(__xludf.DUMMYFUNCTION("TEXTJOIN("""", TRUE, ARRAYFORMULA(LEFT(SPLIT(C138, "" ""),1)))"),"SN")</f>
        <v>SN</v>
      </c>
      <c r="E138" s="101"/>
      <c r="F138" s="101" t="s">
        <v>593</v>
      </c>
      <c r="G138" s="107"/>
      <c r="H138" s="107"/>
      <c r="I138" s="107"/>
      <c r="J138" s="107"/>
      <c r="K138" s="107"/>
      <c r="L138" s="107"/>
      <c r="M138" s="108"/>
    </row>
    <row r="139" ht="18.0" customHeight="1">
      <c r="A139" s="104" t="str">
        <f>'analysis _non-RE-nodes'!A141</f>
        <v>Shy Platypus</v>
      </c>
      <c r="B139" s="79" t="str">
        <f t="shared" si="1"/>
        <v>shy-platypus</v>
      </c>
      <c r="C139" s="105" t="str">
        <f t="shared" si="2"/>
        <v>Shy Platypus</v>
      </c>
      <c r="D139" s="105" t="str">
        <f>IFERROR(__xludf.DUMMYFUNCTION("TEXTJOIN("""", TRUE, ARRAYFORMULA(LEFT(SPLIT(C139, "" ""),1)))"),"SP")</f>
        <v>SP</v>
      </c>
      <c r="E139" s="101"/>
      <c r="F139" s="101" t="s">
        <v>593</v>
      </c>
      <c r="G139" s="107"/>
      <c r="H139" s="107"/>
      <c r="I139" s="107"/>
      <c r="J139" s="107"/>
      <c r="K139" s="107"/>
      <c r="L139" s="107"/>
      <c r="M139" s="108"/>
    </row>
    <row r="140" ht="18.0" customHeight="1">
      <c r="A140" s="104" t="str">
        <f>'analysis _non-RE-nodes'!A142</f>
        <v>Shy Possum</v>
      </c>
      <c r="B140" s="79" t="str">
        <f t="shared" si="1"/>
        <v>shy-possum</v>
      </c>
      <c r="C140" s="105" t="str">
        <f t="shared" si="2"/>
        <v>Shy Possum</v>
      </c>
      <c r="D140" s="105" t="str">
        <f>IFERROR(__xludf.DUMMYFUNCTION("TEXTJOIN("""", TRUE, ARRAYFORMULA(LEFT(SPLIT(C140, "" ""),1)))"),"SP")</f>
        <v>SP</v>
      </c>
      <c r="E140" s="101"/>
      <c r="F140" s="101" t="s">
        <v>593</v>
      </c>
      <c r="G140" s="107"/>
      <c r="H140" s="107"/>
      <c r="I140" s="107"/>
      <c r="J140" s="107"/>
      <c r="K140" s="107"/>
      <c r="L140" s="107"/>
      <c r="M140" s="108"/>
    </row>
    <row r="141" ht="18.0" customHeight="1">
      <c r="A141" s="104" t="str">
        <f>'analysis _non-RE-nodes'!A143</f>
        <v>Shy Quokka</v>
      </c>
      <c r="B141" s="79" t="str">
        <f t="shared" si="1"/>
        <v>shy-quokka</v>
      </c>
      <c r="C141" s="105" t="str">
        <f t="shared" si="2"/>
        <v>Shy Quokka</v>
      </c>
      <c r="D141" s="105" t="str">
        <f>IFERROR(__xludf.DUMMYFUNCTION("TEXTJOIN("""", TRUE, ARRAYFORMULA(LEFT(SPLIT(C141, "" ""),1)))"),"SQ")</f>
        <v>SQ</v>
      </c>
      <c r="E141" s="101"/>
      <c r="F141" s="101" t="s">
        <v>593</v>
      </c>
      <c r="G141" s="107"/>
      <c r="H141" s="107"/>
      <c r="I141" s="107"/>
      <c r="J141" s="107"/>
      <c r="K141" s="107"/>
      <c r="L141" s="107"/>
      <c r="M141" s="108"/>
    </row>
    <row r="142" ht="18.0" customHeight="1">
      <c r="A142" s="104" t="str">
        <f>'analysis _non-RE-nodes'!A144</f>
        <v>Shy Tasmanian Devil</v>
      </c>
      <c r="B142" s="79" t="str">
        <f t="shared" si="1"/>
        <v>shy-tasmanian-devil</v>
      </c>
      <c r="C142" s="105" t="str">
        <f t="shared" si="2"/>
        <v>Shy Tasmanian Devil</v>
      </c>
      <c r="D142" s="105" t="str">
        <f>IFERROR(__xludf.DUMMYFUNCTION("TEXTJOIN("""", TRUE, ARRAYFORMULA(LEFT(SPLIT(C142, "" ""),1)))"),"STD")</f>
        <v>STD</v>
      </c>
      <c r="E142" s="101"/>
      <c r="F142" s="101" t="s">
        <v>593</v>
      </c>
      <c r="G142" s="107"/>
      <c r="H142" s="107"/>
      <c r="I142" s="107"/>
      <c r="J142" s="107"/>
      <c r="K142" s="107"/>
      <c r="L142" s="107"/>
      <c r="M142" s="108"/>
    </row>
    <row r="143" ht="18.0" customHeight="1">
      <c r="A143" s="104" t="str">
        <f>'analysis _non-RE-nodes'!A145</f>
        <v>Shy Wallaby</v>
      </c>
      <c r="B143" s="79" t="str">
        <f t="shared" si="1"/>
        <v>shy-wallaby</v>
      </c>
      <c r="C143" s="105" t="str">
        <f t="shared" si="2"/>
        <v>Shy Wallaby</v>
      </c>
      <c r="D143" s="105" t="str">
        <f>IFERROR(__xludf.DUMMYFUNCTION("TEXTJOIN("""", TRUE, ARRAYFORMULA(LEFT(SPLIT(C143, "" ""),1)))"),"SW")</f>
        <v>SW</v>
      </c>
      <c r="E143" s="101"/>
      <c r="F143" s="101" t="s">
        <v>593</v>
      </c>
      <c r="G143" s="107"/>
      <c r="H143" s="107"/>
      <c r="I143" s="107"/>
      <c r="J143" s="107"/>
      <c r="K143" s="107"/>
      <c r="L143" s="107"/>
      <c r="M143" s="108"/>
    </row>
    <row r="144" ht="18.0" customHeight="1">
      <c r="A144" s="104" t="str">
        <f>'analysis _non-RE-nodes'!A146</f>
        <v>Silent Bandicoot</v>
      </c>
      <c r="B144" s="79" t="str">
        <f t="shared" si="1"/>
        <v>silent-bandicoot</v>
      </c>
      <c r="C144" s="105" t="str">
        <f t="shared" si="2"/>
        <v>Silent Bandicoot</v>
      </c>
      <c r="D144" s="105" t="str">
        <f>IFERROR(__xludf.DUMMYFUNCTION("TEXTJOIN("""", TRUE, ARRAYFORMULA(LEFT(SPLIT(C144, "" ""),1)))"),"SB")</f>
        <v>SB</v>
      </c>
      <c r="E144" s="101"/>
      <c r="F144" s="101" t="s">
        <v>593</v>
      </c>
      <c r="G144" s="107"/>
      <c r="H144" s="107"/>
      <c r="I144" s="107"/>
      <c r="J144" s="107"/>
      <c r="K144" s="107"/>
      <c r="L144" s="107"/>
      <c r="M144" s="108"/>
    </row>
    <row r="145" ht="18.0" customHeight="1">
      <c r="A145" s="104" t="str">
        <f>'analysis _non-RE-nodes'!A147</f>
        <v>Silent Cassowary</v>
      </c>
      <c r="B145" s="79" t="str">
        <f t="shared" si="1"/>
        <v>silent-cassowary</v>
      </c>
      <c r="C145" s="105" t="str">
        <f t="shared" si="2"/>
        <v>Silent Cassowary</v>
      </c>
      <c r="D145" s="105" t="str">
        <f>IFERROR(__xludf.DUMMYFUNCTION("TEXTJOIN("""", TRUE, ARRAYFORMULA(LEFT(SPLIT(C145, "" ""),1)))"),"SC")</f>
        <v>SC</v>
      </c>
      <c r="E145" s="101"/>
      <c r="F145" s="101" t="s">
        <v>593</v>
      </c>
      <c r="G145" s="107"/>
      <c r="H145" s="107"/>
      <c r="I145" s="107"/>
      <c r="J145" s="107"/>
      <c r="K145" s="107"/>
      <c r="L145" s="107"/>
      <c r="M145" s="108"/>
    </row>
    <row r="146" ht="18.0" customHeight="1">
      <c r="A146" s="104" t="str">
        <f>'analysis _non-RE-nodes'!A148</f>
        <v>Silent Fairy Penguin</v>
      </c>
      <c r="B146" s="79" t="str">
        <f t="shared" si="1"/>
        <v>silent-fairy-penguin</v>
      </c>
      <c r="C146" s="105" t="str">
        <f t="shared" si="2"/>
        <v>Silent Fairy Penguin</v>
      </c>
      <c r="D146" s="105" t="str">
        <f>IFERROR(__xludf.DUMMYFUNCTION("TEXTJOIN("""", TRUE, ARRAYFORMULA(LEFT(SPLIT(C146, "" ""),1)))"),"SFP")</f>
        <v>SFP</v>
      </c>
      <c r="E146" s="101"/>
      <c r="F146" s="101" t="s">
        <v>593</v>
      </c>
      <c r="G146" s="107"/>
      <c r="H146" s="107"/>
      <c r="I146" s="107"/>
      <c r="J146" s="107"/>
      <c r="K146" s="107"/>
      <c r="L146" s="107"/>
      <c r="M146" s="108"/>
    </row>
    <row r="147" ht="18.0" customHeight="1">
      <c r="A147" s="104" t="str">
        <f>'analysis _non-RE-nodes'!A149</f>
        <v>Silent Goanna</v>
      </c>
      <c r="B147" s="79" t="str">
        <f t="shared" si="1"/>
        <v>silent-goanna</v>
      </c>
      <c r="C147" s="105" t="str">
        <f t="shared" si="2"/>
        <v>Silent Goanna</v>
      </c>
      <c r="D147" s="105" t="str">
        <f>IFERROR(__xludf.DUMMYFUNCTION("TEXTJOIN("""", TRUE, ARRAYFORMULA(LEFT(SPLIT(C147, "" ""),1)))"),"SG")</f>
        <v>SG</v>
      </c>
      <c r="E147" s="101"/>
      <c r="F147" s="101" t="s">
        <v>593</v>
      </c>
      <c r="G147" s="107"/>
      <c r="H147" s="107"/>
      <c r="I147" s="107"/>
      <c r="J147" s="107"/>
      <c r="K147" s="107"/>
      <c r="L147" s="107"/>
      <c r="M147" s="108"/>
    </row>
    <row r="148" ht="18.0" customHeight="1">
      <c r="A148" s="104" t="str">
        <f>'analysis _non-RE-nodes'!A150</f>
        <v>Silent Kangaroo</v>
      </c>
      <c r="B148" s="79" t="str">
        <f t="shared" si="1"/>
        <v>silent-kangaroo</v>
      </c>
      <c r="C148" s="105" t="str">
        <f t="shared" si="2"/>
        <v>Silent Kangaroo</v>
      </c>
      <c r="D148" s="105" t="str">
        <f>IFERROR(__xludf.DUMMYFUNCTION("TEXTJOIN("""", TRUE, ARRAYFORMULA(LEFT(SPLIT(C148, "" ""),1)))"),"SK")</f>
        <v>SK</v>
      </c>
      <c r="E148" s="101"/>
      <c r="F148" s="101" t="s">
        <v>593</v>
      </c>
      <c r="G148" s="107"/>
      <c r="H148" s="107"/>
      <c r="I148" s="107"/>
      <c r="J148" s="107"/>
      <c r="K148" s="107"/>
      <c r="L148" s="107"/>
      <c r="M148" s="108"/>
    </row>
    <row r="149" ht="18.0" customHeight="1">
      <c r="A149" s="104" t="str">
        <f>'analysis _non-RE-nodes'!A151</f>
        <v>Silent Numbat</v>
      </c>
      <c r="B149" s="79" t="str">
        <f t="shared" si="1"/>
        <v>silent-numbat</v>
      </c>
      <c r="C149" s="105" t="str">
        <f t="shared" si="2"/>
        <v>Silent Numbat</v>
      </c>
      <c r="D149" s="105" t="str">
        <f>IFERROR(__xludf.DUMMYFUNCTION("TEXTJOIN("""", TRUE, ARRAYFORMULA(LEFT(SPLIT(C149, "" ""),1)))"),"SN")</f>
        <v>SN</v>
      </c>
      <c r="E149" s="101"/>
      <c r="F149" s="101" t="s">
        <v>593</v>
      </c>
      <c r="G149" s="107"/>
      <c r="H149" s="107"/>
      <c r="I149" s="107"/>
      <c r="J149" s="107"/>
      <c r="K149" s="107"/>
      <c r="L149" s="107"/>
      <c r="M149" s="108"/>
    </row>
    <row r="150" ht="18.0" customHeight="1">
      <c r="A150" s="104" t="str">
        <f>'analysis _non-RE-nodes'!A152</f>
        <v>Silent Possum</v>
      </c>
      <c r="B150" s="79" t="str">
        <f t="shared" si="1"/>
        <v>silent-possum</v>
      </c>
      <c r="C150" s="105" t="str">
        <f t="shared" si="2"/>
        <v>Silent Possum</v>
      </c>
      <c r="D150" s="105" t="str">
        <f>IFERROR(__xludf.DUMMYFUNCTION("TEXTJOIN("""", TRUE, ARRAYFORMULA(LEFT(SPLIT(C150, "" ""),1)))"),"SP")</f>
        <v>SP</v>
      </c>
      <c r="E150" s="101"/>
      <c r="F150" s="101" t="s">
        <v>593</v>
      </c>
      <c r="G150" s="107"/>
      <c r="H150" s="107"/>
      <c r="I150" s="107"/>
      <c r="J150" s="107"/>
      <c r="K150" s="107"/>
      <c r="L150" s="107"/>
      <c r="M150" s="108"/>
    </row>
    <row r="151" ht="18.0" customHeight="1">
      <c r="A151" s="104" t="str">
        <f>'analysis _non-RE-nodes'!A153</f>
        <v>Silent Quokka</v>
      </c>
      <c r="B151" s="79" t="str">
        <f t="shared" si="1"/>
        <v>silent-quokka</v>
      </c>
      <c r="C151" s="105" t="str">
        <f t="shared" si="2"/>
        <v>Silent Quokka</v>
      </c>
      <c r="D151" s="105" t="str">
        <f>IFERROR(__xludf.DUMMYFUNCTION("TEXTJOIN("""", TRUE, ARRAYFORMULA(LEFT(SPLIT(C151, "" ""),1)))"),"SQ")</f>
        <v>SQ</v>
      </c>
      <c r="E151" s="101"/>
      <c r="F151" s="101" t="s">
        <v>593</v>
      </c>
      <c r="G151" s="107"/>
      <c r="H151" s="107"/>
      <c r="I151" s="107"/>
      <c r="J151" s="107"/>
      <c r="K151" s="107"/>
      <c r="L151" s="107"/>
      <c r="M151" s="108"/>
    </row>
    <row r="152" ht="18.0" customHeight="1">
      <c r="A152" s="104" t="str">
        <f>'analysis _non-RE-nodes'!A154</f>
        <v>Silent Sugar Glider</v>
      </c>
      <c r="B152" s="79" t="str">
        <f t="shared" si="1"/>
        <v>silent-sugar-glider</v>
      </c>
      <c r="C152" s="105" t="str">
        <f t="shared" si="2"/>
        <v>Silent Sugar Glider</v>
      </c>
      <c r="D152" s="105" t="str">
        <f>IFERROR(__xludf.DUMMYFUNCTION("TEXTJOIN("""", TRUE, ARRAYFORMULA(LEFT(SPLIT(C152, "" ""),1)))"),"SSG")</f>
        <v>SSG</v>
      </c>
      <c r="E152" s="101"/>
      <c r="F152" s="101" t="s">
        <v>593</v>
      </c>
      <c r="G152" s="107"/>
      <c r="H152" s="107"/>
      <c r="I152" s="107"/>
      <c r="J152" s="107"/>
      <c r="K152" s="107"/>
      <c r="L152" s="107"/>
      <c r="M152" s="108"/>
    </row>
    <row r="153" ht="18.0" customHeight="1">
      <c r="A153" s="104" t="str">
        <f>'analysis _non-RE-nodes'!A155</f>
        <v>Silent Wallaby</v>
      </c>
      <c r="B153" s="79" t="str">
        <f t="shared" si="1"/>
        <v>silent-wallaby</v>
      </c>
      <c r="C153" s="105" t="str">
        <f t="shared" si="2"/>
        <v>Silent Wallaby</v>
      </c>
      <c r="D153" s="105" t="str">
        <f>IFERROR(__xludf.DUMMYFUNCTION("TEXTJOIN("""", TRUE, ARRAYFORMULA(LEFT(SPLIT(C153, "" ""),1)))"),"SW")</f>
        <v>SW</v>
      </c>
      <c r="E153" s="101"/>
      <c r="F153" s="101" t="s">
        <v>593</v>
      </c>
      <c r="G153" s="107"/>
      <c r="H153" s="107"/>
      <c r="I153" s="107"/>
      <c r="J153" s="107"/>
      <c r="K153" s="107"/>
      <c r="L153" s="107"/>
      <c r="M153" s="108"/>
    </row>
    <row r="154" ht="18.0" customHeight="1">
      <c r="A154" s="104" t="str">
        <f>'analysis _non-RE-nodes'!A156</f>
        <v>Sleepy Bandicoot</v>
      </c>
      <c r="B154" s="79" t="str">
        <f t="shared" si="1"/>
        <v>sleepy-bandicoot</v>
      </c>
      <c r="C154" s="105" t="str">
        <f t="shared" si="2"/>
        <v>Sleepy Bandicoot</v>
      </c>
      <c r="D154" s="105" t="str">
        <f>IFERROR(__xludf.DUMMYFUNCTION("TEXTJOIN("""", TRUE, ARRAYFORMULA(LEFT(SPLIT(C154, "" ""),1)))"),"SB")</f>
        <v>SB</v>
      </c>
      <c r="E154" s="101"/>
      <c r="F154" s="101" t="s">
        <v>593</v>
      </c>
      <c r="G154" s="107"/>
      <c r="H154" s="107"/>
      <c r="I154" s="107"/>
      <c r="J154" s="107"/>
      <c r="K154" s="107"/>
      <c r="L154" s="107"/>
      <c r="M154" s="108"/>
    </row>
    <row r="155" ht="18.0" customHeight="1">
      <c r="A155" s="104" t="str">
        <f>'analysis _non-RE-nodes'!A157</f>
        <v>Sleepy Cassowary</v>
      </c>
      <c r="B155" s="79" t="str">
        <f t="shared" si="1"/>
        <v>sleepy-cassowary</v>
      </c>
      <c r="C155" s="105" t="str">
        <f t="shared" si="2"/>
        <v>Sleepy Cassowary</v>
      </c>
      <c r="D155" s="105" t="str">
        <f>IFERROR(__xludf.DUMMYFUNCTION("TEXTJOIN("""", TRUE, ARRAYFORMULA(LEFT(SPLIT(C155, "" ""),1)))"),"SC")</f>
        <v>SC</v>
      </c>
      <c r="E155" s="101"/>
      <c r="F155" s="101" t="s">
        <v>593</v>
      </c>
      <c r="G155" s="107"/>
      <c r="H155" s="107"/>
      <c r="I155" s="107"/>
      <c r="J155" s="107"/>
      <c r="K155" s="107"/>
      <c r="L155" s="107"/>
      <c r="M155" s="108"/>
    </row>
    <row r="156" ht="18.0" customHeight="1">
      <c r="A156" s="104" t="str">
        <f>'analysis _non-RE-nodes'!A158</f>
        <v>Sleepy Fairy Penguin</v>
      </c>
      <c r="B156" s="79" t="str">
        <f t="shared" si="1"/>
        <v>sleepy-fairy-penguin</v>
      </c>
      <c r="C156" s="105" t="str">
        <f t="shared" si="2"/>
        <v>Sleepy Fairy Penguin</v>
      </c>
      <c r="D156" s="105" t="str">
        <f>IFERROR(__xludf.DUMMYFUNCTION("TEXTJOIN("""", TRUE, ARRAYFORMULA(LEFT(SPLIT(C156, "" ""),1)))"),"SFP")</f>
        <v>SFP</v>
      </c>
      <c r="E156" s="101"/>
      <c r="F156" s="101" t="s">
        <v>593</v>
      </c>
      <c r="G156" s="107"/>
      <c r="H156" s="107"/>
      <c r="I156" s="107"/>
      <c r="J156" s="107"/>
      <c r="K156" s="107"/>
      <c r="L156" s="107"/>
      <c r="M156" s="108"/>
    </row>
    <row r="157" ht="18.0" customHeight="1">
      <c r="A157" s="104" t="str">
        <f>'analysis _non-RE-nodes'!A159</f>
        <v>Sleepy Koala</v>
      </c>
      <c r="B157" s="79" t="str">
        <f t="shared" si="1"/>
        <v>sleepy-koala</v>
      </c>
      <c r="C157" s="105" t="str">
        <f t="shared" si="2"/>
        <v>Sleepy Koala</v>
      </c>
      <c r="D157" s="105" t="str">
        <f>IFERROR(__xludf.DUMMYFUNCTION("TEXTJOIN("""", TRUE, ARRAYFORMULA(LEFT(SPLIT(C157, "" ""),1)))"),"SK")</f>
        <v>SK</v>
      </c>
      <c r="E157" s="101"/>
      <c r="F157" s="101" t="s">
        <v>593</v>
      </c>
      <c r="G157" s="107"/>
      <c r="H157" s="107"/>
      <c r="I157" s="107"/>
      <c r="J157" s="107"/>
      <c r="K157" s="107"/>
      <c r="L157" s="107"/>
      <c r="M157" s="108"/>
    </row>
    <row r="158" ht="18.0" customHeight="1">
      <c r="A158" s="104" t="str">
        <f>'analysis _non-RE-nodes'!A160</f>
        <v>Sleepy Kookaburra</v>
      </c>
      <c r="B158" s="79" t="str">
        <f t="shared" si="1"/>
        <v>sleepy-kookaburra</v>
      </c>
      <c r="C158" s="105" t="str">
        <f t="shared" si="2"/>
        <v>Sleepy Kookaburra</v>
      </c>
      <c r="D158" s="105" t="str">
        <f>IFERROR(__xludf.DUMMYFUNCTION("TEXTJOIN("""", TRUE, ARRAYFORMULA(LEFT(SPLIT(C158, "" ""),1)))"),"SK")</f>
        <v>SK</v>
      </c>
      <c r="E158" s="101"/>
      <c r="F158" s="101" t="s">
        <v>593</v>
      </c>
      <c r="G158" s="107"/>
      <c r="H158" s="107"/>
      <c r="I158" s="107"/>
      <c r="J158" s="107"/>
      <c r="K158" s="107"/>
      <c r="L158" s="107"/>
      <c r="M158" s="108"/>
    </row>
    <row r="159" ht="18.0" customHeight="1">
      <c r="A159" s="104" t="str">
        <f>'analysis _non-RE-nodes'!A161</f>
        <v>Sleepy Lyrebird</v>
      </c>
      <c r="B159" s="79" t="str">
        <f t="shared" si="1"/>
        <v>sleepy-lyrebird</v>
      </c>
      <c r="C159" s="105" t="str">
        <f t="shared" si="2"/>
        <v>Sleepy Lyrebird</v>
      </c>
      <c r="D159" s="105" t="str">
        <f>IFERROR(__xludf.DUMMYFUNCTION("TEXTJOIN("""", TRUE, ARRAYFORMULA(LEFT(SPLIT(C159, "" ""),1)))"),"SL")</f>
        <v>SL</v>
      </c>
      <c r="E159" s="101"/>
      <c r="F159" s="101" t="s">
        <v>593</v>
      </c>
      <c r="G159" s="107"/>
      <c r="H159" s="107"/>
      <c r="I159" s="107"/>
      <c r="J159" s="107"/>
      <c r="K159" s="107"/>
      <c r="L159" s="107"/>
      <c r="M159" s="108"/>
    </row>
    <row r="160" ht="18.0" customHeight="1">
      <c r="A160" s="104" t="str">
        <f>'analysis _non-RE-nodes'!A162</f>
        <v>Sleepy Numbat</v>
      </c>
      <c r="B160" s="79" t="str">
        <f t="shared" si="1"/>
        <v>sleepy-numbat</v>
      </c>
      <c r="C160" s="105" t="str">
        <f t="shared" si="2"/>
        <v>Sleepy Numbat</v>
      </c>
      <c r="D160" s="105" t="str">
        <f>IFERROR(__xludf.DUMMYFUNCTION("TEXTJOIN("""", TRUE, ARRAYFORMULA(LEFT(SPLIT(C160, "" ""),1)))"),"SN")</f>
        <v>SN</v>
      </c>
      <c r="E160" s="101"/>
      <c r="F160" s="101" t="s">
        <v>593</v>
      </c>
      <c r="G160" s="107"/>
      <c r="H160" s="107"/>
      <c r="I160" s="107"/>
      <c r="J160" s="107"/>
      <c r="K160" s="107"/>
      <c r="L160" s="107"/>
      <c r="M160" s="108"/>
    </row>
    <row r="161" ht="18.0" customHeight="1">
      <c r="A161" s="104" t="str">
        <f>'analysis _non-RE-nodes'!A163</f>
        <v>Sleepy Perentie</v>
      </c>
      <c r="B161" s="79" t="str">
        <f t="shared" si="1"/>
        <v>sleepy-perentie</v>
      </c>
      <c r="C161" s="105" t="str">
        <f t="shared" si="2"/>
        <v>Sleepy Perentie</v>
      </c>
      <c r="D161" s="105" t="str">
        <f>IFERROR(__xludf.DUMMYFUNCTION("TEXTJOIN("""", TRUE, ARRAYFORMULA(LEFT(SPLIT(C161, "" ""),1)))"),"SP")</f>
        <v>SP</v>
      </c>
      <c r="E161" s="101"/>
      <c r="F161" s="101" t="s">
        <v>593</v>
      </c>
      <c r="G161" s="107"/>
      <c r="H161" s="107"/>
      <c r="I161" s="107"/>
      <c r="J161" s="107"/>
      <c r="K161" s="107"/>
      <c r="L161" s="107"/>
      <c r="M161" s="108"/>
    </row>
    <row r="162" ht="18.0" customHeight="1">
      <c r="A162" s="104" t="str">
        <f>'analysis _non-RE-nodes'!A164</f>
        <v>Sleepy Platypus</v>
      </c>
      <c r="B162" s="79" t="str">
        <f t="shared" si="1"/>
        <v>sleepy-platypus</v>
      </c>
      <c r="C162" s="105" t="str">
        <f t="shared" si="2"/>
        <v>Sleepy Platypus</v>
      </c>
      <c r="D162" s="105" t="str">
        <f>IFERROR(__xludf.DUMMYFUNCTION("TEXTJOIN("""", TRUE, ARRAYFORMULA(LEFT(SPLIT(C162, "" ""),1)))"),"SP")</f>
        <v>SP</v>
      </c>
      <c r="E162" s="101"/>
      <c r="F162" s="101" t="s">
        <v>593</v>
      </c>
      <c r="G162" s="107"/>
      <c r="H162" s="107"/>
      <c r="I162" s="107"/>
      <c r="J162" s="107"/>
      <c r="K162" s="107"/>
      <c r="L162" s="107"/>
      <c r="M162" s="108"/>
    </row>
    <row r="163" ht="18.0" customHeight="1">
      <c r="A163" s="104" t="str">
        <f>'analysis _non-RE-nodes'!A165</f>
        <v>Sleepy Possum</v>
      </c>
      <c r="B163" s="79" t="str">
        <f t="shared" si="1"/>
        <v>sleepy-possum</v>
      </c>
      <c r="C163" s="105" t="str">
        <f t="shared" si="2"/>
        <v>Sleepy Possum</v>
      </c>
      <c r="D163" s="105" t="str">
        <f>IFERROR(__xludf.DUMMYFUNCTION("TEXTJOIN("""", TRUE, ARRAYFORMULA(LEFT(SPLIT(C163, "" ""),1)))"),"SP")</f>
        <v>SP</v>
      </c>
      <c r="E163" s="101"/>
      <c r="F163" s="101" t="s">
        <v>593</v>
      </c>
      <c r="G163" s="107"/>
      <c r="H163" s="107"/>
      <c r="I163" s="107"/>
      <c r="J163" s="107"/>
      <c r="K163" s="107"/>
      <c r="L163" s="107"/>
      <c r="M163" s="108"/>
    </row>
    <row r="164" ht="18.0" customHeight="1">
      <c r="A164" s="104" t="str">
        <f>'analysis _non-RE-nodes'!A166</f>
        <v>Sleepy Sugar Glider</v>
      </c>
      <c r="B164" s="79" t="str">
        <f t="shared" si="1"/>
        <v>sleepy-sugar-glider</v>
      </c>
      <c r="C164" s="105" t="str">
        <f t="shared" si="2"/>
        <v>Sleepy Sugar Glider</v>
      </c>
      <c r="D164" s="105" t="str">
        <f>IFERROR(__xludf.DUMMYFUNCTION("TEXTJOIN("""", TRUE, ARRAYFORMULA(LEFT(SPLIT(C164, "" ""),1)))"),"SSG")</f>
        <v>SSG</v>
      </c>
      <c r="E164" s="101"/>
      <c r="F164" s="101" t="s">
        <v>593</v>
      </c>
      <c r="G164" s="107"/>
      <c r="H164" s="107"/>
      <c r="I164" s="107"/>
      <c r="J164" s="107"/>
      <c r="K164" s="107"/>
      <c r="L164" s="107"/>
      <c r="M164" s="108"/>
    </row>
    <row r="165" ht="18.0" customHeight="1">
      <c r="A165" s="104" t="str">
        <f>'analysis _non-RE-nodes'!A167</f>
        <v>Sleepy Thorny Devil</v>
      </c>
      <c r="B165" s="79" t="str">
        <f t="shared" si="1"/>
        <v>sleepy-thorny-devil</v>
      </c>
      <c r="C165" s="105" t="str">
        <f t="shared" si="2"/>
        <v>Sleepy Thorny Devil</v>
      </c>
      <c r="D165" s="105" t="str">
        <f>IFERROR(__xludf.DUMMYFUNCTION("TEXTJOIN("""", TRUE, ARRAYFORMULA(LEFT(SPLIT(C165, "" ""),1)))"),"STD")</f>
        <v>STD</v>
      </c>
      <c r="E165" s="101"/>
      <c r="F165" s="101" t="s">
        <v>593</v>
      </c>
      <c r="G165" s="107"/>
      <c r="H165" s="107"/>
      <c r="I165" s="107"/>
      <c r="J165" s="107"/>
      <c r="K165" s="107"/>
      <c r="L165" s="107"/>
      <c r="M165" s="108"/>
    </row>
    <row r="166" ht="18.0" customHeight="1">
      <c r="A166" s="104" t="str">
        <f>'analysis _non-RE-nodes'!A168</f>
        <v>Sleepy Tree Kangaroo</v>
      </c>
      <c r="B166" s="79" t="str">
        <f t="shared" si="1"/>
        <v>sleepy-tree-kangaroo</v>
      </c>
      <c r="C166" s="105" t="str">
        <f t="shared" si="2"/>
        <v>Sleepy Tree Kangaroo</v>
      </c>
      <c r="D166" s="105" t="str">
        <f>IFERROR(__xludf.DUMMYFUNCTION("TEXTJOIN("""", TRUE, ARRAYFORMULA(LEFT(SPLIT(C166, "" ""),1)))"),"STK")</f>
        <v>STK</v>
      </c>
      <c r="E166" s="101"/>
      <c r="F166" s="101" t="s">
        <v>593</v>
      </c>
      <c r="G166" s="107"/>
      <c r="H166" s="107"/>
      <c r="I166" s="107"/>
      <c r="J166" s="107"/>
      <c r="K166" s="107"/>
      <c r="L166" s="107"/>
      <c r="M166" s="108"/>
    </row>
    <row r="167" ht="18.0" customHeight="1">
      <c r="A167" s="104" t="str">
        <f>'analysis _non-RE-nodes'!A169</f>
        <v>Sleepy Wombat</v>
      </c>
      <c r="B167" s="79" t="str">
        <f t="shared" si="1"/>
        <v>sleepy-wombat</v>
      </c>
      <c r="C167" s="105" t="str">
        <f t="shared" si="2"/>
        <v>Sleepy Wombat</v>
      </c>
      <c r="D167" s="105" t="str">
        <f>IFERROR(__xludf.DUMMYFUNCTION("TEXTJOIN("""", TRUE, ARRAYFORMULA(LEFT(SPLIT(C167, "" ""),1)))"),"SW")</f>
        <v>SW</v>
      </c>
      <c r="E167" s="101"/>
      <c r="F167" s="101" t="s">
        <v>593</v>
      </c>
      <c r="G167" s="107"/>
      <c r="H167" s="107"/>
      <c r="I167" s="107"/>
      <c r="J167" s="107"/>
      <c r="K167" s="107"/>
      <c r="L167" s="107"/>
      <c r="M167" s="108"/>
    </row>
    <row r="168" ht="18.0" customHeight="1">
      <c r="A168" s="104" t="str">
        <f>'analysis _non-RE-nodes'!A170</f>
        <v>Spotted Australian Magpie</v>
      </c>
      <c r="B168" s="79" t="str">
        <f t="shared" si="1"/>
        <v>spotted-australian-magpie</v>
      </c>
      <c r="C168" s="105" t="str">
        <f t="shared" si="2"/>
        <v>Spotted Australian Magpie</v>
      </c>
      <c r="D168" s="105" t="str">
        <f>IFERROR(__xludf.DUMMYFUNCTION("TEXTJOIN("""", TRUE, ARRAYFORMULA(LEFT(SPLIT(C168, "" ""),1)))"),"SAM")</f>
        <v>SAM</v>
      </c>
      <c r="E168" s="101"/>
      <c r="F168" s="101" t="s">
        <v>593</v>
      </c>
      <c r="G168" s="107"/>
      <c r="H168" s="107"/>
      <c r="I168" s="107"/>
      <c r="J168" s="107"/>
      <c r="K168" s="107"/>
      <c r="L168" s="107"/>
      <c r="M168" s="108"/>
    </row>
    <row r="169" ht="18.0" customHeight="1">
      <c r="A169" s="104" t="str">
        <f>'analysis _non-RE-nodes'!A171</f>
        <v>Spotted Bandicoot</v>
      </c>
      <c r="B169" s="79" t="str">
        <f t="shared" si="1"/>
        <v>spotted-bandicoot</v>
      </c>
      <c r="C169" s="105" t="str">
        <f t="shared" si="2"/>
        <v>Spotted Bandicoot</v>
      </c>
      <c r="D169" s="105" t="str">
        <f>IFERROR(__xludf.DUMMYFUNCTION("TEXTJOIN("""", TRUE, ARRAYFORMULA(LEFT(SPLIT(C169, "" ""),1)))"),"SB")</f>
        <v>SB</v>
      </c>
      <c r="E169" s="101"/>
      <c r="F169" s="101" t="s">
        <v>593</v>
      </c>
      <c r="G169" s="107"/>
      <c r="H169" s="107"/>
      <c r="I169" s="107"/>
      <c r="J169" s="107"/>
      <c r="K169" s="107"/>
      <c r="L169" s="107"/>
      <c r="M169" s="108"/>
    </row>
    <row r="170" ht="18.0" customHeight="1">
      <c r="A170" s="104" t="str">
        <f>'analysis _non-RE-nodes'!A172</f>
        <v>Spotted Bush Stone-curlew</v>
      </c>
      <c r="B170" s="79" t="str">
        <f t="shared" si="1"/>
        <v>spotted-bush-stone-curlew</v>
      </c>
      <c r="C170" s="105" t="str">
        <f t="shared" si="2"/>
        <v>Spotted Bush Stone-curlew</v>
      </c>
      <c r="D170" s="105" t="str">
        <f>IFERROR(__xludf.DUMMYFUNCTION("TEXTJOIN("""", TRUE, ARRAYFORMULA(LEFT(SPLIT(C170, "" ""),1)))"),"SBS")</f>
        <v>SBS</v>
      </c>
      <c r="E170" s="101"/>
      <c r="F170" s="101" t="s">
        <v>593</v>
      </c>
      <c r="G170" s="107"/>
      <c r="H170" s="107"/>
      <c r="I170" s="107"/>
      <c r="J170" s="107"/>
      <c r="K170" s="107"/>
      <c r="L170" s="107"/>
      <c r="M170" s="108"/>
    </row>
    <row r="171" ht="18.0" customHeight="1">
      <c r="A171" s="104" t="str">
        <f>'analysis _non-RE-nodes'!A173</f>
        <v>Spotted Echidna</v>
      </c>
      <c r="B171" s="79" t="str">
        <f t="shared" si="1"/>
        <v>spotted-echidna</v>
      </c>
      <c r="C171" s="105" t="str">
        <f t="shared" si="2"/>
        <v>Spotted Echidna</v>
      </c>
      <c r="D171" s="105" t="str">
        <f>IFERROR(__xludf.DUMMYFUNCTION("TEXTJOIN("""", TRUE, ARRAYFORMULA(LEFT(SPLIT(C171, "" ""),1)))"),"SE")</f>
        <v>SE</v>
      </c>
      <c r="E171" s="101"/>
      <c r="F171" s="101" t="s">
        <v>593</v>
      </c>
      <c r="G171" s="107"/>
      <c r="H171" s="107"/>
      <c r="I171" s="107"/>
      <c r="J171" s="107"/>
      <c r="K171" s="107"/>
      <c r="L171" s="107"/>
      <c r="M171" s="108"/>
    </row>
    <row r="172" ht="18.0" customHeight="1">
      <c r="A172" s="104" t="str">
        <f>'analysis _non-RE-nodes'!A174</f>
        <v>Spotted Fairy Penguin</v>
      </c>
      <c r="B172" s="79" t="str">
        <f t="shared" si="1"/>
        <v>spotted-fairy-penguin</v>
      </c>
      <c r="C172" s="105" t="str">
        <f t="shared" si="2"/>
        <v>Spotted Fairy Penguin</v>
      </c>
      <c r="D172" s="105" t="str">
        <f>IFERROR(__xludf.DUMMYFUNCTION("TEXTJOIN("""", TRUE, ARRAYFORMULA(LEFT(SPLIT(C172, "" ""),1)))"),"SFP")</f>
        <v>SFP</v>
      </c>
      <c r="E172" s="101"/>
      <c r="F172" s="101" t="s">
        <v>593</v>
      </c>
      <c r="G172" s="107"/>
      <c r="H172" s="107"/>
      <c r="I172" s="107"/>
      <c r="J172" s="107"/>
      <c r="K172" s="107"/>
      <c r="L172" s="107"/>
      <c r="M172" s="108"/>
    </row>
    <row r="173" ht="18.0" customHeight="1">
      <c r="A173" s="104" t="str">
        <f>'analysis _non-RE-nodes'!A175</f>
        <v>Spotted Kangaroo</v>
      </c>
      <c r="B173" s="79" t="str">
        <f t="shared" si="1"/>
        <v>spotted-kangaroo</v>
      </c>
      <c r="C173" s="105" t="str">
        <f t="shared" si="2"/>
        <v>Spotted Kangaroo</v>
      </c>
      <c r="D173" s="105" t="str">
        <f>IFERROR(__xludf.DUMMYFUNCTION("TEXTJOIN("""", TRUE, ARRAYFORMULA(LEFT(SPLIT(C173, "" ""),1)))"),"SK")</f>
        <v>SK</v>
      </c>
      <c r="E173" s="101"/>
      <c r="F173" s="101" t="s">
        <v>593</v>
      </c>
      <c r="G173" s="107"/>
      <c r="H173" s="107"/>
      <c r="I173" s="107"/>
      <c r="J173" s="107"/>
      <c r="K173" s="107"/>
      <c r="L173" s="107"/>
      <c r="M173" s="108"/>
    </row>
    <row r="174" ht="18.0" customHeight="1">
      <c r="A174" s="104" t="str">
        <f>'analysis _non-RE-nodes'!A176</f>
        <v>Spotted Platypus</v>
      </c>
      <c r="B174" s="79" t="str">
        <f t="shared" si="1"/>
        <v>spotted-platypus</v>
      </c>
      <c r="C174" s="105" t="str">
        <f t="shared" si="2"/>
        <v>Spotted Platypus</v>
      </c>
      <c r="D174" s="105" t="str">
        <f>IFERROR(__xludf.DUMMYFUNCTION("TEXTJOIN("""", TRUE, ARRAYFORMULA(LEFT(SPLIT(C174, "" ""),1)))"),"SP")</f>
        <v>SP</v>
      </c>
      <c r="E174" s="101"/>
      <c r="F174" s="101" t="s">
        <v>593</v>
      </c>
      <c r="G174" s="107"/>
      <c r="H174" s="107"/>
      <c r="I174" s="107"/>
      <c r="J174" s="107"/>
      <c r="K174" s="107"/>
      <c r="L174" s="107"/>
      <c r="M174" s="108"/>
    </row>
    <row r="175" ht="18.0" customHeight="1">
      <c r="A175" s="104" t="str">
        <f>'analysis _non-RE-nodes'!A177</f>
        <v>Spotted Possum</v>
      </c>
      <c r="B175" s="79" t="str">
        <f t="shared" si="1"/>
        <v>spotted-possum</v>
      </c>
      <c r="C175" s="105" t="str">
        <f t="shared" si="2"/>
        <v>Spotted Possum</v>
      </c>
      <c r="D175" s="105" t="str">
        <f>IFERROR(__xludf.DUMMYFUNCTION("TEXTJOIN("""", TRUE, ARRAYFORMULA(LEFT(SPLIT(C175, "" ""),1)))"),"SP")</f>
        <v>SP</v>
      </c>
      <c r="E175" s="101"/>
      <c r="F175" s="101" t="s">
        <v>593</v>
      </c>
      <c r="G175" s="107"/>
      <c r="H175" s="107"/>
      <c r="I175" s="107"/>
      <c r="J175" s="107"/>
      <c r="K175" s="107"/>
      <c r="L175" s="107"/>
      <c r="M175" s="108"/>
    </row>
    <row r="176" ht="18.0" customHeight="1">
      <c r="A176" s="104" t="str">
        <f>'analysis _non-RE-nodes'!A178</f>
        <v>Spotted Sugar Glider</v>
      </c>
      <c r="B176" s="79" t="str">
        <f t="shared" si="1"/>
        <v>spotted-sugar-glider</v>
      </c>
      <c r="C176" s="105" t="str">
        <f t="shared" si="2"/>
        <v>Spotted Sugar Glider</v>
      </c>
      <c r="D176" s="105" t="str">
        <f>IFERROR(__xludf.DUMMYFUNCTION("TEXTJOIN("""", TRUE, ARRAYFORMULA(LEFT(SPLIT(C176, "" ""),1)))"),"SSG")</f>
        <v>SSG</v>
      </c>
      <c r="E176" s="101"/>
      <c r="F176" s="101" t="s">
        <v>593</v>
      </c>
      <c r="G176" s="107"/>
      <c r="H176" s="107"/>
      <c r="I176" s="107"/>
      <c r="J176" s="107"/>
      <c r="K176" s="107"/>
      <c r="L176" s="107"/>
      <c r="M176" s="108"/>
    </row>
    <row r="177" ht="18.0" customHeight="1">
      <c r="A177" s="104" t="str">
        <f>'analysis _non-RE-nodes'!A179</f>
        <v>Spotted Tasmanian Devil</v>
      </c>
      <c r="B177" s="79" t="str">
        <f t="shared" si="1"/>
        <v>spotted-tasmanian-devil</v>
      </c>
      <c r="C177" s="105" t="str">
        <f t="shared" si="2"/>
        <v>Spotted Tasmanian Devil</v>
      </c>
      <c r="D177" s="105" t="str">
        <f>IFERROR(__xludf.DUMMYFUNCTION("TEXTJOIN("""", TRUE, ARRAYFORMULA(LEFT(SPLIT(C177, "" ""),1)))"),"STD")</f>
        <v>STD</v>
      </c>
      <c r="E177" s="101"/>
      <c r="F177" s="101" t="s">
        <v>593</v>
      </c>
      <c r="G177" s="107"/>
      <c r="H177" s="107"/>
      <c r="I177" s="107"/>
      <c r="J177" s="107"/>
      <c r="K177" s="107"/>
      <c r="L177" s="107"/>
      <c r="M177" s="108"/>
    </row>
    <row r="178" ht="18.0" customHeight="1">
      <c r="A178" s="104" t="str">
        <f>'analysis _non-RE-nodes'!A180</f>
        <v>Spotted Thorny Devil</v>
      </c>
      <c r="B178" s="79" t="str">
        <f t="shared" si="1"/>
        <v>spotted-thorny-devil</v>
      </c>
      <c r="C178" s="105" t="str">
        <f t="shared" si="2"/>
        <v>Spotted Thorny Devil</v>
      </c>
      <c r="D178" s="105" t="str">
        <f>IFERROR(__xludf.DUMMYFUNCTION("TEXTJOIN("""", TRUE, ARRAYFORMULA(LEFT(SPLIT(C178, "" ""),1)))"),"STD")</f>
        <v>STD</v>
      </c>
      <c r="E178" s="101"/>
      <c r="F178" s="101" t="s">
        <v>593</v>
      </c>
      <c r="G178" s="107"/>
      <c r="H178" s="107"/>
      <c r="I178" s="107"/>
      <c r="J178" s="107"/>
      <c r="K178" s="107"/>
      <c r="L178" s="107"/>
      <c r="M178" s="108"/>
    </row>
    <row r="179" ht="18.0" customHeight="1">
      <c r="A179" s="104" t="str">
        <f>'analysis _non-RE-nodes'!A181</f>
        <v>Striped Australian Magpie</v>
      </c>
      <c r="B179" s="79" t="str">
        <f t="shared" si="1"/>
        <v>striped-australian-magpie</v>
      </c>
      <c r="C179" s="105" t="str">
        <f t="shared" si="2"/>
        <v>Striped Australian Magpie</v>
      </c>
      <c r="D179" s="105" t="str">
        <f>IFERROR(__xludf.DUMMYFUNCTION("TEXTJOIN("""", TRUE, ARRAYFORMULA(LEFT(SPLIT(C179, "" ""),1)))"),"SAM")</f>
        <v>SAM</v>
      </c>
      <c r="E179" s="101"/>
      <c r="F179" s="101" t="s">
        <v>593</v>
      </c>
      <c r="G179" s="107"/>
      <c r="H179" s="107"/>
      <c r="I179" s="107"/>
      <c r="J179" s="107"/>
      <c r="K179" s="107"/>
      <c r="L179" s="107"/>
      <c r="M179" s="108"/>
    </row>
    <row r="180" ht="18.0" customHeight="1">
      <c r="A180" s="104" t="str">
        <f>'analysis _non-RE-nodes'!A182</f>
        <v>Striped Bandicoot</v>
      </c>
      <c r="B180" s="79" t="str">
        <f t="shared" si="1"/>
        <v>striped-bandicoot</v>
      </c>
      <c r="C180" s="105" t="str">
        <f t="shared" si="2"/>
        <v>Striped Bandicoot</v>
      </c>
      <c r="D180" s="105" t="str">
        <f>IFERROR(__xludf.DUMMYFUNCTION("TEXTJOIN("""", TRUE, ARRAYFORMULA(LEFT(SPLIT(C180, "" ""),1)))"),"SB")</f>
        <v>SB</v>
      </c>
      <c r="E180" s="101"/>
      <c r="F180" s="101" t="s">
        <v>593</v>
      </c>
      <c r="G180" s="107"/>
      <c r="H180" s="107"/>
      <c r="I180" s="107"/>
      <c r="J180" s="107"/>
      <c r="K180" s="107"/>
      <c r="L180" s="107"/>
      <c r="M180" s="108"/>
    </row>
    <row r="181" ht="18.0" customHeight="1">
      <c r="A181" s="104" t="str">
        <f>'analysis _non-RE-nodes'!A183</f>
        <v>Striped Bilby</v>
      </c>
      <c r="B181" s="79" t="str">
        <f t="shared" si="1"/>
        <v>striped-bilby</v>
      </c>
      <c r="C181" s="105" t="str">
        <f t="shared" si="2"/>
        <v>Striped Bilby</v>
      </c>
      <c r="D181" s="105" t="str">
        <f>IFERROR(__xludf.DUMMYFUNCTION("TEXTJOIN("""", TRUE, ARRAYFORMULA(LEFT(SPLIT(C181, "" ""),1)))"),"SB")</f>
        <v>SB</v>
      </c>
      <c r="E181" s="101"/>
      <c r="F181" s="101" t="s">
        <v>593</v>
      </c>
      <c r="G181" s="107"/>
      <c r="H181" s="107"/>
      <c r="I181" s="107"/>
      <c r="J181" s="107"/>
      <c r="K181" s="107"/>
      <c r="L181" s="107"/>
      <c r="M181" s="108"/>
    </row>
    <row r="182" ht="18.0" customHeight="1">
      <c r="A182" s="104" t="str">
        <f>'analysis _non-RE-nodes'!A184</f>
        <v>Striped Bush Stone-curlew</v>
      </c>
      <c r="B182" s="79" t="str">
        <f t="shared" si="1"/>
        <v>striped-bush-stone-curlew</v>
      </c>
      <c r="C182" s="105" t="str">
        <f t="shared" si="2"/>
        <v>Striped Bush Stone-curlew</v>
      </c>
      <c r="D182" s="105" t="str">
        <f>IFERROR(__xludf.DUMMYFUNCTION("TEXTJOIN("""", TRUE, ARRAYFORMULA(LEFT(SPLIT(C182, "" ""),1)))"),"SBS")</f>
        <v>SBS</v>
      </c>
      <c r="E182" s="101"/>
      <c r="F182" s="101" t="s">
        <v>593</v>
      </c>
      <c r="G182" s="107"/>
      <c r="H182" s="107"/>
      <c r="I182" s="107"/>
      <c r="J182" s="107"/>
      <c r="K182" s="107"/>
      <c r="L182" s="107"/>
      <c r="M182" s="108"/>
    </row>
    <row r="183" ht="18.0" customHeight="1">
      <c r="A183" s="104" t="str">
        <f>'analysis _non-RE-nodes'!A185</f>
        <v>Striped Echidna</v>
      </c>
      <c r="B183" s="79" t="str">
        <f t="shared" si="1"/>
        <v>striped-echidna</v>
      </c>
      <c r="C183" s="105" t="str">
        <f t="shared" si="2"/>
        <v>Striped Echidna</v>
      </c>
      <c r="D183" s="105" t="str">
        <f>IFERROR(__xludf.DUMMYFUNCTION("TEXTJOIN("""", TRUE, ARRAYFORMULA(LEFT(SPLIT(C183, "" ""),1)))"),"SE")</f>
        <v>SE</v>
      </c>
      <c r="E183" s="101"/>
      <c r="F183" s="101" t="s">
        <v>593</v>
      </c>
      <c r="G183" s="107"/>
      <c r="H183" s="107"/>
      <c r="I183" s="107"/>
      <c r="J183" s="107"/>
      <c r="K183" s="107"/>
      <c r="L183" s="107"/>
      <c r="M183" s="108"/>
    </row>
    <row r="184" ht="18.0" customHeight="1">
      <c r="A184" s="104" t="str">
        <f>'analysis _non-RE-nodes'!A186</f>
        <v>Striped Quokka</v>
      </c>
      <c r="B184" s="79" t="str">
        <f t="shared" si="1"/>
        <v>striped-quokka</v>
      </c>
      <c r="C184" s="105" t="str">
        <f t="shared" si="2"/>
        <v>Striped Quokka</v>
      </c>
      <c r="D184" s="105" t="str">
        <f>IFERROR(__xludf.DUMMYFUNCTION("TEXTJOIN("""", TRUE, ARRAYFORMULA(LEFT(SPLIT(C184, "" ""),1)))"),"SQ")</f>
        <v>SQ</v>
      </c>
      <c r="E184" s="101"/>
      <c r="F184" s="101" t="s">
        <v>593</v>
      </c>
      <c r="G184" s="107"/>
      <c r="H184" s="107"/>
      <c r="I184" s="107"/>
      <c r="J184" s="107"/>
      <c r="K184" s="107"/>
      <c r="L184" s="107"/>
      <c r="M184" s="108"/>
    </row>
    <row r="185" ht="18.0" customHeight="1">
      <c r="A185" s="104" t="str">
        <f>'analysis _non-RE-nodes'!A187</f>
        <v>Striped Tasmanian Devil</v>
      </c>
      <c r="B185" s="79" t="str">
        <f t="shared" si="1"/>
        <v>striped-tasmanian-devil</v>
      </c>
      <c r="C185" s="105" t="str">
        <f t="shared" si="2"/>
        <v>Striped Tasmanian Devil</v>
      </c>
      <c r="D185" s="105" t="str">
        <f>IFERROR(__xludf.DUMMYFUNCTION("TEXTJOIN("""", TRUE, ARRAYFORMULA(LEFT(SPLIT(C185, "" ""),1)))"),"STD")</f>
        <v>STD</v>
      </c>
      <c r="E185" s="101"/>
      <c r="F185" s="101" t="s">
        <v>593</v>
      </c>
      <c r="G185" s="107"/>
      <c r="H185" s="107"/>
      <c r="I185" s="107"/>
      <c r="J185" s="107"/>
      <c r="K185" s="107"/>
      <c r="L185" s="107"/>
      <c r="M185" s="108"/>
    </row>
    <row r="186" ht="18.0" customHeight="1">
      <c r="A186" s="104" t="str">
        <f>'analysis _non-RE-nodes'!A188</f>
        <v>Striped Tree Kangaroo</v>
      </c>
      <c r="B186" s="79" t="str">
        <f t="shared" si="1"/>
        <v>striped-tree-kangaroo</v>
      </c>
      <c r="C186" s="105" t="str">
        <f t="shared" si="2"/>
        <v>Striped Tree Kangaroo</v>
      </c>
      <c r="D186" s="105" t="str">
        <f>IFERROR(__xludf.DUMMYFUNCTION("TEXTJOIN("""", TRUE, ARRAYFORMULA(LEFT(SPLIT(C186, "" ""),1)))"),"STK")</f>
        <v>STK</v>
      </c>
      <c r="E186" s="101"/>
      <c r="F186" s="101" t="s">
        <v>593</v>
      </c>
      <c r="G186" s="107"/>
      <c r="H186" s="107"/>
      <c r="I186" s="107"/>
      <c r="J186" s="107"/>
      <c r="K186" s="107"/>
      <c r="L186" s="107"/>
      <c r="M186" s="108"/>
    </row>
    <row r="187" ht="18.0" customHeight="1">
      <c r="A187" s="104" t="str">
        <f>'analysis _non-RE-nodes'!A189</f>
        <v>Swift Bush Stone-curlew</v>
      </c>
      <c r="B187" s="79" t="str">
        <f t="shared" si="1"/>
        <v>swift-bush-stone-curlew</v>
      </c>
      <c r="C187" s="105" t="str">
        <f t="shared" si="2"/>
        <v>Swift Bush Stone-curlew</v>
      </c>
      <c r="D187" s="105" t="str">
        <f>IFERROR(__xludf.DUMMYFUNCTION("TEXTJOIN("""", TRUE, ARRAYFORMULA(LEFT(SPLIT(C187, "" ""),1)))"),"SBS")</f>
        <v>SBS</v>
      </c>
      <c r="E187" s="101"/>
      <c r="F187" s="101" t="s">
        <v>593</v>
      </c>
      <c r="G187" s="107"/>
      <c r="H187" s="107"/>
      <c r="I187" s="107"/>
      <c r="J187" s="107"/>
      <c r="K187" s="107"/>
      <c r="L187" s="107"/>
      <c r="M187" s="108"/>
    </row>
    <row r="188" ht="18.0" customHeight="1">
      <c r="A188" s="104" t="str">
        <f>'analysis _non-RE-nodes'!A190</f>
        <v>Swift Emu</v>
      </c>
      <c r="B188" s="79" t="str">
        <f t="shared" si="1"/>
        <v>swift-emu</v>
      </c>
      <c r="C188" s="105" t="str">
        <f t="shared" si="2"/>
        <v>Swift Emu</v>
      </c>
      <c r="D188" s="105" t="str">
        <f>IFERROR(__xludf.DUMMYFUNCTION("TEXTJOIN("""", TRUE, ARRAYFORMULA(LEFT(SPLIT(C188, "" ""),1)))"),"SE")</f>
        <v>SE</v>
      </c>
      <c r="E188" s="101"/>
      <c r="F188" s="101" t="s">
        <v>593</v>
      </c>
      <c r="G188" s="107"/>
      <c r="H188" s="107"/>
      <c r="I188" s="107"/>
      <c r="J188" s="107"/>
      <c r="K188" s="107"/>
      <c r="L188" s="107"/>
      <c r="M188" s="108"/>
    </row>
    <row r="189" ht="18.0" customHeight="1">
      <c r="A189" s="104" t="str">
        <f>'analysis _non-RE-nodes'!A191</f>
        <v>Swift Fairy Penguin</v>
      </c>
      <c r="B189" s="79" t="str">
        <f t="shared" si="1"/>
        <v>swift-fairy-penguin</v>
      </c>
      <c r="C189" s="105" t="str">
        <f t="shared" si="2"/>
        <v>Swift Fairy Penguin</v>
      </c>
      <c r="D189" s="105" t="str">
        <f>IFERROR(__xludf.DUMMYFUNCTION("TEXTJOIN("""", TRUE, ARRAYFORMULA(LEFT(SPLIT(C189, "" ""),1)))"),"SFP")</f>
        <v>SFP</v>
      </c>
      <c r="E189" s="101"/>
      <c r="F189" s="101" t="s">
        <v>593</v>
      </c>
      <c r="G189" s="107"/>
      <c r="H189" s="107"/>
      <c r="I189" s="107"/>
      <c r="J189" s="107"/>
      <c r="K189" s="107"/>
      <c r="L189" s="107"/>
      <c r="M189" s="108"/>
    </row>
    <row r="190" ht="18.0" customHeight="1">
      <c r="A190" s="104" t="str">
        <f>'analysis _non-RE-nodes'!A192</f>
        <v>Swift Lyrebird</v>
      </c>
      <c r="B190" s="79" t="str">
        <f t="shared" si="1"/>
        <v>swift-lyrebird</v>
      </c>
      <c r="C190" s="105" t="str">
        <f t="shared" si="2"/>
        <v>Swift Lyrebird</v>
      </c>
      <c r="D190" s="105" t="str">
        <f>IFERROR(__xludf.DUMMYFUNCTION("TEXTJOIN("""", TRUE, ARRAYFORMULA(LEFT(SPLIT(C190, "" ""),1)))"),"SL")</f>
        <v>SL</v>
      </c>
      <c r="E190" s="101"/>
      <c r="F190" s="101" t="s">
        <v>593</v>
      </c>
      <c r="G190" s="107"/>
      <c r="H190" s="107"/>
      <c r="I190" s="107"/>
      <c r="J190" s="107"/>
      <c r="K190" s="107"/>
      <c r="L190" s="107"/>
      <c r="M190" s="108"/>
    </row>
    <row r="191" ht="18.0" customHeight="1">
      <c r="A191" s="104" t="str">
        <f>'analysis _non-RE-nodes'!A193</f>
        <v>Swift Platypus</v>
      </c>
      <c r="B191" s="79" t="str">
        <f t="shared" si="1"/>
        <v>swift-platypus</v>
      </c>
      <c r="C191" s="105" t="str">
        <f t="shared" si="2"/>
        <v>Swift Platypus</v>
      </c>
      <c r="D191" s="105" t="str">
        <f>IFERROR(__xludf.DUMMYFUNCTION("TEXTJOIN("""", TRUE, ARRAYFORMULA(LEFT(SPLIT(C191, "" ""),1)))"),"SP")</f>
        <v>SP</v>
      </c>
      <c r="E191" s="101"/>
      <c r="F191" s="101" t="s">
        <v>593</v>
      </c>
      <c r="G191" s="107"/>
      <c r="H191" s="107"/>
      <c r="I191" s="107"/>
      <c r="J191" s="107"/>
      <c r="K191" s="107"/>
      <c r="L191" s="107"/>
      <c r="M191" s="108"/>
    </row>
    <row r="192" ht="18.0" customHeight="1">
      <c r="A192" s="104" t="str">
        <f>'analysis _non-RE-nodes'!A194</f>
        <v>Swift Redback Spider</v>
      </c>
      <c r="B192" s="79" t="str">
        <f t="shared" si="1"/>
        <v>swift-redback-spider</v>
      </c>
      <c r="C192" s="105" t="str">
        <f t="shared" si="2"/>
        <v>Swift Redback Spider</v>
      </c>
      <c r="D192" s="105" t="str">
        <f>IFERROR(__xludf.DUMMYFUNCTION("TEXTJOIN("""", TRUE, ARRAYFORMULA(LEFT(SPLIT(C192, "" ""),1)))"),"SRS")</f>
        <v>SRS</v>
      </c>
      <c r="E192" s="101"/>
      <c r="F192" s="101" t="s">
        <v>593</v>
      </c>
      <c r="G192" s="107"/>
      <c r="H192" s="107"/>
      <c r="I192" s="107"/>
      <c r="J192" s="107"/>
      <c r="K192" s="107"/>
      <c r="L192" s="107"/>
      <c r="M192" s="108"/>
    </row>
    <row r="193" ht="18.0" customHeight="1">
      <c r="A193" s="104" t="str">
        <f>'analysis _non-RE-nodes'!A195</f>
        <v>Swift Sugar Glider</v>
      </c>
      <c r="B193" s="79" t="str">
        <f t="shared" si="1"/>
        <v>swift-sugar-glider</v>
      </c>
      <c r="C193" s="105" t="str">
        <f t="shared" si="2"/>
        <v>Swift Sugar Glider</v>
      </c>
      <c r="D193" s="105" t="str">
        <f>IFERROR(__xludf.DUMMYFUNCTION("TEXTJOIN("""", TRUE, ARRAYFORMULA(LEFT(SPLIT(C193, "" ""),1)))"),"SSG")</f>
        <v>SSG</v>
      </c>
      <c r="E193" s="101"/>
      <c r="F193" s="101" t="s">
        <v>593</v>
      </c>
      <c r="G193" s="107"/>
      <c r="H193" s="107"/>
      <c r="I193" s="107"/>
      <c r="J193" s="107"/>
      <c r="K193" s="107"/>
      <c r="L193" s="107"/>
      <c r="M193" s="108"/>
    </row>
    <row r="194" ht="18.0" customHeight="1">
      <c r="A194" s="104" t="str">
        <f>'analysis _non-RE-nodes'!A196</f>
        <v>Tiny Bandicoot</v>
      </c>
      <c r="B194" s="79" t="str">
        <f t="shared" si="1"/>
        <v>tiny-bandicoot</v>
      </c>
      <c r="C194" s="105" t="str">
        <f t="shared" si="2"/>
        <v>Tiny Bandicoot</v>
      </c>
      <c r="D194" s="105" t="str">
        <f>IFERROR(__xludf.DUMMYFUNCTION("TEXTJOIN("""", TRUE, ARRAYFORMULA(LEFT(SPLIT(C194, "" ""),1)))"),"TB")</f>
        <v>TB</v>
      </c>
      <c r="E194" s="101"/>
      <c r="F194" s="101" t="s">
        <v>593</v>
      </c>
      <c r="G194" s="107"/>
      <c r="H194" s="107"/>
      <c r="I194" s="107"/>
      <c r="J194" s="107"/>
      <c r="K194" s="107"/>
      <c r="L194" s="107"/>
      <c r="M194" s="108"/>
    </row>
    <row r="195" ht="18.0" customHeight="1">
      <c r="A195" s="104" t="str">
        <f>'analysis _non-RE-nodes'!A197</f>
        <v>Tiny Cockatoo</v>
      </c>
      <c r="B195" s="79" t="str">
        <f t="shared" si="1"/>
        <v>tiny-cockatoo</v>
      </c>
      <c r="C195" s="105" t="str">
        <f t="shared" si="2"/>
        <v>Tiny Cockatoo</v>
      </c>
      <c r="D195" s="105" t="str">
        <f>IFERROR(__xludf.DUMMYFUNCTION("TEXTJOIN("""", TRUE, ARRAYFORMULA(LEFT(SPLIT(C195, "" ""),1)))"),"TC")</f>
        <v>TC</v>
      </c>
      <c r="E195" s="101"/>
      <c r="F195" s="101" t="s">
        <v>593</v>
      </c>
      <c r="G195" s="107"/>
      <c r="H195" s="107"/>
      <c r="I195" s="107"/>
      <c r="J195" s="107"/>
      <c r="K195" s="107"/>
      <c r="L195" s="107"/>
      <c r="M195" s="108"/>
    </row>
    <row r="196" ht="18.0" customHeight="1">
      <c r="A196" s="104" t="str">
        <f>'analysis _non-RE-nodes'!A198</f>
        <v>Tiny Dingo</v>
      </c>
      <c r="B196" s="79" t="str">
        <f t="shared" si="1"/>
        <v>tiny-dingo</v>
      </c>
      <c r="C196" s="105" t="str">
        <f t="shared" si="2"/>
        <v>Tiny Dingo</v>
      </c>
      <c r="D196" s="105" t="str">
        <f>IFERROR(__xludf.DUMMYFUNCTION("TEXTJOIN("""", TRUE, ARRAYFORMULA(LEFT(SPLIT(C196, "" ""),1)))"),"TD")</f>
        <v>TD</v>
      </c>
      <c r="E196" s="101"/>
      <c r="F196" s="101" t="s">
        <v>593</v>
      </c>
      <c r="G196" s="107"/>
      <c r="H196" s="107"/>
      <c r="I196" s="107"/>
      <c r="J196" s="107"/>
      <c r="K196" s="107"/>
      <c r="L196" s="107"/>
      <c r="M196" s="108"/>
    </row>
    <row r="197" ht="18.0" customHeight="1">
      <c r="A197" s="104" t="str">
        <f>'analysis _non-RE-nodes'!A199</f>
        <v>Tiny Echidna</v>
      </c>
      <c r="B197" s="79" t="str">
        <f t="shared" si="1"/>
        <v>tiny-echidna</v>
      </c>
      <c r="C197" s="105" t="str">
        <f t="shared" si="2"/>
        <v>Tiny Echidna</v>
      </c>
      <c r="D197" s="105" t="str">
        <f>IFERROR(__xludf.DUMMYFUNCTION("TEXTJOIN("""", TRUE, ARRAYFORMULA(LEFT(SPLIT(C197, "" ""),1)))"),"TE")</f>
        <v>TE</v>
      </c>
      <c r="E197" s="101"/>
      <c r="F197" s="101" t="s">
        <v>593</v>
      </c>
      <c r="G197" s="107"/>
      <c r="H197" s="107"/>
      <c r="I197" s="107"/>
      <c r="J197" s="107"/>
      <c r="K197" s="107"/>
      <c r="L197" s="107"/>
      <c r="M197" s="108"/>
    </row>
    <row r="198" ht="18.0" customHeight="1">
      <c r="A198" s="104" t="str">
        <f>'analysis _non-RE-nodes'!A200</f>
        <v>Tiny Fairy Penguin</v>
      </c>
      <c r="B198" s="79" t="str">
        <f t="shared" si="1"/>
        <v>tiny-fairy-penguin</v>
      </c>
      <c r="C198" s="105" t="str">
        <f t="shared" si="2"/>
        <v>Tiny Fairy Penguin</v>
      </c>
      <c r="D198" s="105" t="str">
        <f>IFERROR(__xludf.DUMMYFUNCTION("TEXTJOIN("""", TRUE, ARRAYFORMULA(LEFT(SPLIT(C198, "" ""),1)))"),"TFP")</f>
        <v>TFP</v>
      </c>
      <c r="E198" s="101"/>
      <c r="F198" s="101" t="s">
        <v>593</v>
      </c>
      <c r="G198" s="107"/>
      <c r="H198" s="107"/>
      <c r="I198" s="107"/>
      <c r="J198" s="107"/>
      <c r="K198" s="107"/>
      <c r="L198" s="107"/>
      <c r="M198" s="108"/>
    </row>
    <row r="199" ht="18.0" customHeight="1">
      <c r="A199" s="104" t="str">
        <f>'analysis _non-RE-nodes'!A201</f>
        <v>Tiny Goanna</v>
      </c>
      <c r="B199" s="79" t="str">
        <f t="shared" si="1"/>
        <v>tiny-goanna</v>
      </c>
      <c r="C199" s="105" t="str">
        <f t="shared" si="2"/>
        <v>Tiny Goanna</v>
      </c>
      <c r="D199" s="105" t="str">
        <f>IFERROR(__xludf.DUMMYFUNCTION("TEXTJOIN("""", TRUE, ARRAYFORMULA(LEFT(SPLIT(C199, "" ""),1)))"),"TG")</f>
        <v>TG</v>
      </c>
      <c r="E199" s="101"/>
      <c r="F199" s="101" t="s">
        <v>593</v>
      </c>
      <c r="G199" s="107"/>
      <c r="H199" s="107"/>
      <c r="I199" s="107"/>
      <c r="J199" s="107"/>
      <c r="K199" s="107"/>
      <c r="L199" s="107"/>
      <c r="M199" s="108"/>
    </row>
    <row r="200" ht="18.0" customHeight="1">
      <c r="A200" s="104" t="str">
        <f>'analysis _non-RE-nodes'!A202</f>
        <v>Tiny Numbat</v>
      </c>
      <c r="B200" s="79" t="str">
        <f t="shared" si="1"/>
        <v>tiny-numbat</v>
      </c>
      <c r="C200" s="105" t="str">
        <f t="shared" si="2"/>
        <v>Tiny Numbat</v>
      </c>
      <c r="D200" s="105" t="str">
        <f>IFERROR(__xludf.DUMMYFUNCTION("TEXTJOIN("""", TRUE, ARRAYFORMULA(LEFT(SPLIT(C200, "" ""),1)))"),"TN")</f>
        <v>TN</v>
      </c>
      <c r="E200" s="101"/>
      <c r="F200" s="101" t="s">
        <v>593</v>
      </c>
      <c r="G200" s="107"/>
      <c r="H200" s="107"/>
      <c r="I200" s="107"/>
      <c r="J200" s="107"/>
      <c r="K200" s="107"/>
      <c r="L200" s="107"/>
      <c r="M200" s="108"/>
    </row>
    <row r="201" ht="18.0" customHeight="1">
      <c r="A201" s="104" t="str">
        <f>'analysis _non-RE-nodes'!A203</f>
        <v>Tiny Possum</v>
      </c>
      <c r="B201" s="79" t="str">
        <f t="shared" si="1"/>
        <v>tiny-possum</v>
      </c>
      <c r="C201" s="105" t="str">
        <f t="shared" si="2"/>
        <v>Tiny Possum</v>
      </c>
      <c r="D201" s="105" t="str">
        <f>IFERROR(__xludf.DUMMYFUNCTION("TEXTJOIN("""", TRUE, ARRAYFORMULA(LEFT(SPLIT(C201, "" ""),1)))"),"TP")</f>
        <v>TP</v>
      </c>
      <c r="E201" s="101"/>
      <c r="F201" s="101" t="s">
        <v>593</v>
      </c>
      <c r="G201" s="107"/>
      <c r="H201" s="107"/>
      <c r="I201" s="107"/>
      <c r="J201" s="107"/>
      <c r="K201" s="107"/>
      <c r="L201" s="107"/>
      <c r="M201" s="108"/>
    </row>
    <row r="202" ht="18.0" customHeight="1">
      <c r="A202" s="104" t="str">
        <f>'analysis _non-RE-nodes'!A204</f>
        <v>Wild Blue-tongue Skink</v>
      </c>
      <c r="B202" s="79" t="str">
        <f t="shared" si="1"/>
        <v>wild-blue-tongue-skink</v>
      </c>
      <c r="C202" s="105" t="str">
        <f t="shared" si="2"/>
        <v>Wild Blue-tongue Skink</v>
      </c>
      <c r="D202" s="105" t="str">
        <f>IFERROR(__xludf.DUMMYFUNCTION("TEXTJOIN("""", TRUE, ARRAYFORMULA(LEFT(SPLIT(C202, "" ""),1)))"),"WBS")</f>
        <v>WBS</v>
      </c>
      <c r="E202" s="101"/>
      <c r="F202" s="101" t="s">
        <v>593</v>
      </c>
      <c r="G202" s="107"/>
      <c r="H202" s="107"/>
      <c r="I202" s="107"/>
      <c r="J202" s="107"/>
      <c r="K202" s="107"/>
      <c r="L202" s="107"/>
      <c r="M202" s="108"/>
    </row>
    <row r="203" ht="18.0" customHeight="1">
      <c r="A203" s="104" t="str">
        <f>'analysis _non-RE-nodes'!A205</f>
        <v>Wild Dingo</v>
      </c>
      <c r="B203" s="79" t="str">
        <f t="shared" si="1"/>
        <v>wild-dingo</v>
      </c>
      <c r="C203" s="105" t="str">
        <f t="shared" si="2"/>
        <v>Wild Dingo</v>
      </c>
      <c r="D203" s="105" t="str">
        <f>IFERROR(__xludf.DUMMYFUNCTION("TEXTJOIN("""", TRUE, ARRAYFORMULA(LEFT(SPLIT(C203, "" ""),1)))"),"WD")</f>
        <v>WD</v>
      </c>
      <c r="E203" s="101"/>
      <c r="F203" s="101" t="s">
        <v>593</v>
      </c>
      <c r="G203" s="107"/>
      <c r="H203" s="107"/>
      <c r="I203" s="107"/>
      <c r="J203" s="107"/>
      <c r="K203" s="107"/>
      <c r="L203" s="107"/>
      <c r="M203" s="108"/>
    </row>
    <row r="204" ht="18.0" customHeight="1">
      <c r="A204" s="104" t="str">
        <f>'analysis _non-RE-nodes'!A206</f>
        <v>Wild Fairy Penguin</v>
      </c>
      <c r="B204" s="79" t="str">
        <f t="shared" si="1"/>
        <v>wild-fairy-penguin</v>
      </c>
      <c r="C204" s="105" t="str">
        <f t="shared" si="2"/>
        <v>Wild Fairy Penguin</v>
      </c>
      <c r="D204" s="105" t="str">
        <f>IFERROR(__xludf.DUMMYFUNCTION("TEXTJOIN("""", TRUE, ARRAYFORMULA(LEFT(SPLIT(C204, "" ""),1)))"),"WFP")</f>
        <v>WFP</v>
      </c>
      <c r="E204" s="101"/>
      <c r="F204" s="101" t="s">
        <v>593</v>
      </c>
      <c r="G204" s="107"/>
      <c r="H204" s="107"/>
      <c r="I204" s="107"/>
      <c r="J204" s="107"/>
      <c r="K204" s="107"/>
      <c r="L204" s="107"/>
      <c r="M204" s="108"/>
    </row>
    <row r="205" ht="18.0" customHeight="1">
      <c r="A205" s="104" t="str">
        <f>'analysis _non-RE-nodes'!A207</f>
        <v>Wild Koala</v>
      </c>
      <c r="B205" s="79" t="str">
        <f t="shared" si="1"/>
        <v>wild-koala</v>
      </c>
      <c r="C205" s="105" t="str">
        <f t="shared" si="2"/>
        <v>Wild Koala</v>
      </c>
      <c r="D205" s="105" t="str">
        <f>IFERROR(__xludf.DUMMYFUNCTION("TEXTJOIN("""", TRUE, ARRAYFORMULA(LEFT(SPLIT(C205, "" ""),1)))"),"WK")</f>
        <v>WK</v>
      </c>
      <c r="E205" s="101"/>
      <c r="F205" s="101" t="s">
        <v>593</v>
      </c>
      <c r="G205" s="107"/>
      <c r="H205" s="107"/>
      <c r="I205" s="107"/>
      <c r="J205" s="107"/>
      <c r="K205" s="107"/>
      <c r="L205" s="107"/>
      <c r="M205" s="108"/>
    </row>
    <row r="206" ht="18.0" customHeight="1">
      <c r="A206" s="104" t="str">
        <f>'analysis _non-RE-nodes'!A208</f>
        <v>Wild Quokka</v>
      </c>
      <c r="B206" s="79" t="str">
        <f t="shared" si="1"/>
        <v>wild-quokka</v>
      </c>
      <c r="C206" s="105" t="str">
        <f t="shared" si="2"/>
        <v>Wild Quokka</v>
      </c>
      <c r="D206" s="105" t="str">
        <f>IFERROR(__xludf.DUMMYFUNCTION("TEXTJOIN("""", TRUE, ARRAYFORMULA(LEFT(SPLIT(C206, "" ""),1)))"),"WQ")</f>
        <v>WQ</v>
      </c>
      <c r="E206" s="101"/>
      <c r="F206" s="101" t="s">
        <v>593</v>
      </c>
      <c r="G206" s="107"/>
      <c r="H206" s="107"/>
      <c r="I206" s="107"/>
      <c r="J206" s="107"/>
      <c r="K206" s="107"/>
      <c r="L206" s="107"/>
      <c r="M206" s="108"/>
    </row>
    <row r="207" ht="18.0" customHeight="1">
      <c r="A207" s="104" t="str">
        <f>'analysis _non-RE-nodes'!A209</f>
        <v>Wild Rosella</v>
      </c>
      <c r="B207" s="79" t="str">
        <f t="shared" si="1"/>
        <v>wild-rosella</v>
      </c>
      <c r="C207" s="105" t="str">
        <f t="shared" si="2"/>
        <v>Wild Rosella</v>
      </c>
      <c r="D207" s="105" t="str">
        <f>IFERROR(__xludf.DUMMYFUNCTION("TEXTJOIN("""", TRUE, ARRAYFORMULA(LEFT(SPLIT(C207, "" ""),1)))"),"WR")</f>
        <v>WR</v>
      </c>
      <c r="E207" s="101"/>
      <c r="F207" s="101" t="s">
        <v>593</v>
      </c>
      <c r="G207" s="107"/>
      <c r="H207" s="107"/>
      <c r="I207" s="107"/>
      <c r="J207" s="107"/>
      <c r="K207" s="107"/>
      <c r="L207" s="107"/>
      <c r="M207" s="108"/>
    </row>
    <row r="208" ht="18.0" customHeight="1">
      <c r="A208" s="104" t="str">
        <f>'analysis _non-RE-nodes'!A210</f>
        <v>Wild Thorny Devil</v>
      </c>
      <c r="B208" s="79" t="str">
        <f t="shared" si="1"/>
        <v>wild-thorny-devil</v>
      </c>
      <c r="C208" s="105" t="str">
        <f t="shared" si="2"/>
        <v>Wild Thorny Devil</v>
      </c>
      <c r="D208" s="105" t="str">
        <f>IFERROR(__xludf.DUMMYFUNCTION("TEXTJOIN("""", TRUE, ARRAYFORMULA(LEFT(SPLIT(C208, "" ""),1)))"),"WTD")</f>
        <v>WTD</v>
      </c>
      <c r="E208" s="101"/>
      <c r="F208" s="101" t="s">
        <v>593</v>
      </c>
      <c r="G208" s="107"/>
      <c r="H208" s="107"/>
      <c r="I208" s="107"/>
      <c r="J208" s="107"/>
      <c r="K208" s="107"/>
      <c r="L208" s="107"/>
      <c r="M208" s="108"/>
    </row>
    <row r="209" ht="18.0" customHeight="1">
      <c r="A209" s="104" t="str">
        <f>'analysis _non-RE-nodes'!A211</f>
        <v>Wild Wombat</v>
      </c>
      <c r="B209" s="79" t="str">
        <f t="shared" si="1"/>
        <v>wild-wombat</v>
      </c>
      <c r="C209" s="105" t="str">
        <f t="shared" si="2"/>
        <v>Wild Wombat</v>
      </c>
      <c r="D209" s="105" t="str">
        <f>IFERROR(__xludf.DUMMYFUNCTION("TEXTJOIN("""", TRUE, ARRAYFORMULA(LEFT(SPLIT(C209, "" ""),1)))"),"WW")</f>
        <v>WW</v>
      </c>
      <c r="E209" s="101"/>
      <c r="F209" s="101" t="s">
        <v>593</v>
      </c>
      <c r="G209" s="107"/>
      <c r="H209" s="107"/>
      <c r="I209" s="107"/>
      <c r="J209" s="107"/>
      <c r="K209" s="107"/>
      <c r="L209" s="107"/>
      <c r="M209" s="108"/>
    </row>
    <row r="210" ht="18.0" customHeight="1">
      <c r="A210" s="104" t="str">
        <f>'analysis _non-RE-nodes'!A212</f>
        <v>Yellow Blue-tongue Skink</v>
      </c>
      <c r="B210" s="79" t="str">
        <f t="shared" si="1"/>
        <v>yellow-blue-tongue-skink</v>
      </c>
      <c r="C210" s="105" t="str">
        <f t="shared" si="2"/>
        <v>Yellow Blue-tongue Skink</v>
      </c>
      <c r="D210" s="105" t="str">
        <f>IFERROR(__xludf.DUMMYFUNCTION("TEXTJOIN("""", TRUE, ARRAYFORMULA(LEFT(SPLIT(C210, "" ""),1)))"),"YBS")</f>
        <v>YBS</v>
      </c>
      <c r="E210" s="101"/>
      <c r="F210" s="101" t="s">
        <v>593</v>
      </c>
      <c r="G210" s="107"/>
      <c r="H210" s="107"/>
      <c r="I210" s="107"/>
      <c r="J210" s="107"/>
      <c r="K210" s="107"/>
      <c r="L210" s="107"/>
      <c r="M210" s="108"/>
    </row>
    <row r="211" ht="18.0" customHeight="1">
      <c r="A211" s="104" t="str">
        <f>'analysis _non-RE-nodes'!A213</f>
        <v>Yellow Cockatoo</v>
      </c>
      <c r="B211" s="79" t="str">
        <f t="shared" si="1"/>
        <v>yellow-cockatoo</v>
      </c>
      <c r="C211" s="105" t="str">
        <f t="shared" si="2"/>
        <v>Yellow Cockatoo</v>
      </c>
      <c r="D211" s="105" t="str">
        <f>IFERROR(__xludf.DUMMYFUNCTION("TEXTJOIN("""", TRUE, ARRAYFORMULA(LEFT(SPLIT(C211, "" ""),1)))"),"YC")</f>
        <v>YC</v>
      </c>
      <c r="E211" s="101"/>
      <c r="F211" s="101" t="s">
        <v>593</v>
      </c>
      <c r="G211" s="107"/>
      <c r="H211" s="107"/>
      <c r="I211" s="107"/>
      <c r="J211" s="107"/>
      <c r="K211" s="107"/>
      <c r="L211" s="107"/>
      <c r="M211" s="108"/>
    </row>
    <row r="212" ht="18.0" customHeight="1">
      <c r="A212" s="104" t="str">
        <f>'analysis _non-RE-nodes'!A214</f>
        <v>Yellow Echidna</v>
      </c>
      <c r="B212" s="79" t="str">
        <f t="shared" si="1"/>
        <v>yellow-echidna</v>
      </c>
      <c r="C212" s="105" t="str">
        <f t="shared" si="2"/>
        <v>Yellow Echidna</v>
      </c>
      <c r="D212" s="105" t="str">
        <f>IFERROR(__xludf.DUMMYFUNCTION("TEXTJOIN("""", TRUE, ARRAYFORMULA(LEFT(SPLIT(C212, "" ""),1)))"),"YE")</f>
        <v>YE</v>
      </c>
      <c r="E212" s="101"/>
      <c r="F212" s="101" t="s">
        <v>593</v>
      </c>
      <c r="G212" s="107"/>
      <c r="H212" s="107"/>
      <c r="I212" s="107"/>
      <c r="J212" s="107"/>
      <c r="K212" s="107"/>
      <c r="L212" s="107"/>
      <c r="M212" s="108"/>
    </row>
    <row r="213" ht="18.0" customHeight="1">
      <c r="A213" s="104" t="str">
        <f>'analysis _non-RE-nodes'!A215</f>
        <v>Yellow Fairy Penguin</v>
      </c>
      <c r="B213" s="79" t="str">
        <f t="shared" si="1"/>
        <v>yellow-fairy-penguin</v>
      </c>
      <c r="C213" s="105" t="str">
        <f t="shared" si="2"/>
        <v>Yellow Fairy Penguin</v>
      </c>
      <c r="D213" s="105" t="str">
        <f>IFERROR(__xludf.DUMMYFUNCTION("TEXTJOIN("""", TRUE, ARRAYFORMULA(LEFT(SPLIT(C213, "" ""),1)))"),"YFP")</f>
        <v>YFP</v>
      </c>
      <c r="E213" s="101"/>
      <c r="F213" s="101" t="s">
        <v>593</v>
      </c>
      <c r="G213" s="107"/>
      <c r="H213" s="107"/>
      <c r="I213" s="107"/>
      <c r="J213" s="107"/>
      <c r="K213" s="107"/>
      <c r="L213" s="107"/>
      <c r="M213" s="108"/>
    </row>
    <row r="214" ht="18.0" customHeight="1">
      <c r="A214" s="104" t="str">
        <f>'analysis _non-RE-nodes'!A216</f>
        <v>Yellow Frilled Neck Lizard</v>
      </c>
      <c r="B214" s="79" t="str">
        <f t="shared" si="1"/>
        <v>yellow-frilled-neck-lizard</v>
      </c>
      <c r="C214" s="105" t="str">
        <f t="shared" si="2"/>
        <v>Yellow Frilled Neck Lizard</v>
      </c>
      <c r="D214" s="105" t="str">
        <f>IFERROR(__xludf.DUMMYFUNCTION("TEXTJOIN("""", TRUE, ARRAYFORMULA(LEFT(SPLIT(C214, "" ""),1)))"),"YFNL")</f>
        <v>YFNL</v>
      </c>
      <c r="E214" s="101"/>
      <c r="F214" s="101" t="s">
        <v>593</v>
      </c>
      <c r="G214" s="107"/>
      <c r="H214" s="107"/>
      <c r="I214" s="107"/>
      <c r="J214" s="107"/>
      <c r="K214" s="107"/>
      <c r="L214" s="107"/>
      <c r="M214" s="108"/>
    </row>
    <row r="215" ht="18.0" customHeight="1">
      <c r="A215" s="104" t="str">
        <f>'analysis _non-RE-nodes'!A217</f>
        <v>Yellow Platypus</v>
      </c>
      <c r="B215" s="79" t="str">
        <f t="shared" si="1"/>
        <v>yellow-platypus</v>
      </c>
      <c r="C215" s="105" t="str">
        <f t="shared" si="2"/>
        <v>Yellow Platypus</v>
      </c>
      <c r="D215" s="105" t="str">
        <f>IFERROR(__xludf.DUMMYFUNCTION("TEXTJOIN("""", TRUE, ARRAYFORMULA(LEFT(SPLIT(C215, "" ""),1)))"),"YP")</f>
        <v>YP</v>
      </c>
      <c r="E215" s="101"/>
      <c r="F215" s="101" t="s">
        <v>593</v>
      </c>
      <c r="G215" s="107"/>
      <c r="H215" s="107"/>
      <c r="I215" s="107"/>
      <c r="J215" s="107"/>
      <c r="K215" s="107"/>
      <c r="L215" s="107"/>
      <c r="M215" s="108"/>
    </row>
    <row r="216" ht="18.0" customHeight="1">
      <c r="A216" s="104" t="str">
        <f>'analysis _non-RE-nodes'!A218</f>
        <v>Yellow Redback Spider</v>
      </c>
      <c r="B216" s="79" t="str">
        <f t="shared" si="1"/>
        <v>yellow-redback-spider</v>
      </c>
      <c r="C216" s="105" t="str">
        <f t="shared" si="2"/>
        <v>Yellow Redback Spider</v>
      </c>
      <c r="D216" s="105" t="str">
        <f>IFERROR(__xludf.DUMMYFUNCTION("TEXTJOIN("""", TRUE, ARRAYFORMULA(LEFT(SPLIT(C216, "" ""),1)))"),"YRS")</f>
        <v>YRS</v>
      </c>
      <c r="E216" s="101"/>
      <c r="F216" s="101" t="s">
        <v>593</v>
      </c>
      <c r="G216" s="107"/>
      <c r="H216" s="107"/>
      <c r="I216" s="107"/>
      <c r="J216" s="107"/>
      <c r="K216" s="107"/>
      <c r="L216" s="107"/>
      <c r="M216" s="108"/>
    </row>
    <row r="217" ht="18.0" customHeight="1">
      <c r="A217" s="104" t="str">
        <f>'analysis _non-RE-nodes'!A219</f>
        <v>Yellow Thorny Devil</v>
      </c>
      <c r="B217" s="79" t="str">
        <f t="shared" si="1"/>
        <v>yellow-thorny-devil</v>
      </c>
      <c r="C217" s="105" t="str">
        <f t="shared" si="2"/>
        <v>Yellow Thorny Devil</v>
      </c>
      <c r="D217" s="105" t="str">
        <f>IFERROR(__xludf.DUMMYFUNCTION("TEXTJOIN("""", TRUE, ARRAYFORMULA(LEFT(SPLIT(C217, "" ""),1)))"),"YTD")</f>
        <v>YTD</v>
      </c>
      <c r="E217" s="101"/>
      <c r="F217" s="101" t="s">
        <v>593</v>
      </c>
      <c r="G217" s="107"/>
      <c r="H217" s="107"/>
      <c r="I217" s="107"/>
      <c r="J217" s="107"/>
      <c r="K217" s="107"/>
      <c r="L217" s="107"/>
      <c r="M217" s="108"/>
    </row>
    <row r="218" ht="18.0" customHeight="1">
      <c r="A218" s="104" t="str">
        <f>'analysis _non-RE-nodes'!A220</f>
        <v>Yellow Tree Kangaroo</v>
      </c>
      <c r="B218" s="79" t="str">
        <f t="shared" si="1"/>
        <v>yellow-tree-kangaroo</v>
      </c>
      <c r="C218" s="105" t="str">
        <f t="shared" si="2"/>
        <v>Yellow Tree Kangaroo</v>
      </c>
      <c r="D218" s="105" t="str">
        <f>IFERROR(__xludf.DUMMYFUNCTION("TEXTJOIN("""", TRUE, ARRAYFORMULA(LEFT(SPLIT(C218, "" ""),1)))"),"YTK")</f>
        <v>YTK</v>
      </c>
      <c r="E218" s="101"/>
      <c r="F218" s="101" t="s">
        <v>593</v>
      </c>
      <c r="G218" s="107"/>
      <c r="H218" s="107"/>
      <c r="I218" s="107"/>
      <c r="J218" s="107"/>
      <c r="K218" s="107"/>
      <c r="L218" s="107"/>
      <c r="M218" s="108"/>
    </row>
    <row r="219" ht="18.0" customHeight="1">
      <c r="A219" s="109" t="str">
        <f>'analysis _non-RE-nodes'!A221</f>
        <v>Yellow Wombat</v>
      </c>
      <c r="B219" s="80" t="str">
        <f t="shared" si="1"/>
        <v>yellow-wombat</v>
      </c>
      <c r="C219" s="110" t="str">
        <f t="shared" si="2"/>
        <v>Yellow Wombat</v>
      </c>
      <c r="D219" s="110" t="str">
        <f>IFERROR(__xludf.DUMMYFUNCTION("TEXTJOIN("""", TRUE, ARRAYFORMULA(LEFT(SPLIT(C219, "" ""),1)))"),"YW")</f>
        <v>YW</v>
      </c>
      <c r="E219" s="111"/>
      <c r="F219" s="101" t="s">
        <v>593</v>
      </c>
      <c r="G219" s="112"/>
      <c r="H219" s="112"/>
      <c r="I219" s="112"/>
      <c r="J219" s="112"/>
      <c r="K219" s="112"/>
      <c r="L219" s="112"/>
      <c r="M219" s="11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6C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9.25"/>
    <col customWidth="1" min="3" max="3" width="10.0"/>
    <col customWidth="1" min="4" max="4" width="13.5"/>
    <col customWidth="1" min="7" max="7" width="14.0"/>
    <col customWidth="1" min="13" max="13" width="21.38"/>
  </cols>
  <sheetData>
    <row r="1" ht="29.25" customHeight="1">
      <c r="A1" s="82" t="str">
        <f t="array" ref="A1:N1">transpose('meta-link-question-map'!A16:A29)</f>
        <v>node-from</v>
      </c>
      <c r="B1" s="82" t="s">
        <v>617</v>
      </c>
      <c r="C1" s="82" t="s">
        <v>595</v>
      </c>
      <c r="D1" s="82" t="s">
        <v>596</v>
      </c>
      <c r="E1" s="82" t="s">
        <v>618</v>
      </c>
      <c r="F1" s="82" t="s">
        <v>598</v>
      </c>
      <c r="G1" s="82" t="s">
        <v>619</v>
      </c>
      <c r="H1" s="82" t="s">
        <v>601</v>
      </c>
      <c r="I1" s="82" t="s">
        <v>599</v>
      </c>
      <c r="J1" s="82" t="s">
        <v>602</v>
      </c>
      <c r="K1" s="82" t="s">
        <v>600</v>
      </c>
      <c r="L1" s="82" t="s">
        <v>620</v>
      </c>
      <c r="M1" s="82" t="s">
        <v>605</v>
      </c>
      <c r="N1" s="83" t="s">
        <v>606</v>
      </c>
    </row>
    <row r="2" ht="15.75" customHeight="1">
      <c r="A2" s="84" t="str">
        <f>Substitute(SUBSTITUTE(substitute(substitute(substitute(substitute(substitute(substitute(substitute(lower('source-downstream'!A2)," ","-"),"(",""),")",""),"&gt;",""),"&lt;",""),"---","-"),".","-"),"--","-"),"&amp;","-and-")</f>
        <v>blue-lyrebird</v>
      </c>
      <c r="B2" s="84" t="str">
        <f>Substitute(SUBSTITUTE(substitute(substitute(substitute(substitute(substitute(substitute(substitute(lower('source-downstream'!B2)," ","-"),"(",""),")",""),"&gt;",""),"&lt;",""),"---","-"),".","-"),"--","-"),"&amp;","-and-")</f>
        <v>tiny-fairy-penguin</v>
      </c>
      <c r="C2" s="66" t="str">
        <f>if('source-downstream'!C2="",'schema-frequency'!$B$11,vlookup('source-downstream'!C2,FREQUENCY_MAP, 3, FALSE))</f>
        <v>ad-hoc</v>
      </c>
      <c r="D2" s="85" t="str">
        <f>'source-downstream'!D2</f>
        <v>Provision of recycled construction materials 
 Receives final product from all three sites</v>
      </c>
      <c r="E2" s="66" t="str">
        <f>if('source-downstream'!E2="",'schema-geographic-dependency'!$B$5, vlookup('source-downstream'!E2,'schema-geographic-dependency'!A:B,2,FALSE))</f>
        <v>same-region</v>
      </c>
      <c r="F2" s="66" t="str">
        <f>if('source-downstream'!F2="",'schema-yn'!$A$5,vlookup('source-downstream'!F2,YN_MAP,3,FALSE))</f>
        <v>no</v>
      </c>
      <c r="G2" s="85" t="str">
        <f>'source-downstream'!G2</f>
        <v>Within the same region, the wider Melbourne metropolitan area</v>
      </c>
      <c r="H2" s="66" t="str">
        <f>'source-downstream'!H2</f>
        <v/>
      </c>
      <c r="I2" s="66" t="str">
        <f>if('source-downstream'!I2="",'schema-yn'!$A$5,vlookup('source-downstream'!I2,YN_MAP,3,FALSE))</f>
        <v>yes</v>
      </c>
      <c r="J2" s="85"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66" t="str">
        <f>if('source-downstream'!K2="",'data-cleansing-maps'!$L$10,vlookup('source-downstream'!K2,RESILIENCE_OPTION_MAP,3,FALSE))</f>
        <v>not-provided</v>
      </c>
      <c r="L2" s="85" t="str">
        <f>'source-downstream'!L2</f>
        <v/>
      </c>
      <c r="M2" s="66" t="str">
        <f>if('source-downstream'!M2="",'schema-rv-services'!$B$26,vlookup(vlookup('source-downstream'!$M2,'analysis-rv-services'!$C:$E,3,FALSE),'schema-rv-services'!$A:$B,2, FALSE))</f>
        <v>recycled-material</v>
      </c>
      <c r="N2" s="66"/>
    </row>
    <row r="3" ht="15.75" customHeight="1">
      <c r="A3" s="86" t="str">
        <f>Substitute(SUBSTITUTE(substitute(substitute(substitute(substitute(substitute(substitute(substitute(lower('source-downstream'!A3)," ","-"),"(",""),")",""),"&gt;",""),"&lt;",""),"---","-"),".","-"),"--","-"),"&amp;","-and-")</f>
        <v>blue-lyrebird</v>
      </c>
      <c r="B3" s="86" t="str">
        <f>Substitute(SUBSTITUTE(substitute(substitute(substitute(substitute(substitute(substitute(substitute(lower('source-downstream'!B3)," ","-"),"(",""),")",""),"&gt;",""),"&lt;",""),"---","-"),".","-"),"--","-"),"&amp;","-and-")</f>
        <v>blue-lyrebird</v>
      </c>
      <c r="C3" s="71" t="str">
        <f>if('source-downstream'!C3="",'schema-frequency'!$B$11,vlookup('source-downstream'!C3,FREQUENCY_MAP, 3, FALSE))</f>
        <v>ad-hoc</v>
      </c>
      <c r="D3" s="87" t="str">
        <f>'source-downstream'!D3</f>
        <v>Provision of recycled construction materials 
 Receives final product from all three sites</v>
      </c>
      <c r="E3" s="66" t="str">
        <f>if('source-downstream'!E3="",'schema-geographic-dependency'!$B$5, vlookup('source-downstream'!E3,'schema-geographic-dependency'!A:B,2,FALSE))</f>
        <v>same-region</v>
      </c>
      <c r="F3" s="71" t="str">
        <f>if('source-downstream'!F3="",'schema-yn'!$A$5,vlookup('source-downstream'!F3,YN_MAP,3,FALSE))</f>
        <v>no</v>
      </c>
      <c r="G3" s="87" t="str">
        <f>'source-downstream'!G3</f>
        <v>Within the same region, the wider Melbourne metropolitan area</v>
      </c>
      <c r="H3" s="71" t="str">
        <f>'source-downstream'!H3</f>
        <v/>
      </c>
      <c r="I3" s="71" t="str">
        <f>if('source-downstream'!I3="",'schema-yn'!$A$5,vlookup('source-downstream'!I3,YN_MAP,3,FALSE))</f>
        <v>yes</v>
      </c>
      <c r="J3" s="87"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71" t="str">
        <f>if('source-downstream'!K3="",'data-cleansing-maps'!$L$10,vlookup('source-downstream'!K3,RESILIENCE_OPTION_MAP,3,FALSE))</f>
        <v>not-provided</v>
      </c>
      <c r="L3" s="87" t="str">
        <f>'source-downstream'!L3</f>
        <v/>
      </c>
      <c r="M3" s="66" t="str">
        <f>if('source-downstream'!M3="",'schema-rv-services'!$B$26,vlookup(vlookup('source-downstream'!$M3,'analysis-rv-services'!$C:$E,3,FALSE),'schema-rv-services'!$A:$B,2, FALSE))</f>
        <v>recycled-material</v>
      </c>
      <c r="N3" s="71"/>
    </row>
    <row r="4" ht="15.75" customHeight="1">
      <c r="A4" s="86" t="str">
        <f>Substitute(SUBSTITUTE(substitute(substitute(substitute(substitute(substitute(substitute(substitute(lower('source-downstream'!A4)," ","-"),"(",""),")",""),"&gt;",""),"&lt;",""),"---","-"),".","-"),"--","-"),"&amp;","-and-")</f>
        <v>blue-lyrebird</v>
      </c>
      <c r="B4" s="86" t="str">
        <f>Substitute(SUBSTITUTE(substitute(substitute(substitute(substitute(substitute(substitute(substitute(lower('source-downstream'!B4)," ","-"),"(",""),")",""),"&gt;",""),"&lt;",""),"---","-"),".","-"),"--","-"),"&amp;","-and-")</f>
        <v>striped-tree-kangaroo</v>
      </c>
      <c r="C4" s="71" t="str">
        <f>if('source-downstream'!C4="",'schema-frequency'!$B$11,vlookup('source-downstream'!C4,FREQUENCY_MAP, 3, FALSE))</f>
        <v>ad-hoc</v>
      </c>
      <c r="D4" s="87" t="str">
        <f>'source-downstream'!D4</f>
        <v>Provision of recycled construction materials 
 Receives final product from all three sites</v>
      </c>
      <c r="E4" s="66" t="str">
        <f>if('source-downstream'!E4="",'schema-geographic-dependency'!$B$5, vlookup('source-downstream'!E4,'schema-geographic-dependency'!A:B,2,FALSE))</f>
        <v>same-region</v>
      </c>
      <c r="F4" s="71" t="str">
        <f>if('source-downstream'!F4="",'schema-yn'!$A$5,vlookup('source-downstream'!F4,YN_MAP,3,FALSE))</f>
        <v>no</v>
      </c>
      <c r="G4" s="87" t="str">
        <f>'source-downstream'!G4</f>
        <v>Within the same region, the wider Melbourne metropolitan area</v>
      </c>
      <c r="H4" s="71" t="str">
        <f>'source-downstream'!H4</f>
        <v/>
      </c>
      <c r="I4" s="71" t="str">
        <f>if('source-downstream'!I4="",'schema-yn'!$A$5,vlookup('source-downstream'!I4,YN_MAP,3,FALSE))</f>
        <v>yes</v>
      </c>
      <c r="J4" s="87"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71" t="str">
        <f>if('source-downstream'!K4="",'data-cleansing-maps'!$L$10,vlookup('source-downstream'!K4,RESILIENCE_OPTION_MAP,3,FALSE))</f>
        <v>not-provided</v>
      </c>
      <c r="L4" s="87" t="str">
        <f>'source-downstream'!L4</f>
        <v/>
      </c>
      <c r="M4" s="66" t="str">
        <f>if('source-downstream'!M4="",'schema-rv-services'!$B$26,vlookup(vlookup('source-downstream'!$M4,'analysis-rv-services'!$C:$E,3,FALSE),'schema-rv-services'!$A:$B,2, FALSE))</f>
        <v>recycled-material</v>
      </c>
      <c r="N4" s="71"/>
    </row>
    <row r="5" ht="15.75" customHeight="1">
      <c r="A5" s="86" t="str">
        <f>Substitute(SUBSTITUTE(substitute(substitute(substitute(substitute(substitute(substitute(substitute(lower('source-downstream'!A5)," ","-"),"(",""),")",""),"&gt;",""),"&lt;",""),"---","-"),".","-"),"--","-"),"&amp;","-and-")</f>
        <v>blue-lyrebird</v>
      </c>
      <c r="B5" s="86" t="str">
        <f>Substitute(SUBSTITUTE(substitute(substitute(substitute(substitute(substitute(substitute(substitute(lower('source-downstream'!B5)," ","-"),"(",""),")",""),"&gt;",""),"&lt;",""),"---","-"),".","-"),"--","-"),"&amp;","-and-")</f>
        <v>fuzzy-quokka</v>
      </c>
      <c r="C5" s="71" t="str">
        <f>if('source-downstream'!C5="",'schema-frequency'!$B$11,vlookup('source-downstream'!C5,FREQUENCY_MAP, 3, FALSE))</f>
        <v>ad-hoc</v>
      </c>
      <c r="D5" s="87" t="str">
        <f>'source-downstream'!D5</f>
        <v>Provision of recycled construction materials 
 Receives final product from all three sites</v>
      </c>
      <c r="E5" s="66" t="str">
        <f>if('source-downstream'!E5="",'schema-geographic-dependency'!$B$5, vlookup('source-downstream'!E5,'schema-geographic-dependency'!A:B,2,FALSE))</f>
        <v>same-region</v>
      </c>
      <c r="F5" s="71" t="str">
        <f>if('source-downstream'!F5="",'schema-yn'!$A$5,vlookup('source-downstream'!F5,YN_MAP,3,FALSE))</f>
        <v>no</v>
      </c>
      <c r="G5" s="87" t="str">
        <f>'source-downstream'!G5</f>
        <v>Within the same region, the wider Melbourne metropolitan area</v>
      </c>
      <c r="H5" s="71" t="str">
        <f>'source-downstream'!H5</f>
        <v/>
      </c>
      <c r="I5" s="71" t="str">
        <f>if('source-downstream'!I5="",'schema-yn'!$A$5,vlookup('source-downstream'!I5,YN_MAP,3,FALSE))</f>
        <v>yes</v>
      </c>
      <c r="J5" s="87"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71" t="str">
        <f>if('source-downstream'!K5="",'data-cleansing-maps'!$L$10,vlookup('source-downstream'!K5,RESILIENCE_OPTION_MAP,3,FALSE))</f>
        <v>alternative-supplier</v>
      </c>
      <c r="L5" s="87" t="str">
        <f>'source-downstream'!L5</f>
        <v/>
      </c>
      <c r="M5" s="66" t="str">
        <f>if('source-downstream'!M5="",'schema-rv-services'!$B$26,vlookup(vlookup('source-downstream'!$M5,'analysis-rv-services'!$C:$E,3,FALSE),'schema-rv-services'!$A:$B,2, FALSE))</f>
        <v>recycled-material</v>
      </c>
      <c r="N5" s="71"/>
    </row>
    <row r="6" ht="15.75" customHeight="1">
      <c r="A6" s="86" t="str">
        <f>Substitute(SUBSTITUTE(substitute(substitute(substitute(substitute(substitute(substitute(substitute(lower('source-downstream'!A6)," ","-"),"(",""),")",""),"&gt;",""),"&lt;",""),"---","-"),".","-"),"--","-"),"&amp;","-and-")</f>
        <v>blue-lyrebird</v>
      </c>
      <c r="B6" s="86" t="str">
        <f>Substitute(SUBSTITUTE(substitute(substitute(substitute(substitute(substitute(substitute(substitute(lower('source-downstream'!B6)," ","-"),"(",""),")",""),"&gt;",""),"&lt;",""),"---","-"),".","-"),"--","-"),"&amp;","-and-")</f>
        <v>blue-frilled-neck-lizard</v>
      </c>
      <c r="C6" s="71" t="str">
        <f>if('source-downstream'!C6="",'schema-frequency'!$B$11,vlookup('source-downstream'!C6,FREQUENCY_MAP, 3, FALSE))</f>
        <v>ad-hoc</v>
      </c>
      <c r="D6" s="87" t="str">
        <f>'source-downstream'!D6</f>
        <v>Provision of recycled construction materials 
 Receives final product from Clarinda and Laverton North</v>
      </c>
      <c r="E6" s="66" t="str">
        <f>if('source-downstream'!E6="",'schema-geographic-dependency'!$B$5, vlookup('source-downstream'!E6,'schema-geographic-dependency'!A:B,2,FALSE))</f>
        <v>same-region</v>
      </c>
      <c r="F6" s="71" t="str">
        <f>if('source-downstream'!F6="",'schema-yn'!$A$5,vlookup('source-downstream'!F6,YN_MAP,3,FALSE))</f>
        <v>no</v>
      </c>
      <c r="G6" s="87" t="str">
        <f>'source-downstream'!G6</f>
        <v>Within the same region, the wider Melbourne metropolitan area</v>
      </c>
      <c r="H6" s="71" t="str">
        <f>'source-downstream'!H6</f>
        <v/>
      </c>
      <c r="I6" s="71" t="str">
        <f>if('source-downstream'!I6="",'schema-yn'!$A$5,vlookup('source-downstream'!I6,YN_MAP,3,FALSE))</f>
        <v>yes</v>
      </c>
      <c r="J6" s="87"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71" t="str">
        <f>if('source-downstream'!K6="",'data-cleansing-maps'!$L$10,vlookup('source-downstream'!K6,RESILIENCE_OPTION_MAP,3,FALSE))</f>
        <v>alternative-supplier</v>
      </c>
      <c r="L6" s="87" t="str">
        <f>'source-downstream'!L6</f>
        <v/>
      </c>
      <c r="M6" s="66" t="str">
        <f>if('source-downstream'!M6="",'schema-rv-services'!$B$26,vlookup(vlookup('source-downstream'!$M6,'analysis-rv-services'!$C:$E,3,FALSE),'schema-rv-services'!$A:$B,2, FALSE))</f>
        <v>recycled-material</v>
      </c>
      <c r="N6" s="71"/>
    </row>
    <row r="7" ht="15.75" customHeight="1">
      <c r="A7" s="86" t="str">
        <f>Substitute(SUBSTITUTE(substitute(substitute(substitute(substitute(substitute(substitute(substitute(lower('source-downstream'!A7)," ","-"),"(",""),")",""),"&gt;",""),"&lt;",""),"---","-"),".","-"),"--","-"),"&amp;","-and-")</f>
        <v>blue-lyrebird</v>
      </c>
      <c r="B7" s="86" t="str">
        <f>Substitute(SUBSTITUTE(substitute(substitute(substitute(substitute(substitute(substitute(substitute(lower('source-downstream'!B7)," ","-"),"(",""),")",""),"&gt;",""),"&lt;",""),"---","-"),".","-"),"--","-"),"&amp;","-and-")</f>
        <v>clever-goanna</v>
      </c>
      <c r="C7" s="71" t="str">
        <f>if('source-downstream'!C7="",'schema-frequency'!$B$11,vlookup('source-downstream'!C7,FREQUENCY_MAP, 3, FALSE))</f>
        <v>ad-hoc</v>
      </c>
      <c r="D7" s="87" t="str">
        <f>'source-downstream'!D7</f>
        <v>Provision of recycled construction materials 
 Receives final product from all three sites</v>
      </c>
      <c r="E7" s="66" t="str">
        <f>if('source-downstream'!E7="",'schema-geographic-dependency'!$B$5, vlookup('source-downstream'!E7,'schema-geographic-dependency'!A:B,2,FALSE))</f>
        <v>same-region</v>
      </c>
      <c r="F7" s="71" t="str">
        <f>if('source-downstream'!F7="",'schema-yn'!$A$5,vlookup('source-downstream'!F7,YN_MAP,3,FALSE))</f>
        <v>no</v>
      </c>
      <c r="G7" s="87" t="str">
        <f>'source-downstream'!G7</f>
        <v>Within the same region, the wider Melbourne metropolitan area</v>
      </c>
      <c r="H7" s="71" t="str">
        <f>'source-downstream'!H7</f>
        <v/>
      </c>
      <c r="I7" s="71" t="str">
        <f>if('source-downstream'!I7="",'schema-yn'!$A$5,vlookup('source-downstream'!I7,YN_MAP,3,FALSE))</f>
        <v>yes</v>
      </c>
      <c r="J7" s="87"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71" t="str">
        <f>if('source-downstream'!K7="",'data-cleansing-maps'!$L$10,vlookup('source-downstream'!K7,RESILIENCE_OPTION_MAP,3,FALSE))</f>
        <v>alternative-supplier</v>
      </c>
      <c r="L7" s="87" t="str">
        <f>'source-downstream'!L7</f>
        <v>– Mickleham Rd Upgrade</v>
      </c>
      <c r="M7" s="66" t="str">
        <f>if('source-downstream'!M7="",'schema-rv-services'!$B$26,vlookup(vlookup('source-downstream'!$M7,'analysis-rv-services'!$C:$E,3,FALSE),'schema-rv-services'!$A:$B,2, FALSE))</f>
        <v>recycled-material</v>
      </c>
      <c r="N7" s="71"/>
    </row>
    <row r="8" ht="15.75" customHeight="1">
      <c r="A8" s="86" t="str">
        <f>Substitute(SUBSTITUTE(substitute(substitute(substitute(substitute(substitute(substitute(substitute(lower('source-downstream'!A8)," ","-"),"(",""),")",""),"&gt;",""),"&lt;",""),"---","-"),".","-"),"--","-"),"&amp;","-and-")</f>
        <v>blue-lyrebird</v>
      </c>
      <c r="B8" s="86" t="str">
        <f>Substitute(SUBSTITUTE(substitute(substitute(substitute(substitute(substitute(substitute(substitute(lower('source-downstream'!B8)," ","-"),"(",""),")",""),"&gt;",""),"&lt;",""),"---","-"),".","-"),"--","-"),"&amp;","-and-")</f>
        <v>red-wombat</v>
      </c>
      <c r="C8" s="71" t="str">
        <f>if('source-downstream'!C8="",'schema-frequency'!$B$11,vlookup('source-downstream'!C8,FREQUENCY_MAP, 3, FALSE))</f>
        <v>ad-hoc</v>
      </c>
      <c r="D8" s="87" t="str">
        <f>'source-downstream'!D8</f>
        <v>Provision of recycled construction materials 
 Receives final product from all three sites</v>
      </c>
      <c r="E8" s="66" t="str">
        <f>if('source-downstream'!E8="",'schema-geographic-dependency'!$B$5, vlookup('source-downstream'!E8,'schema-geographic-dependency'!A:B,2,FALSE))</f>
        <v>same-region</v>
      </c>
      <c r="F8" s="71" t="str">
        <f>if('source-downstream'!F8="",'schema-yn'!$A$5,vlookup('source-downstream'!F8,YN_MAP,3,FALSE))</f>
        <v>no</v>
      </c>
      <c r="G8" s="87" t="str">
        <f>'source-downstream'!G8</f>
        <v>Within the same region, the wider Melbourne metropolitan area</v>
      </c>
      <c r="H8" s="71" t="str">
        <f>'source-downstream'!H8</f>
        <v/>
      </c>
      <c r="I8" s="71" t="str">
        <f>if('source-downstream'!I8="",'schema-yn'!$A$5,vlookup('source-downstream'!I8,YN_MAP,3,FALSE))</f>
        <v>yes</v>
      </c>
      <c r="J8" s="87"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71" t="str">
        <f>if('source-downstream'!K8="",'data-cleansing-maps'!$L$10,vlookup('source-downstream'!K8,RESILIENCE_OPTION_MAP,3,FALSE))</f>
        <v>alternative-supplier</v>
      </c>
      <c r="L8" s="87" t="str">
        <f>'source-downstream'!L8</f>
        <v>– Narre Warren Upgrade</v>
      </c>
      <c r="M8" s="66" t="str">
        <f>if('source-downstream'!M8="",'schema-rv-services'!$B$26,vlookup(vlookup('source-downstream'!$M8,'analysis-rv-services'!$C:$E,3,FALSE),'schema-rv-services'!$A:$B,2, FALSE))</f>
        <v>recycled-material</v>
      </c>
      <c r="N8" s="71"/>
    </row>
    <row r="9" ht="15.75" customHeight="1">
      <c r="A9" s="86" t="str">
        <f>Substitute(SUBSTITUTE(substitute(substitute(substitute(substitute(substitute(substitute(substitute(lower('source-downstream'!A9)," ","-"),"(",""),")",""),"&gt;",""),"&lt;",""),"---","-"),".","-"),"--","-"),"&amp;","-and-")</f>
        <v>blue-lyrebird</v>
      </c>
      <c r="B9" s="86" t="str">
        <f>Substitute(SUBSTITUTE(substitute(substitute(substitute(substitute(substitute(substitute(substitute(lower('source-downstream'!B9)," ","-"),"(",""),")",""),"&gt;",""),"&lt;",""),"---","-"),".","-"),"--","-"),"&amp;","-and-")</f>
        <v>green-emu</v>
      </c>
      <c r="C9" s="71" t="str">
        <f>if('source-downstream'!C9="",'schema-frequency'!$B$11,vlookup('source-downstream'!C9,FREQUENCY_MAP, 3, FALSE))</f>
        <v>ad-hoc</v>
      </c>
      <c r="D9" s="87" t="str">
        <f>'source-downstream'!D9</f>
        <v>Provision of recycled construction materials 
 Receives final product from all three sites</v>
      </c>
      <c r="E9" s="66" t="str">
        <f>if('source-downstream'!E9="",'schema-geographic-dependency'!$B$5, vlookup('source-downstream'!E9,'schema-geographic-dependency'!A:B,2,FALSE))</f>
        <v>same-region</v>
      </c>
      <c r="F9" s="71" t="str">
        <f>if('source-downstream'!F9="",'schema-yn'!$A$5,vlookup('source-downstream'!F9,YN_MAP,3,FALSE))</f>
        <v>no</v>
      </c>
      <c r="G9" s="87" t="str">
        <f>'source-downstream'!G9</f>
        <v>Within the same region, the wider Melbourne metropolitan area</v>
      </c>
      <c r="H9" s="71" t="str">
        <f>'source-downstream'!H9</f>
        <v/>
      </c>
      <c r="I9" s="71" t="str">
        <f>if('source-downstream'!I9="",'schema-yn'!$A$5,vlookup('source-downstream'!I9,YN_MAP,3,FALSE))</f>
        <v>yes</v>
      </c>
      <c r="J9" s="87"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71" t="str">
        <f>if('source-downstream'!K9="",'data-cleansing-maps'!$L$10,vlookup('source-downstream'!K9,RESILIENCE_OPTION_MAP,3,FALSE))</f>
        <v>alternative-supplier</v>
      </c>
      <c r="L9" s="87" t="str">
        <f>'source-downstream'!L9</f>
        <v/>
      </c>
      <c r="M9" s="66" t="str">
        <f>if('source-downstream'!M9="",'schema-rv-services'!$B$26,vlookup(vlookup('source-downstream'!$M9,'analysis-rv-services'!$C:$E,3,FALSE),'schema-rv-services'!$A:$B,2, FALSE))</f>
        <v>recycled-material</v>
      </c>
      <c r="N9" s="71"/>
    </row>
    <row r="10" ht="15.75" customHeight="1">
      <c r="A10" s="86" t="str">
        <f>Substitute(SUBSTITUTE(substitute(substitute(substitute(substitute(substitute(substitute(substitute(lower('source-downstream'!A10)," ","-"),"(",""),")",""),"&gt;",""),"&lt;",""),"---","-"),".","-"),"--","-"),"&amp;","-and-")</f>
        <v>blue-lyrebird</v>
      </c>
      <c r="B10" s="86" t="str">
        <f>Substitute(SUBSTITUTE(substitute(substitute(substitute(substitute(substitute(substitute(substitute(lower('source-downstream'!B10)," ","-"),"(",""),")",""),"&gt;",""),"&lt;",""),"---","-"),".","-"),"--","-"),"&amp;","-and-")</f>
        <v>golden-emu</v>
      </c>
      <c r="C10" s="71" t="str">
        <f>if('source-downstream'!C10="",'schema-frequency'!$B$11,vlookup('source-downstream'!C10,FREQUENCY_MAP, 3, FALSE))</f>
        <v>ad-hoc</v>
      </c>
      <c r="D10" s="87" t="str">
        <f>'source-downstream'!D10</f>
        <v>Provision of recycled construction materials 
 Receives final product from all three sites</v>
      </c>
      <c r="E10" s="66" t="str">
        <f>if('source-downstream'!E10="",'schema-geographic-dependency'!$B$5, vlookup('source-downstream'!E10,'schema-geographic-dependency'!A:B,2,FALSE))</f>
        <v>same-region</v>
      </c>
      <c r="F10" s="71" t="str">
        <f>if('source-downstream'!F10="",'schema-yn'!$A$5,vlookup('source-downstream'!F10,YN_MAP,3,FALSE))</f>
        <v>no</v>
      </c>
      <c r="G10" s="87" t="str">
        <f>'source-downstream'!G10</f>
        <v>Within the same region, the wider Melbourne metropolitan area</v>
      </c>
      <c r="H10" s="71" t="str">
        <f>'source-downstream'!H10</f>
        <v/>
      </c>
      <c r="I10" s="71" t="str">
        <f>if('source-downstream'!I10="",'schema-yn'!$A$5,vlookup('source-downstream'!I10,YN_MAP,3,FALSE))</f>
        <v>yes</v>
      </c>
      <c r="J10" s="87"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71" t="str">
        <f>if('source-downstream'!K10="",'data-cleansing-maps'!$L$10,vlookup('source-downstream'!K10,RESILIENCE_OPTION_MAP,3,FALSE))</f>
        <v>alternative-supplier</v>
      </c>
      <c r="L10" s="87" t="str">
        <f>'source-downstream'!L10</f>
        <v/>
      </c>
      <c r="M10" s="66" t="str">
        <f>if('source-downstream'!M10="",'schema-rv-services'!$B$26,vlookup(vlookup('source-downstream'!$M10,'analysis-rv-services'!$C:$E,3,FALSE),'schema-rv-services'!$A:$B,2, FALSE))</f>
        <v>recycled-material</v>
      </c>
      <c r="N10" s="71"/>
    </row>
    <row r="11" ht="15.75" customHeight="1">
      <c r="A11" s="86" t="str">
        <f>Substitute(SUBSTITUTE(substitute(substitute(substitute(substitute(substitute(substitute(substitute(lower('source-downstream'!A11)," ","-"),"(",""),")",""),"&gt;",""),"&lt;",""),"---","-"),".","-"),"--","-"),"&amp;","-and-")</f>
        <v>blue-lyrebird</v>
      </c>
      <c r="B11" s="86" t="str">
        <f>Substitute(SUBSTITUTE(substitute(substitute(substitute(substitute(substitute(substitute(substitute(lower('source-downstream'!B11)," ","-"),"(",""),")",""),"&gt;",""),"&lt;",""),"---","-"),".","-"),"--","-"),"&amp;","-and-")</f>
        <v>tiny-echidna</v>
      </c>
      <c r="C11" s="71" t="str">
        <f>if('source-downstream'!C11="",'schema-frequency'!$B$11,vlookup('source-downstream'!C11,FREQUENCY_MAP, 3, FALSE))</f>
        <v>ad-hoc</v>
      </c>
      <c r="D11" s="87" t="str">
        <f>'source-downstream'!D11</f>
        <v>Provision of recycled construction materials 
 Receives final product from all three sites</v>
      </c>
      <c r="E11" s="66" t="str">
        <f>if('source-downstream'!E11="",'schema-geographic-dependency'!$B$5, vlookup('source-downstream'!E11,'schema-geographic-dependency'!A:B,2,FALSE))</f>
        <v>same-region</v>
      </c>
      <c r="F11" s="71" t="str">
        <f>if('source-downstream'!F11="",'schema-yn'!$A$5,vlookup('source-downstream'!F11,YN_MAP,3,FALSE))</f>
        <v>no</v>
      </c>
      <c r="G11" s="87" t="str">
        <f>'source-downstream'!G11</f>
        <v>Within the same region, the wider Melbourne metropolitan area</v>
      </c>
      <c r="H11" s="71" t="str">
        <f>'source-downstream'!H11</f>
        <v/>
      </c>
      <c r="I11" s="71" t="str">
        <f>if('source-downstream'!I11="",'schema-yn'!$A$5,vlookup('source-downstream'!I11,YN_MAP,3,FALSE))</f>
        <v>yes</v>
      </c>
      <c r="J11" s="87"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71" t="str">
        <f>if('source-downstream'!K11="",'data-cleansing-maps'!$L$10,vlookup('source-downstream'!K11,RESILIENCE_OPTION_MAP,3,FALSE))</f>
        <v>alternative-supplier</v>
      </c>
      <c r="L11" s="87" t="str">
        <f>'source-downstream'!L11</f>
        <v/>
      </c>
      <c r="M11" s="66" t="str">
        <f>if('source-downstream'!M11="",'schema-rv-services'!$B$26,vlookup(vlookup('source-downstream'!$M11,'analysis-rv-services'!$C:$E,3,FALSE),'schema-rv-services'!$A:$B,2, FALSE))</f>
        <v>recycled-material</v>
      </c>
      <c r="N11" s="71"/>
    </row>
    <row r="12" ht="15.75" customHeight="1">
      <c r="A12" s="86" t="str">
        <f>Substitute(SUBSTITUTE(substitute(substitute(substitute(substitute(substitute(substitute(substitute(lower('source-downstream'!A12)," ","-"),"(",""),")",""),"&gt;",""),"&lt;",""),"---","-"),".","-"),"--","-"),"&amp;","-and-")</f>
        <v>clever-frilled-neck-lizard</v>
      </c>
      <c r="B12" s="86" t="str">
        <f>Substitute(SUBSTITUTE(substitute(substitute(substitute(substitute(substitute(substitute(substitute(lower('source-downstream'!B12)," ","-"),"(",""),")",""),"&gt;",""),"&lt;",""),"---","-"),".","-"),"--","-"),"&amp;","-and-")</f>
        <v>happy-blue-tongue-skink</v>
      </c>
      <c r="C12" s="71" t="str">
        <f>if('source-downstream'!C12="",'schema-frequency'!$B$11,vlookup('source-downstream'!C12,FREQUENCY_MAP, 3, FALSE))</f>
        <v>daily</v>
      </c>
      <c r="D12" s="87" t="str">
        <f>'source-downstream'!D12</f>
        <v>Potting mix and growing media</v>
      </c>
      <c r="E12" s="66" t="str">
        <f>if('source-downstream'!E12="",'schema-geographic-dependency'!$B$5, vlookup('source-downstream'!E12,'schema-geographic-dependency'!A:B,2,FALSE))</f>
        <v>statewide</v>
      </c>
      <c r="F12" s="71" t="str">
        <f>if('source-downstream'!F12="",'schema-yn'!$A$5,vlookup('source-downstream'!F12,YN_MAP,3,FALSE))</f>
        <v>no</v>
      </c>
      <c r="G12" s="87" t="str">
        <f>'source-downstream'!G12</f>
        <v>Clever Frilled Neck Lizard can provide alternative services within the state and outside of the state</v>
      </c>
      <c r="H12" s="71" t="str">
        <f>'source-downstream'!H12</f>
        <v>["clever-frilled-neck-lizard "]</v>
      </c>
      <c r="I12" s="71" t="str">
        <f>if('source-downstream'!I12="",'schema-yn'!$A$5,vlookup('source-downstream'!I12,YN_MAP,3,FALSE))</f>
        <v>partially</v>
      </c>
      <c r="J12" s="87" t="str">
        <f>'source-downstream'!J12</f>
        <v>The grower/nursery industry may be impacted if Clever Frilled Neck Lizard was unable to supply their growing media to meet their demand/production levels.</v>
      </c>
      <c r="K12" s="71" t="str">
        <f>if('source-downstream'!K12="",'data-cleansing-maps'!$L$10,vlookup('source-downstream'!K12,RESILIENCE_OPTION_MAP,3,FALSE))</f>
        <v>alternative-supplier</v>
      </c>
      <c r="L12" s="87" t="str">
        <f>'source-downstream'!L12</f>
        <v/>
      </c>
      <c r="M12" s="66" t="str">
        <f>if('source-downstream'!M12="",'schema-rv-services'!$B$26,vlookup(vlookup('source-downstream'!$M12,'analysis-rv-services'!$C:$E,3,FALSE),'schema-rv-services'!$A:$B,2, FALSE))</f>
        <v>recycled-material</v>
      </c>
      <c r="N12" s="71"/>
    </row>
    <row r="13" ht="15.75" customHeight="1">
      <c r="A13" s="86" t="str">
        <f>Substitute(SUBSTITUTE(substitute(substitute(substitute(substitute(substitute(substitute(substitute(lower('source-downstream'!A13)," ","-"),"(",""),")",""),"&gt;",""),"&lt;",""),"---","-"),".","-"),"--","-"),"&amp;","-and-")</f>
        <v>clever-frilled-neck-lizard</v>
      </c>
      <c r="B13" s="86" t="str">
        <f>Substitute(SUBSTITUTE(substitute(substitute(substitute(substitute(substitute(substitute(substitute(lower('source-downstream'!B13)," ","-"),"(",""),")",""),"&gt;",""),"&lt;",""),"---","-"),".","-"),"--","-"),"&amp;","-and-")</f>
        <v>sleepy-numbat</v>
      </c>
      <c r="C13" s="71" t="str">
        <f>if('source-downstream'!C13="",'schema-frequency'!$B$11,vlookup('source-downstream'!C13,FREQUENCY_MAP, 3, FALSE))</f>
        <v>daily</v>
      </c>
      <c r="D13" s="87" t="str">
        <f>'source-downstream'!D13</f>
        <v>Potting mix and growing media</v>
      </c>
      <c r="E13" s="66" t="str">
        <f>if('source-downstream'!E13="",'schema-geographic-dependency'!$B$5, vlookup('source-downstream'!E13,'schema-geographic-dependency'!A:B,2,FALSE))</f>
        <v>statewide</v>
      </c>
      <c r="F13" s="71" t="str">
        <f>if('source-downstream'!F13="",'schema-yn'!$A$5,vlookup('source-downstream'!F13,YN_MAP,3,FALSE))</f>
        <v>no</v>
      </c>
      <c r="G13" s="87" t="str">
        <f>'source-downstream'!G13</f>
        <v>Clever Frilled Neck Lizard can provide alternative services within the state and outside of the state</v>
      </c>
      <c r="H13" s="71" t="str">
        <f>'source-downstream'!H13</f>
        <v>["clever-frilled-neck-lizard "]</v>
      </c>
      <c r="I13" s="71" t="str">
        <f>if('source-downstream'!I13="",'schema-yn'!$A$5,vlookup('source-downstream'!I13,YN_MAP,3,FALSE))</f>
        <v>partially</v>
      </c>
      <c r="J13" s="87" t="str">
        <f>'source-downstream'!J13</f>
        <v>The grower/nursery industry may be impacted if Clever Frilled Neck Lizard was unable to supply their growing media to meet their demand/production levels.</v>
      </c>
      <c r="K13" s="71" t="str">
        <f>if('source-downstream'!K13="",'data-cleansing-maps'!$L$10,vlookup('source-downstream'!K13,RESILIENCE_OPTION_MAP,3,FALSE))</f>
        <v>alternative-supplier</v>
      </c>
      <c r="L13" s="87" t="str">
        <f>'source-downstream'!L13</f>
        <v/>
      </c>
      <c r="M13" s="66" t="str">
        <f>if('source-downstream'!M13="",'schema-rv-services'!$B$26,vlookup(vlookup('source-downstream'!$M13,'analysis-rv-services'!$C:$E,3,FALSE),'schema-rv-services'!$A:$B,2, FALSE))</f>
        <v>recycled-material</v>
      </c>
      <c r="N13" s="71"/>
    </row>
    <row r="14" ht="15.75" customHeight="1">
      <c r="A14" s="86" t="str">
        <f>Substitute(SUBSTITUTE(substitute(substitute(substitute(substitute(substitute(substitute(substitute(lower('source-downstream'!A14)," ","-"),"(",""),")",""),"&gt;",""),"&lt;",""),"---","-"),".","-"),"--","-"),"&amp;","-and-")</f>
        <v>clever-frilled-neck-lizard</v>
      </c>
      <c r="B14" s="86" t="str">
        <f>Substitute(SUBSTITUTE(substitute(substitute(substitute(substitute(substitute(substitute(substitute(lower('source-downstream'!B14)," ","-"),"(",""),")",""),"&gt;",""),"&lt;",""),"---","-"),".","-"),"--","-"),"&amp;","-and-")</f>
        <v>swift-fairy-penguin</v>
      </c>
      <c r="C14" s="71" t="str">
        <f>if('source-downstream'!C14="",'schema-frequency'!$B$11,vlookup('source-downstream'!C14,FREQUENCY_MAP, 3, FALSE))</f>
        <v>daily</v>
      </c>
      <c r="D14" s="87" t="str">
        <f>'source-downstream'!D14</f>
        <v>Potting mix and growing media</v>
      </c>
      <c r="E14" s="66" t="str">
        <f>if('source-downstream'!E14="",'schema-geographic-dependency'!$B$5, vlookup('source-downstream'!E14,'schema-geographic-dependency'!A:B,2,FALSE))</f>
        <v>statewide</v>
      </c>
      <c r="F14" s="71" t="str">
        <f>if('source-downstream'!F14="",'schema-yn'!$A$5,vlookup('source-downstream'!F14,YN_MAP,3,FALSE))</f>
        <v>no</v>
      </c>
      <c r="G14" s="87" t="str">
        <f>'source-downstream'!G14</f>
        <v>Clever Frilled Neck Lizard can provide alternative services within the state and outside of the state</v>
      </c>
      <c r="H14" s="71" t="str">
        <f>'source-downstream'!H14</f>
        <v>["clever-frilled-neck-lizard "]</v>
      </c>
      <c r="I14" s="71" t="str">
        <f>if('source-downstream'!I14="",'schema-yn'!$A$5,vlookup('source-downstream'!I14,YN_MAP,3,FALSE))</f>
        <v>partially</v>
      </c>
      <c r="J14" s="87" t="str">
        <f>'source-downstream'!J14</f>
        <v>The grower/nursery industry may be impacted if Clever Frilled Neck Lizard was unable to supply their growing media to meet their demand/production levels.</v>
      </c>
      <c r="K14" s="71" t="str">
        <f>if('source-downstream'!K14="",'data-cleansing-maps'!$L$10,vlookup('source-downstream'!K14,RESILIENCE_OPTION_MAP,3,FALSE))</f>
        <v>alternative-supplier</v>
      </c>
      <c r="L14" s="87" t="str">
        <f>'source-downstream'!L14</f>
        <v/>
      </c>
      <c r="M14" s="66" t="str">
        <f>if('source-downstream'!M14="",'schema-rv-services'!$B$26,vlookup(vlookup('source-downstream'!$M14,'analysis-rv-services'!$C:$E,3,FALSE),'schema-rv-services'!$A:$B,2, FALSE))</f>
        <v>recycled-material</v>
      </c>
      <c r="N14" s="71"/>
    </row>
    <row r="15" ht="15.75" customHeight="1">
      <c r="A15" s="86" t="str">
        <f>Substitute(SUBSTITUTE(substitute(substitute(substitute(substitute(substitute(substitute(substitute(lower('source-downstream'!A15)," ","-"),"(",""),")",""),"&gt;",""),"&lt;",""),"---","-"),".","-"),"--","-"),"&amp;","-and-")</f>
        <v>clever-frilled-neck-lizard</v>
      </c>
      <c r="B15" s="86" t="str">
        <f>Substitute(SUBSTITUTE(substitute(substitute(substitute(substitute(substitute(substitute(substitute(lower('source-downstream'!B15)," ","-"),"(",""),")",""),"&gt;",""),"&lt;",""),"---","-"),".","-"),"--","-"),"&amp;","-and-")</f>
        <v>tiny-bandicoot</v>
      </c>
      <c r="C15" s="71" t="str">
        <f>if('source-downstream'!C15="",'schema-frequency'!$B$11,vlookup('source-downstream'!C15,FREQUENCY_MAP, 3, FALSE))</f>
        <v>daily</v>
      </c>
      <c r="D15" s="87" t="str">
        <f>'source-downstream'!D15</f>
        <v>Potting mix and growing media</v>
      </c>
      <c r="E15" s="66" t="str">
        <f>if('source-downstream'!E15="",'schema-geographic-dependency'!$B$5, vlookup('source-downstream'!E15,'schema-geographic-dependency'!A:B,2,FALSE))</f>
        <v>statewide</v>
      </c>
      <c r="F15" s="71" t="str">
        <f>if('source-downstream'!F15="",'schema-yn'!$A$5,vlookup('source-downstream'!F15,YN_MAP,3,FALSE))</f>
        <v>no</v>
      </c>
      <c r="G15" s="87" t="str">
        <f>'source-downstream'!G15</f>
        <v>Clever Frilled Neck Lizard can provide alternative services within the state and outside of the state</v>
      </c>
      <c r="H15" s="71" t="str">
        <f>'source-downstream'!H15</f>
        <v>["clever-frilled-neck-lizard "]</v>
      </c>
      <c r="I15" s="71" t="str">
        <f>if('source-downstream'!I15="",'schema-yn'!$A$5,vlookup('source-downstream'!I15,YN_MAP,3,FALSE))</f>
        <v>partially</v>
      </c>
      <c r="J15" s="87" t="str">
        <f>'source-downstream'!J15</f>
        <v>The grower/nursery industry may be impacted if Clever Frilled Neck Lizard was unable to supply their growing media to meet their demand/production levels.</v>
      </c>
      <c r="K15" s="71" t="str">
        <f>if('source-downstream'!K15="",'data-cleansing-maps'!$L$10,vlookup('source-downstream'!K15,RESILIENCE_OPTION_MAP,3,FALSE))</f>
        <v>alternative-supplier</v>
      </c>
      <c r="L15" s="87" t="str">
        <f>'source-downstream'!L15</f>
        <v/>
      </c>
      <c r="M15" s="66" t="str">
        <f>if('source-downstream'!M15="",'schema-rv-services'!$B$26,vlookup(vlookup('source-downstream'!$M15,'analysis-rv-services'!$C:$E,3,FALSE),'schema-rv-services'!$A:$B,2, FALSE))</f>
        <v>recycled-material</v>
      </c>
      <c r="N15" s="71"/>
    </row>
    <row r="16" ht="15.75" customHeight="1">
      <c r="A16" s="86" t="str">
        <f>Substitute(SUBSTITUTE(substitute(substitute(substitute(substitute(substitute(substitute(substitute(lower('source-downstream'!A16)," ","-"),"(",""),")",""),"&gt;",""),"&lt;",""),"---","-"),".","-"),"--","-"),"&amp;","-and-")</f>
        <v>clever-frilled-neck-lizard</v>
      </c>
      <c r="B16" s="86" t="str">
        <f>Substitute(SUBSTITUTE(substitute(substitute(substitute(substitute(substitute(substitute(substitute(lower('source-downstream'!B16)," ","-"),"(",""),")",""),"&gt;",""),"&lt;",""),"---","-"),".","-"),"--","-"),"&amp;","-and-")</f>
        <v>lazy-wombat</v>
      </c>
      <c r="C16" s="71" t="str">
        <f>if('source-downstream'!C16="",'schema-frequency'!$B$11,vlookup('source-downstream'!C16,FREQUENCY_MAP, 3, FALSE))</f>
        <v>daily</v>
      </c>
      <c r="D16" s="87" t="str">
        <f>'source-downstream'!D16</f>
        <v>Potting mix and growing media</v>
      </c>
      <c r="E16" s="66" t="str">
        <f>if('source-downstream'!E16="",'schema-geographic-dependency'!$B$5, vlookup('source-downstream'!E16,'schema-geographic-dependency'!A:B,2,FALSE))</f>
        <v>statewide</v>
      </c>
      <c r="F16" s="71" t="str">
        <f>if('source-downstream'!F16="",'schema-yn'!$A$5,vlookup('source-downstream'!F16,YN_MAP,3,FALSE))</f>
        <v>no</v>
      </c>
      <c r="G16" s="87" t="str">
        <f>'source-downstream'!G16</f>
        <v>Clever Frilled Neck Lizard can provide alternative services within the state and outside of the state</v>
      </c>
      <c r="H16" s="71" t="str">
        <f>'source-downstream'!H16</f>
        <v>["clever-frilled-neck-lizard "]</v>
      </c>
      <c r="I16" s="71" t="str">
        <f>if('source-downstream'!I16="",'schema-yn'!$A$5,vlookup('source-downstream'!I16,YN_MAP,3,FALSE))</f>
        <v>partially</v>
      </c>
      <c r="J16" s="87" t="str">
        <f>'source-downstream'!J16</f>
        <v>The grower/nursery industry may be impacted if Clever Frilled Neck Lizard was unable to supply their growing media to meet their demand/production levels.</v>
      </c>
      <c r="K16" s="71" t="str">
        <f>if('source-downstream'!K16="",'data-cleansing-maps'!$L$10,vlookup('source-downstream'!K16,RESILIENCE_OPTION_MAP,3,FALSE))</f>
        <v>alternative-supplier</v>
      </c>
      <c r="L16" s="87" t="str">
        <f>'source-downstream'!L16</f>
        <v/>
      </c>
      <c r="M16" s="66" t="str">
        <f>if('source-downstream'!M16="",'schema-rv-services'!$B$26,vlookup(vlookup('source-downstream'!$M16,'analysis-rv-services'!$C:$E,3,FALSE),'schema-rv-services'!$A:$B,2, FALSE))</f>
        <v>recycled-material</v>
      </c>
      <c r="N16" s="71"/>
    </row>
    <row r="17" ht="15.75" customHeight="1">
      <c r="A17" s="86" t="str">
        <f>Substitute(SUBSTITUTE(substitute(substitute(substitute(substitute(substitute(substitute(substitute(lower('source-downstream'!A17)," ","-"),"(",""),")",""),"&gt;",""),"&lt;",""),"---","-"),".","-"),"--","-"),"&amp;","-and-")</f>
        <v>clever-frilled-neck-lizard</v>
      </c>
      <c r="B17" s="86" t="str">
        <f>Substitute(SUBSTITUTE(substitute(substitute(substitute(substitute(substitute(substitute(substitute(lower('source-downstream'!B17)," ","-"),"(",""),")",""),"&gt;",""),"&lt;",""),"---","-"),".","-"),"--","-"),"&amp;","-and-")</f>
        <v>fuzzy-koala</v>
      </c>
      <c r="C17" s="71" t="str">
        <f>if('source-downstream'!C17="",'schema-frequency'!$B$11,vlookup('source-downstream'!C17,FREQUENCY_MAP, 3, FALSE))</f>
        <v>daily</v>
      </c>
      <c r="D17" s="87" t="str">
        <f>'source-downstream'!D17</f>
        <v>Potting mix and growing media</v>
      </c>
      <c r="E17" s="66" t="str">
        <f>if('source-downstream'!E17="",'schema-geographic-dependency'!$B$5, vlookup('source-downstream'!E17,'schema-geographic-dependency'!A:B,2,FALSE))</f>
        <v>statewide</v>
      </c>
      <c r="F17" s="71" t="str">
        <f>if('source-downstream'!F17="",'schema-yn'!$A$5,vlookup('source-downstream'!F17,YN_MAP,3,FALSE))</f>
        <v>no</v>
      </c>
      <c r="G17" s="87" t="str">
        <f>'source-downstream'!G17</f>
        <v>Clever Frilled Neck Lizard can provide alternative services within the state and outside of the state</v>
      </c>
      <c r="H17" s="71" t="str">
        <f>'source-downstream'!H17</f>
        <v>["clever-frilled-neck-lizard "]</v>
      </c>
      <c r="I17" s="71" t="str">
        <f>if('source-downstream'!I17="",'schema-yn'!$A$5,vlookup('source-downstream'!I17,YN_MAP,3,FALSE))</f>
        <v>partially</v>
      </c>
      <c r="J17" s="87" t="str">
        <f>'source-downstream'!J17</f>
        <v>The grower/nursery industry may be impacted if Clever Frilled Neck Lizard was unable to supply their growing media to meet their demand/production levels.</v>
      </c>
      <c r="K17" s="71" t="str">
        <f>if('source-downstream'!K17="",'data-cleansing-maps'!$L$10,vlookup('source-downstream'!K17,RESILIENCE_OPTION_MAP,3,FALSE))</f>
        <v>alternative-supplier</v>
      </c>
      <c r="L17" s="87" t="str">
        <f>'source-downstream'!L17</f>
        <v/>
      </c>
      <c r="M17" s="66" t="str">
        <f>if('source-downstream'!M17="",'schema-rv-services'!$B$26,vlookup(vlookup('source-downstream'!$M17,'analysis-rv-services'!$C:$E,3,FALSE),'schema-rv-services'!$A:$B,2, FALSE))</f>
        <v>recycled-material</v>
      </c>
      <c r="N17" s="71"/>
    </row>
    <row r="18" ht="15.75" customHeight="1">
      <c r="A18" s="86" t="str">
        <f>Substitute(SUBSTITUTE(substitute(substitute(substitute(substitute(substitute(substitute(substitute(lower('source-downstream'!A18)," ","-"),"(",""),")",""),"&gt;",""),"&lt;",""),"---","-"),".","-"),"--","-"),"&amp;","-and-")</f>
        <v>clever-frilled-neck-lizard</v>
      </c>
      <c r="B18" s="86" t="str">
        <f>Substitute(SUBSTITUTE(substitute(substitute(substitute(substitute(substitute(substitute(substitute(lower('source-downstream'!B18)," ","-"),"(",""),")",""),"&gt;",""),"&lt;",""),"---","-"),".","-"),"--","-"),"&amp;","-and-")</f>
        <v>sleepy-thorny-devil</v>
      </c>
      <c r="C18" s="71" t="str">
        <f>if('source-downstream'!C18="",'schema-frequency'!$B$11,vlookup('source-downstream'!C18,FREQUENCY_MAP, 3, FALSE))</f>
        <v>daily</v>
      </c>
      <c r="D18" s="87" t="str">
        <f>'source-downstream'!D18</f>
        <v>Potting mix and growing media</v>
      </c>
      <c r="E18" s="66" t="str">
        <f>if('source-downstream'!E18="",'schema-geographic-dependency'!$B$5, vlookup('source-downstream'!E18,'schema-geographic-dependency'!A:B,2,FALSE))</f>
        <v>statewide</v>
      </c>
      <c r="F18" s="71" t="str">
        <f>if('source-downstream'!F18="",'schema-yn'!$A$5,vlookup('source-downstream'!F18,YN_MAP,3,FALSE))</f>
        <v>no</v>
      </c>
      <c r="G18" s="87" t="str">
        <f>'source-downstream'!G18</f>
        <v>Clever Frilled Neck Lizard can provide alternative services within the state and outside of the state</v>
      </c>
      <c r="H18" s="71" t="str">
        <f>'source-downstream'!H18</f>
        <v>["clever-frilled-neck-lizard "]</v>
      </c>
      <c r="I18" s="71" t="str">
        <f>if('source-downstream'!I18="",'schema-yn'!$A$5,vlookup('source-downstream'!I18,YN_MAP,3,FALSE))</f>
        <v>partially</v>
      </c>
      <c r="J18" s="87" t="str">
        <f>'source-downstream'!J18</f>
        <v>The grower/nursery industry may be impacted if Clever Frilled Neck Lizard was unable to supply their growing media to meet their demand/production levels.</v>
      </c>
      <c r="K18" s="71" t="str">
        <f>if('source-downstream'!K18="",'data-cleansing-maps'!$L$10,vlookup('source-downstream'!K18,RESILIENCE_OPTION_MAP,3,FALSE))</f>
        <v>alternative-supplier</v>
      </c>
      <c r="L18" s="87" t="str">
        <f>'source-downstream'!L18</f>
        <v/>
      </c>
      <c r="M18" s="66" t="str">
        <f>if('source-downstream'!M18="",'schema-rv-services'!$B$26,vlookup(vlookup('source-downstream'!$M18,'analysis-rv-services'!$C:$E,3,FALSE),'schema-rv-services'!$A:$B,2, FALSE))</f>
        <v>recycled-material</v>
      </c>
      <c r="N18" s="71"/>
    </row>
    <row r="19" ht="15.75" customHeight="1">
      <c r="A19" s="86" t="str">
        <f>Substitute(SUBSTITUTE(substitute(substitute(substitute(substitute(substitute(substitute(substitute(lower('source-downstream'!A19)," ","-"),"(",""),")",""),"&gt;",""),"&lt;",""),"---","-"),".","-"),"--","-"),"&amp;","-and-")</f>
        <v>clever-frilled-neck-lizard</v>
      </c>
      <c r="B19" s="86" t="str">
        <f>Substitute(SUBSTITUTE(substitute(substitute(substitute(substitute(substitute(substitute(substitute(lower('source-downstream'!B19)," ","-"),"(",""),")",""),"&gt;",""),"&lt;",""),"---","-"),".","-"),"--","-"),"&amp;","-and-")</f>
        <v>giant-quokka</v>
      </c>
      <c r="C19" s="71" t="str">
        <f>if('source-downstream'!C19="",'schema-frequency'!$B$11,vlookup('source-downstream'!C19,FREQUENCY_MAP, 3, FALSE))</f>
        <v>daily</v>
      </c>
      <c r="D19" s="87" t="str">
        <f>'source-downstream'!D19</f>
        <v>Potting mix and growing media</v>
      </c>
      <c r="E19" s="66" t="str">
        <f>if('source-downstream'!E19="",'schema-geographic-dependency'!$B$5, vlookup('source-downstream'!E19,'schema-geographic-dependency'!A:B,2,FALSE))</f>
        <v>statewide</v>
      </c>
      <c r="F19" s="71" t="str">
        <f>if('source-downstream'!F19="",'schema-yn'!$A$5,vlookup('source-downstream'!F19,YN_MAP,3,FALSE))</f>
        <v>no</v>
      </c>
      <c r="G19" s="87" t="str">
        <f>'source-downstream'!G19</f>
        <v>Clever Frilled Neck Lizard can provide alternative services within the state and outside of the state</v>
      </c>
      <c r="H19" s="71" t="str">
        <f>'source-downstream'!H19</f>
        <v>["clever-frilled-neck-lizard "]</v>
      </c>
      <c r="I19" s="71" t="str">
        <f>if('source-downstream'!I19="",'schema-yn'!$A$5,vlookup('source-downstream'!I19,YN_MAP,3,FALSE))</f>
        <v>partially</v>
      </c>
      <c r="J19" s="87" t="str">
        <f>'source-downstream'!J19</f>
        <v>The grower/nursery industry may be impacted if Clever Frilled Neck Lizard was unable to supply their growing media to meet their demand/production levels.</v>
      </c>
      <c r="K19" s="71" t="str">
        <f>if('source-downstream'!K19="",'data-cleansing-maps'!$L$10,vlookup('source-downstream'!K19,RESILIENCE_OPTION_MAP,3,FALSE))</f>
        <v>alternative-supplier</v>
      </c>
      <c r="L19" s="87" t="str">
        <f>'source-downstream'!L19</f>
        <v/>
      </c>
      <c r="M19" s="66" t="str">
        <f>if('source-downstream'!M19="",'schema-rv-services'!$B$26,vlookup(vlookup('source-downstream'!$M19,'analysis-rv-services'!$C:$E,3,FALSE),'schema-rv-services'!$A:$B,2, FALSE))</f>
        <v>recycled-material</v>
      </c>
      <c r="N19" s="71"/>
    </row>
    <row r="20" ht="15.75" customHeight="1">
      <c r="A20" s="86" t="str">
        <f>Substitute(SUBSTITUTE(substitute(substitute(substitute(substitute(substitute(substitute(substitute(lower('source-downstream'!A20)," ","-"),"(",""),")",""),"&gt;",""),"&lt;",""),"---","-"),".","-"),"--","-"),"&amp;","-and-")</f>
        <v>clever-frilled-neck-lizard</v>
      </c>
      <c r="B20" s="86" t="str">
        <f>Substitute(SUBSTITUTE(substitute(substitute(substitute(substitute(substitute(substitute(substitute(lower('source-downstream'!B20)," ","-"),"(",""),")",""),"&gt;",""),"&lt;",""),"---","-"),".","-"),"--","-"),"&amp;","-and-")</f>
        <v>sleepy-koala</v>
      </c>
      <c r="C20" s="71" t="str">
        <f>if('source-downstream'!C20="",'schema-frequency'!$B$11,vlookup('source-downstream'!C20,FREQUENCY_MAP, 3, FALSE))</f>
        <v>daily</v>
      </c>
      <c r="D20" s="87" t="str">
        <f>'source-downstream'!D20</f>
        <v>Potting mix and growing media</v>
      </c>
      <c r="E20" s="66" t="str">
        <f>if('source-downstream'!E20="",'schema-geographic-dependency'!$B$5, vlookup('source-downstream'!E20,'schema-geographic-dependency'!A:B,2,FALSE))</f>
        <v>statewide</v>
      </c>
      <c r="F20" s="71" t="str">
        <f>if('source-downstream'!F20="",'schema-yn'!$A$5,vlookup('source-downstream'!F20,YN_MAP,3,FALSE))</f>
        <v>no</v>
      </c>
      <c r="G20" s="87" t="str">
        <f>'source-downstream'!G20</f>
        <v>Clever Frilled Neck Lizard can provide alternative services within the state and outside of the state</v>
      </c>
      <c r="H20" s="71" t="str">
        <f>'source-downstream'!H20</f>
        <v>["clever-frilled-neck-lizard "]</v>
      </c>
      <c r="I20" s="71" t="str">
        <f>if('source-downstream'!I20="",'schema-yn'!$A$5,vlookup('source-downstream'!I20,YN_MAP,3,FALSE))</f>
        <v>partially</v>
      </c>
      <c r="J20" s="87" t="str">
        <f>'source-downstream'!J20</f>
        <v>The grower/nursery industry may be impacted if Clever Frilled Neck Lizard was unable to supply their growing media to meet their demand/production levels.</v>
      </c>
      <c r="K20" s="71" t="str">
        <f>if('source-downstream'!K20="",'data-cleansing-maps'!$L$10,vlookup('source-downstream'!K20,RESILIENCE_OPTION_MAP,3,FALSE))</f>
        <v>alternative-supplier</v>
      </c>
      <c r="L20" s="87" t="str">
        <f>'source-downstream'!L20</f>
        <v/>
      </c>
      <c r="M20" s="66" t="str">
        <f>if('source-downstream'!M20="",'schema-rv-services'!$B$26,vlookup(vlookup('source-downstream'!$M20,'analysis-rv-services'!$C:$E,3,FALSE),'schema-rv-services'!$A:$B,2, FALSE))</f>
        <v>recycled-material</v>
      </c>
      <c r="N20" s="71"/>
    </row>
    <row r="21" ht="15.75" customHeight="1">
      <c r="A21" s="86" t="str">
        <f>Substitute(SUBSTITUTE(substitute(substitute(substitute(substitute(substitute(substitute(substitute(lower('source-downstream'!A21)," ","-"),"(",""),")",""),"&gt;",""),"&lt;",""),"---","-"),".","-"),"--","-"),"&amp;","-and-")</f>
        <v>clever-frilled-neck-lizard</v>
      </c>
      <c r="B21" s="86" t="str">
        <f>Substitute(SUBSTITUTE(substitute(substitute(substitute(substitute(substitute(substitute(substitute(lower('source-downstream'!B21)," ","-"),"(",""),")",""),"&gt;",""),"&lt;",""),"---","-"),".","-"),"--","-"),"&amp;","-and-")</f>
        <v>golden-bush-stone-curlew</v>
      </c>
      <c r="C21" s="71" t="str">
        <f>if('source-downstream'!C21="",'schema-frequency'!$B$11,vlookup('source-downstream'!C21,FREQUENCY_MAP, 3, FALSE))</f>
        <v>daily</v>
      </c>
      <c r="D21" s="87" t="str">
        <f>'source-downstream'!D21</f>
        <v>Potting mix and growing media</v>
      </c>
      <c r="E21" s="66" t="str">
        <f>if('source-downstream'!E21="",'schema-geographic-dependency'!$B$5, vlookup('source-downstream'!E21,'schema-geographic-dependency'!A:B,2,FALSE))</f>
        <v>statewide</v>
      </c>
      <c r="F21" s="71" t="str">
        <f>if('source-downstream'!F21="",'schema-yn'!$A$5,vlookup('source-downstream'!F21,YN_MAP,3,FALSE))</f>
        <v>no</v>
      </c>
      <c r="G21" s="87" t="str">
        <f>'source-downstream'!G21</f>
        <v>Clever Frilled Neck Lizard can provide alternative services within the state and outside of the state</v>
      </c>
      <c r="H21" s="71" t="str">
        <f>'source-downstream'!H21</f>
        <v>["clever-frilled-neck-lizard "]</v>
      </c>
      <c r="I21" s="71" t="str">
        <f>if('source-downstream'!I21="",'schema-yn'!$A$5,vlookup('source-downstream'!I21,YN_MAP,3,FALSE))</f>
        <v>partially</v>
      </c>
      <c r="J21" s="87" t="str">
        <f>'source-downstream'!J21</f>
        <v>The grower/nursery industry may be impacted if Clever Frilled Neck Lizard was unable to supply their growing media to meet their demand/production levels.</v>
      </c>
      <c r="K21" s="71" t="str">
        <f>if('source-downstream'!K21="",'data-cleansing-maps'!$L$10,vlookup('source-downstream'!K21,RESILIENCE_OPTION_MAP,3,FALSE))</f>
        <v>alternative-supplier</v>
      </c>
      <c r="L21" s="87" t="str">
        <f>'source-downstream'!L21</f>
        <v/>
      </c>
      <c r="M21" s="66" t="str">
        <f>if('source-downstream'!M21="",'schema-rv-services'!$B$26,vlookup(vlookup('source-downstream'!$M21,'analysis-rv-services'!$C:$E,3,FALSE),'schema-rv-services'!$A:$B,2, FALSE))</f>
        <v>recycled-material</v>
      </c>
      <c r="N21" s="71"/>
    </row>
    <row r="22" ht="15.75" customHeight="1">
      <c r="A22" s="86" t="str">
        <f>Substitute(SUBSTITUTE(substitute(substitute(substitute(substitute(substitute(substitute(substitute(lower('source-downstream'!A22)," ","-"),"(",""),")",""),"&gt;",""),"&lt;",""),"---","-"),".","-"),"--","-"),"&amp;","-and-")</f>
        <v>fuzzy-perentie</v>
      </c>
      <c r="B22" s="86" t="str">
        <f>Substitute(SUBSTITUTE(substitute(substitute(substitute(substitute(substitute(substitute(substitute(lower('source-downstream'!B22)," ","-"),"(",""),")",""),"&gt;",""),"&lt;",""),"---","-"),".","-"),"--","-"),"&amp;","-and-")</f>
        <v>lazy-cockatoo</v>
      </c>
      <c r="C22" s="71" t="str">
        <f>if('source-downstream'!C22="",'schema-frequency'!$B$11,vlookup('source-downstream'!C22,FREQUENCY_MAP, 3, FALSE))</f>
        <v>daily</v>
      </c>
      <c r="D22" s="87" t="str">
        <f>'source-downstream'!D22</f>
        <v>Transport of waste and recycled goods</v>
      </c>
      <c r="E22" s="66" t="str">
        <f>if('source-downstream'!E22="",'schema-geographic-dependency'!$B$5, vlookup('source-downstream'!E22,'schema-geographic-dependency'!A:B,2,FALSE))</f>
        <v>not-provided</v>
      </c>
      <c r="F22" s="71" t="str">
        <f>if('source-downstream'!F22="",'schema-yn'!$A$5,vlookup('source-downstream'!F22,YN_MAP,3,FALSE))</f>
        <v>not-provided</v>
      </c>
      <c r="G22" s="87" t="str">
        <f>'source-downstream'!G22</f>
        <v>Not provided</v>
      </c>
      <c r="H22" s="71" t="str">
        <f>'source-downstream'!H22</f>
        <v/>
      </c>
      <c r="I22" s="71" t="str">
        <f>if('source-downstream'!I22="",'schema-yn'!$A$5,vlookup('source-downstream'!I22,YN_MAP,3,FALSE))</f>
        <v>not-provided</v>
      </c>
      <c r="J22" s="87" t="str">
        <f>'source-downstream'!J22</f>
        <v>Not provided</v>
      </c>
      <c r="K22" s="71" t="str">
        <f>if('source-downstream'!K22="",'data-cleansing-maps'!$L$10,vlookup('source-downstream'!K22,RESILIENCE_OPTION_MAP,3,FALSE))</f>
        <v>not-provided</v>
      </c>
      <c r="L22" s="87" t="str">
        <f>'source-downstream'!L22</f>
        <v/>
      </c>
      <c r="M22" s="66" t="str">
        <f>if('source-downstream'!M22="",'schema-rv-services'!$B$26,vlookup(vlookup('source-downstream'!$M22,'analysis-rv-services'!$C:$E,3,FALSE),'schema-rv-services'!$A:$B,2, FALSE))</f>
        <v>transport</v>
      </c>
      <c r="N22" s="71"/>
    </row>
    <row r="23" ht="15.75" customHeight="1">
      <c r="A23" s="86" t="str">
        <f>Substitute(SUBSTITUTE(substitute(substitute(substitute(substitute(substitute(substitute(substitute(lower('source-downstream'!A23)," ","-"),"(",""),")",""),"&gt;",""),"&lt;",""),"---","-"),".","-"),"--","-"),"&amp;","-and-")</f>
        <v>fuzzy-perentie</v>
      </c>
      <c r="B23" s="86" t="str">
        <f>Substitute(SUBSTITUTE(substitute(substitute(substitute(substitute(substitute(substitute(substitute(lower('source-downstream'!B23)," ","-"),"(",""),")",""),"&gt;",""),"&lt;",""),"---","-"),".","-"),"--","-"),"&amp;","-and-")</f>
        <v>happy-platypus</v>
      </c>
      <c r="C23" s="71" t="str">
        <f>if('source-downstream'!C23="",'schema-frequency'!$B$11,vlookup('source-downstream'!C23,FREQUENCY_MAP, 3, FALSE))</f>
        <v>daily</v>
      </c>
      <c r="D23" s="87" t="str">
        <f>'source-downstream'!D23</f>
        <v>Transport of waste and recycled goods</v>
      </c>
      <c r="E23" s="66" t="str">
        <f>if('source-downstream'!E23="",'schema-geographic-dependency'!$B$5, vlookup('source-downstream'!E23,'schema-geographic-dependency'!A:B,2,FALSE))</f>
        <v>not-provided</v>
      </c>
      <c r="F23" s="71" t="str">
        <f>if('source-downstream'!F23="",'schema-yn'!$A$5,vlookup('source-downstream'!F23,YN_MAP,3,FALSE))</f>
        <v>not-provided</v>
      </c>
      <c r="G23" s="87" t="str">
        <f>'source-downstream'!G23</f>
        <v>Not provided</v>
      </c>
      <c r="H23" s="71" t="str">
        <f>'source-downstream'!H23</f>
        <v/>
      </c>
      <c r="I23" s="71" t="str">
        <f>if('source-downstream'!I23="",'schema-yn'!$A$5,vlookup('source-downstream'!I23,YN_MAP,3,FALSE))</f>
        <v>not-provided</v>
      </c>
      <c r="J23" s="87" t="str">
        <f>'source-downstream'!J23</f>
        <v>Not provided</v>
      </c>
      <c r="K23" s="71" t="str">
        <f>if('source-downstream'!K23="",'data-cleansing-maps'!$L$10,vlookup('source-downstream'!K23,RESILIENCE_OPTION_MAP,3,FALSE))</f>
        <v>not-provided</v>
      </c>
      <c r="L23" s="87" t="str">
        <f>'source-downstream'!L23</f>
        <v/>
      </c>
      <c r="M23" s="66" t="str">
        <f>if('source-downstream'!M23="",'schema-rv-services'!$B$26,vlookup(vlookup('source-downstream'!$M23,'analysis-rv-services'!$C:$E,3,FALSE),'schema-rv-services'!$A:$B,2, FALSE))</f>
        <v>transport</v>
      </c>
      <c r="N23" s="71"/>
    </row>
    <row r="24" ht="15.75" customHeight="1">
      <c r="A24" s="86" t="str">
        <f>Substitute(SUBSTITUTE(substitute(substitute(substitute(substitute(substitute(substitute(substitute(lower('source-downstream'!A24)," ","-"),"(",""),")",""),"&gt;",""),"&lt;",""),"---","-"),".","-"),"--","-"),"&amp;","-and-")</f>
        <v>fuzzy-perentie</v>
      </c>
      <c r="B24" s="86" t="str">
        <f>Substitute(SUBSTITUTE(substitute(substitute(substitute(substitute(substitute(substitute(substitute(lower('source-downstream'!B24)," ","-"),"(",""),")",""),"&gt;",""),"&lt;",""),"---","-"),".","-"),"--","-"),"&amp;","-and-")</f>
        <v>blue-bush-stone-curlew</v>
      </c>
      <c r="C24" s="71" t="str">
        <f>if('source-downstream'!C24="",'schema-frequency'!$B$11,vlookup('source-downstream'!C24,FREQUENCY_MAP, 3, FALSE))</f>
        <v>daily</v>
      </c>
      <c r="D24" s="87" t="str">
        <f>'source-downstream'!D24</f>
        <v>Transport of waste and recycled goods</v>
      </c>
      <c r="E24" s="66" t="str">
        <f>if('source-downstream'!E24="",'schema-geographic-dependency'!$B$5, vlookup('source-downstream'!E24,'schema-geographic-dependency'!A:B,2,FALSE))</f>
        <v>not-provided</v>
      </c>
      <c r="F24" s="71" t="str">
        <f>if('source-downstream'!F24="",'schema-yn'!$A$5,vlookup('source-downstream'!F24,YN_MAP,3,FALSE))</f>
        <v>not-provided</v>
      </c>
      <c r="G24" s="87" t="str">
        <f>'source-downstream'!G24</f>
        <v>Not provided</v>
      </c>
      <c r="H24" s="71" t="str">
        <f>'source-downstream'!H24</f>
        <v/>
      </c>
      <c r="I24" s="71" t="str">
        <f>if('source-downstream'!I24="",'schema-yn'!$A$5,vlookup('source-downstream'!I24,YN_MAP,3,FALSE))</f>
        <v>not-provided</v>
      </c>
      <c r="J24" s="87" t="str">
        <f>'source-downstream'!J24</f>
        <v>Not provided</v>
      </c>
      <c r="K24" s="71" t="str">
        <f>if('source-downstream'!K24="",'data-cleansing-maps'!$L$10,vlookup('source-downstream'!K24,RESILIENCE_OPTION_MAP,3,FALSE))</f>
        <v>not-provided</v>
      </c>
      <c r="L24" s="87" t="str">
        <f>'source-downstream'!L24</f>
        <v/>
      </c>
      <c r="M24" s="66" t="str">
        <f>if('source-downstream'!M24="",'schema-rv-services'!$B$26,vlookup(vlookup('source-downstream'!$M24,'analysis-rv-services'!$C:$E,3,FALSE),'schema-rv-services'!$A:$B,2, FALSE))</f>
        <v>transport</v>
      </c>
      <c r="N24" s="71"/>
    </row>
    <row r="25" ht="15.75" customHeight="1">
      <c r="A25" s="86" t="str">
        <f>Substitute(SUBSTITUTE(substitute(substitute(substitute(substitute(substitute(substitute(substitute(lower('source-downstream'!A25)," ","-"),"(",""),")",""),"&gt;",""),"&lt;",""),"---","-"),".","-"),"--","-"),"&amp;","-and-")</f>
        <v>fuzzy-perentie</v>
      </c>
      <c r="B25" s="86" t="str">
        <f>Substitute(SUBSTITUTE(substitute(substitute(substitute(substitute(substitute(substitute(substitute(lower('source-downstream'!B25)," ","-"),"(",""),")",""),"&gt;",""),"&lt;",""),"---","-"),".","-"),"--","-"),"&amp;","-and-")</f>
        <v>green-kangaroo</v>
      </c>
      <c r="C25" s="71" t="str">
        <f>if('source-downstream'!C25="",'schema-frequency'!$B$11,vlookup('source-downstream'!C25,FREQUENCY_MAP, 3, FALSE))</f>
        <v>daily</v>
      </c>
      <c r="D25" s="87" t="str">
        <f>'source-downstream'!D25</f>
        <v>Transport of waste and recycled goods</v>
      </c>
      <c r="E25" s="66" t="str">
        <f>if('source-downstream'!E25="",'schema-geographic-dependency'!$B$5, vlookup('source-downstream'!E25,'schema-geographic-dependency'!A:B,2,FALSE))</f>
        <v>not-provided</v>
      </c>
      <c r="F25" s="71" t="str">
        <f>if('source-downstream'!F25="",'schema-yn'!$A$5,vlookup('source-downstream'!F25,YN_MAP,3,FALSE))</f>
        <v>not-provided</v>
      </c>
      <c r="G25" s="87" t="str">
        <f>'source-downstream'!G25</f>
        <v>Not provided</v>
      </c>
      <c r="H25" s="71" t="str">
        <f>'source-downstream'!H25</f>
        <v/>
      </c>
      <c r="I25" s="71" t="str">
        <f>if('source-downstream'!I25="",'schema-yn'!$A$5,vlookup('source-downstream'!I25,YN_MAP,3,FALSE))</f>
        <v>not-provided</v>
      </c>
      <c r="J25" s="87" t="str">
        <f>'source-downstream'!J25</f>
        <v>Not provided</v>
      </c>
      <c r="K25" s="71" t="str">
        <f>if('source-downstream'!K25="",'data-cleansing-maps'!$L$10,vlookup('source-downstream'!K25,RESILIENCE_OPTION_MAP,3,FALSE))</f>
        <v>not-provided</v>
      </c>
      <c r="L25" s="87" t="str">
        <f>'source-downstream'!L25</f>
        <v/>
      </c>
      <c r="M25" s="66" t="str">
        <f>if('source-downstream'!M25="",'schema-rv-services'!$B$26,vlookup(vlookup('source-downstream'!$M25,'analysis-rv-services'!$C:$E,3,FALSE),'schema-rv-services'!$A:$B,2, FALSE))</f>
        <v>transport</v>
      </c>
      <c r="N25" s="71"/>
    </row>
    <row r="26" ht="15.75" customHeight="1">
      <c r="A26" s="86" t="str">
        <f>Substitute(SUBSTITUTE(substitute(substitute(substitute(substitute(substitute(substitute(substitute(lower('source-downstream'!A26)," ","-"),"(",""),")",""),"&gt;",""),"&lt;",""),"---","-"),".","-"),"--","-"),"&amp;","-and-")</f>
        <v>fuzzy-perentie</v>
      </c>
      <c r="B26" s="86" t="str">
        <f>Substitute(SUBSTITUTE(substitute(substitute(substitute(substitute(substitute(substitute(substitute(lower('source-downstream'!B26)," ","-"),"(",""),")",""),"&gt;",""),"&lt;",""),"---","-"),".","-"),"--","-"),"&amp;","-and-")</f>
        <v>silent-wallaby</v>
      </c>
      <c r="C26" s="71" t="str">
        <f>if('source-downstream'!C26="",'schema-frequency'!$B$11,vlookup('source-downstream'!C26,FREQUENCY_MAP, 3, FALSE))</f>
        <v>daily</v>
      </c>
      <c r="D26" s="87" t="str">
        <f>'source-downstream'!D26</f>
        <v>Transport of waste and recycled goods</v>
      </c>
      <c r="E26" s="66" t="str">
        <f>if('source-downstream'!E26="",'schema-geographic-dependency'!$B$5, vlookup('source-downstream'!E26,'schema-geographic-dependency'!A:B,2,FALSE))</f>
        <v>not-provided</v>
      </c>
      <c r="F26" s="71" t="str">
        <f>if('source-downstream'!F26="",'schema-yn'!$A$5,vlookup('source-downstream'!F26,YN_MAP,3,FALSE))</f>
        <v>not-provided</v>
      </c>
      <c r="G26" s="87" t="str">
        <f>'source-downstream'!G26</f>
        <v>Not provided</v>
      </c>
      <c r="H26" s="71" t="str">
        <f>'source-downstream'!H26</f>
        <v/>
      </c>
      <c r="I26" s="71" t="str">
        <f>if('source-downstream'!I26="",'schema-yn'!$A$5,vlookup('source-downstream'!I26,YN_MAP,3,FALSE))</f>
        <v>not-provided</v>
      </c>
      <c r="J26" s="87" t="str">
        <f>'source-downstream'!J26</f>
        <v>Not provided</v>
      </c>
      <c r="K26" s="71" t="str">
        <f>if('source-downstream'!K26="",'data-cleansing-maps'!$L$10,vlookup('source-downstream'!K26,RESILIENCE_OPTION_MAP,3,FALSE))</f>
        <v>not-provided</v>
      </c>
      <c r="L26" s="87" t="str">
        <f>'source-downstream'!L26</f>
        <v/>
      </c>
      <c r="M26" s="66" t="str">
        <f>if('source-downstream'!M26="",'schema-rv-services'!$B$26,vlookup(vlookup('source-downstream'!$M26,'analysis-rv-services'!$C:$E,3,FALSE),'schema-rv-services'!$A:$B,2, FALSE))</f>
        <v>transport</v>
      </c>
      <c r="N26" s="71"/>
    </row>
    <row r="27" ht="15.75" customHeight="1">
      <c r="A27" s="86" t="str">
        <f>Substitute(SUBSTITUTE(substitute(substitute(substitute(substitute(substitute(substitute(substitute(lower('source-downstream'!A27)," ","-"),"(",""),")",""),"&gt;",""),"&lt;",""),"---","-"),".","-"),"--","-"),"&amp;","-and-")</f>
        <v>fuzzy-perentie</v>
      </c>
      <c r="B27" s="86" t="str">
        <f>Substitute(SUBSTITUTE(substitute(substitute(substitute(substitute(substitute(substitute(substitute(lower('source-downstream'!B27)," ","-"),"(",""),")",""),"&gt;",""),"&lt;",""),"---","-"),".","-"),"--","-"),"&amp;","-and-")</f>
        <v>fuzzy-cassowary</v>
      </c>
      <c r="C27" s="71" t="str">
        <f>if('source-downstream'!C27="",'schema-frequency'!$B$11,vlookup('source-downstream'!C27,FREQUENCY_MAP, 3, FALSE))</f>
        <v>weekly</v>
      </c>
      <c r="D27" s="87" t="str">
        <f>'source-downstream'!D27</f>
        <v>Up to two skip bins per week total</v>
      </c>
      <c r="E27" s="66" t="str">
        <f>if('source-downstream'!E27="",'schema-geographic-dependency'!$B$5, vlookup('source-downstream'!E27,'schema-geographic-dependency'!A:B,2,FALSE))</f>
        <v>not-provided</v>
      </c>
      <c r="F27" s="71" t="str">
        <f>if('source-downstream'!F27="",'schema-yn'!$A$5,vlookup('source-downstream'!F27,YN_MAP,3,FALSE))</f>
        <v>not-provided</v>
      </c>
      <c r="G27" s="87" t="str">
        <f>'source-downstream'!G27</f>
        <v>Not provided</v>
      </c>
      <c r="H27" s="71" t="str">
        <f>'source-downstream'!H27</f>
        <v/>
      </c>
      <c r="I27" s="71" t="str">
        <f>if('source-downstream'!I27="",'schema-yn'!$A$5,vlookup('source-downstream'!I27,YN_MAP,3,FALSE))</f>
        <v>not-provided</v>
      </c>
      <c r="J27" s="87" t="str">
        <f>'source-downstream'!J27</f>
        <v>Not provided</v>
      </c>
      <c r="K27" s="71" t="str">
        <f>if('source-downstream'!K27="",'data-cleansing-maps'!$L$10,vlookup('source-downstream'!K27,RESILIENCE_OPTION_MAP,3,FALSE))</f>
        <v>not-provided</v>
      </c>
      <c r="L27" s="87" t="str">
        <f>'source-downstream'!L27</f>
        <v/>
      </c>
      <c r="M27" s="66" t="str">
        <f>if('source-downstream'!M27="",'schema-rv-services'!$B$26,vlookup(vlookup('source-downstream'!$M27,'analysis-rv-services'!$C:$E,3,FALSE),'schema-rv-services'!$A:$B,2, FALSE))</f>
        <v>transport</v>
      </c>
      <c r="N27" s="71"/>
    </row>
    <row r="28" ht="15.75" customHeight="1">
      <c r="A28" s="86" t="str">
        <f>Substitute(SUBSTITUTE(substitute(substitute(substitute(substitute(substitute(substitute(substitute(lower('source-downstream'!A28)," ","-"),"(",""),")",""),"&gt;",""),"&lt;",""),"---","-"),".","-"),"--","-"),"&amp;","-and-")</f>
        <v>fuzzy-perentie</v>
      </c>
      <c r="B28" s="86" t="str">
        <f>Substitute(SUBSTITUTE(substitute(substitute(substitute(substitute(substitute(substitute(substitute(lower('source-downstream'!B28)," ","-"),"(",""),")",""),"&gt;",""),"&lt;",""),"---","-"),".","-"),"--","-"),"&amp;","-and-")</f>
        <v>clever-emu</v>
      </c>
      <c r="C28" s="71" t="str">
        <f>if('source-downstream'!C28="",'schema-frequency'!$B$11,vlookup('source-downstream'!C28,FREQUENCY_MAP, 3, FALSE))</f>
        <v>weekly</v>
      </c>
      <c r="D28" s="87" t="str">
        <f>'source-downstream'!D28</f>
        <v>Up to two skip bins per week total</v>
      </c>
      <c r="E28" s="66" t="str">
        <f>if('source-downstream'!E28="",'schema-geographic-dependency'!$B$5, vlookup('source-downstream'!E28,'schema-geographic-dependency'!A:B,2,FALSE))</f>
        <v>not-provided</v>
      </c>
      <c r="F28" s="71" t="str">
        <f>if('source-downstream'!F28="",'schema-yn'!$A$5,vlookup('source-downstream'!F28,YN_MAP,3,FALSE))</f>
        <v>not-provided</v>
      </c>
      <c r="G28" s="87" t="str">
        <f>'source-downstream'!G28</f>
        <v>Not provided</v>
      </c>
      <c r="H28" s="71" t="str">
        <f>'source-downstream'!H28</f>
        <v/>
      </c>
      <c r="I28" s="71" t="str">
        <f>if('source-downstream'!I28="",'schema-yn'!$A$5,vlookup('source-downstream'!I28,YN_MAP,3,FALSE))</f>
        <v>not-provided</v>
      </c>
      <c r="J28" s="87" t="str">
        <f>'source-downstream'!J28</f>
        <v>Not provided</v>
      </c>
      <c r="K28" s="71" t="str">
        <f>if('source-downstream'!K28="",'data-cleansing-maps'!$L$10,vlookup('source-downstream'!K28,RESILIENCE_OPTION_MAP,3,FALSE))</f>
        <v>not-provided</v>
      </c>
      <c r="L28" s="87" t="str">
        <f>'source-downstream'!L28</f>
        <v/>
      </c>
      <c r="M28" s="66" t="str">
        <f>if('source-downstream'!M28="",'schema-rv-services'!$B$26,vlookup(vlookup('source-downstream'!$M28,'analysis-rv-services'!$C:$E,3,FALSE),'schema-rv-services'!$A:$B,2, FALSE))</f>
        <v>transport</v>
      </c>
      <c r="N28" s="71"/>
    </row>
    <row r="29" ht="15.75" customHeight="1">
      <c r="A29" s="86" t="str">
        <f>Substitute(SUBSTITUTE(substitute(substitute(substitute(substitute(substitute(substitute(substitute(lower('source-downstream'!A29)," ","-"),"(",""),")",""),"&gt;",""),"&lt;",""),"---","-"),".","-"),"--","-"),"&amp;","-and-")</f>
        <v>fuzzy-sugar-glider</v>
      </c>
      <c r="B29" s="86" t="str">
        <f>Substitute(SUBSTITUTE(substitute(substitute(substitute(substitute(substitute(substitute(substitute(lower('source-downstream'!B29)," ","-"),"(",""),")",""),"&gt;",""),"&lt;",""),"---","-"),".","-"),"--","-"),"&amp;","-and-")</f>
        <v>shy-tasmanian-devil</v>
      </c>
      <c r="C29" s="71" t="str">
        <f>if('source-downstream'!C29="",'schema-frequency'!$B$11,vlookup('source-downstream'!C29,FREQUENCY_MAP, 3, FALSE))</f>
        <v>unknown</v>
      </c>
      <c r="D29" s="87" t="str">
        <f>'source-downstream'!D29</f>
        <v>Not provided</v>
      </c>
      <c r="E29" s="66" t="str">
        <f>if('source-downstream'!E29="",'schema-geographic-dependency'!$B$5, vlookup('source-downstream'!E29,'schema-geographic-dependency'!A:B,2,FALSE))</f>
        <v>not-provided</v>
      </c>
      <c r="F29" s="71" t="str">
        <f>if('source-downstream'!F29="",'schema-yn'!$A$5,vlookup('source-downstream'!F29,YN_MAP,3,FALSE))</f>
        <v>not-provided</v>
      </c>
      <c r="G29" s="87" t="str">
        <f>'source-downstream'!G29</f>
        <v>Not provided</v>
      </c>
      <c r="H29" s="71" t="str">
        <f>'source-downstream'!H29</f>
        <v/>
      </c>
      <c r="I29" s="71" t="str">
        <f>if('source-downstream'!I29="",'schema-yn'!$A$5,vlookup('source-downstream'!I29,YN_MAP,3,FALSE))</f>
        <v>not-provided</v>
      </c>
      <c r="J29" s="87" t="str">
        <f>'source-downstream'!J29</f>
        <v>Not provided</v>
      </c>
      <c r="K29" s="71" t="str">
        <f>if('source-downstream'!K29="",'data-cleansing-maps'!$L$10,vlookup('source-downstream'!K29,RESILIENCE_OPTION_MAP,3,FALSE))</f>
        <v>not-provided</v>
      </c>
      <c r="L29" s="87" t="str">
        <f>'source-downstream'!L29</f>
        <v/>
      </c>
      <c r="M29" s="66" t="str">
        <f>if('source-downstream'!M29="",'schema-rv-services'!$B$26,vlookup(vlookup('source-downstream'!$M29,'analysis-rv-services'!$C:$E,3,FALSE),'schema-rv-services'!$A:$B,2, FALSE))</f>
        <v>not-provided</v>
      </c>
      <c r="N29" s="71"/>
    </row>
    <row r="30" ht="15.75" customHeight="1">
      <c r="A30" s="86" t="str">
        <f>Substitute(SUBSTITUTE(substitute(substitute(substitute(substitute(substitute(substitute(substitute(lower('source-downstream'!A30)," ","-"),"(",""),")",""),"&gt;",""),"&lt;",""),"---","-"),".","-"),"--","-"),"&amp;","-and-")</f>
        <v>golden-possum</v>
      </c>
      <c r="B30" s="86" t="str">
        <f>Substitute(SUBSTITUTE(substitute(substitute(substitute(substitute(substitute(substitute(substitute(lower('source-downstream'!B30)," ","-"),"(",""),")",""),"&gt;",""),"&lt;",""),"---","-"),".","-"),"--","-"),"&amp;","-and-")</f>
        <v>noisy-quokka</v>
      </c>
      <c r="C30" s="71" t="str">
        <f>if('source-downstream'!C30="",'schema-frequency'!$B$11,vlookup('source-downstream'!C30,FREQUENCY_MAP, 3, FALSE))</f>
        <v>not-provided</v>
      </c>
      <c r="D30" s="87" t="str">
        <f>'source-downstream'!D30</f>
        <v>General waste</v>
      </c>
      <c r="E30" s="66" t="str">
        <f>if('source-downstream'!E30="",'schema-geographic-dependency'!$B$5, vlookup('source-downstream'!E30,'schema-geographic-dependency'!A:B,2,FALSE))</f>
        <v>same-region</v>
      </c>
      <c r="F30" s="71" t="str">
        <f>if('source-downstream'!F30="",'schema-yn'!$A$5,vlookup('source-downstream'!F30,YN_MAP,3,FALSE))</f>
        <v>no</v>
      </c>
      <c r="G30" s="87" t="str">
        <f>'source-downstream'!G30</f>
        <v>Alternative service</v>
      </c>
      <c r="H30" s="71" t="str">
        <f>'source-downstream'!H30</f>
        <v/>
      </c>
      <c r="I30" s="71" t="str">
        <f>if('source-downstream'!I30="",'schema-yn'!$A$5,vlookup('source-downstream'!I30,YN_MAP,3,FALSE))</f>
        <v>yes</v>
      </c>
      <c r="J30" s="87" t="str">
        <f>'source-downstream'!J30</f>
        <v>Not provided</v>
      </c>
      <c r="K30" s="71" t="str">
        <f>if('source-downstream'!K30="",'data-cleansing-maps'!$L$10,vlookup('source-downstream'!K30,RESILIENCE_OPTION_MAP,3,FALSE))</f>
        <v>not-provided</v>
      </c>
      <c r="L30" s="87" t="str">
        <f>'source-downstream'!L30</f>
        <v/>
      </c>
      <c r="M30" s="66" t="str">
        <f>if('source-downstream'!M30="",'schema-rv-services'!$B$26,vlookup(vlookup('source-downstream'!$M30,'analysis-rv-services'!$C:$E,3,FALSE),'schema-rv-services'!$A:$B,2, FALSE))</f>
        <v>waste-disposal</v>
      </c>
      <c r="N30" s="71"/>
    </row>
    <row r="31" ht="15.75" customHeight="1">
      <c r="A31" s="86" t="str">
        <f>Substitute(SUBSTITUTE(substitute(substitute(substitute(substitute(substitute(substitute(substitute(lower('source-downstream'!A31)," ","-"),"(",""),")",""),"&gt;",""),"&lt;",""),"---","-"),".","-"),"--","-"),"&amp;","-and-")</f>
        <v>golden-possum</v>
      </c>
      <c r="B31" s="86" t="str">
        <f>Substitute(SUBSTITUTE(substitute(substitute(substitute(substitute(substitute(substitute(substitute(lower('source-downstream'!B31)," ","-"),"(",""),")",""),"&gt;",""),"&lt;",""),"---","-"),".","-"),"--","-"),"&amp;","-and-")</f>
        <v>spotted-echidna</v>
      </c>
      <c r="C31" s="71" t="str">
        <f>if('source-downstream'!C31="",'schema-frequency'!$B$11,vlookup('source-downstream'!C31,FREQUENCY_MAP, 3, FALSE))</f>
        <v>not-provided</v>
      </c>
      <c r="D31" s="87" t="str">
        <f>'source-downstream'!D31</f>
        <v>Ewaste</v>
      </c>
      <c r="E31" s="66" t="str">
        <f>if('source-downstream'!E31="",'schema-geographic-dependency'!$B$5, vlookup('source-downstream'!E31,'schema-geographic-dependency'!A:B,2,FALSE))</f>
        <v>same-region</v>
      </c>
      <c r="F31" s="71" t="str">
        <f>if('source-downstream'!F31="",'schema-yn'!$A$5,vlookup('source-downstream'!F31,YN_MAP,3,FALSE))</f>
        <v>no</v>
      </c>
      <c r="G31" s="87" t="str">
        <f>'source-downstream'!G31</f>
        <v>Alternative service</v>
      </c>
      <c r="H31" s="71" t="str">
        <f>'source-downstream'!H31</f>
        <v/>
      </c>
      <c r="I31" s="71" t="str">
        <f>if('source-downstream'!I31="",'schema-yn'!$A$5,vlookup('source-downstream'!I31,YN_MAP,3,FALSE))</f>
        <v>yes</v>
      </c>
      <c r="J31" s="87" t="str">
        <f>'source-downstream'!J31</f>
        <v>Not provided</v>
      </c>
      <c r="K31" s="71" t="str">
        <f>if('source-downstream'!K31="",'data-cleansing-maps'!$L$10,vlookup('source-downstream'!K31,RESILIENCE_OPTION_MAP,3,FALSE))</f>
        <v>not-provided</v>
      </c>
      <c r="L31" s="87" t="str">
        <f>'source-downstream'!L31</f>
        <v/>
      </c>
      <c r="M31" s="66" t="str">
        <f>if('source-downstream'!M31="",'schema-rv-services'!$B$26,vlookup(vlookup('source-downstream'!$M31,'analysis-rv-services'!$C:$E,3,FALSE),'schema-rv-services'!$A:$B,2, FALSE))</f>
        <v>feedstock</v>
      </c>
      <c r="N31" s="71"/>
    </row>
    <row r="32" ht="15.75" customHeight="1">
      <c r="A32" s="86" t="str">
        <f>Substitute(SUBSTITUTE(substitute(substitute(substitute(substitute(substitute(substitute(substitute(lower('source-downstream'!A32)," ","-"),"(",""),")",""),"&gt;",""),"&lt;",""),"---","-"),".","-"),"--","-"),"&amp;","-and-")</f>
        <v>lazy-sugar-glider</v>
      </c>
      <c r="B32" s="86" t="str">
        <f>Substitute(SUBSTITUTE(substitute(substitute(substitute(substitute(substitute(substitute(substitute(lower('source-downstream'!B32)," ","-"),"(",""),")",""),"&gt;",""),"&lt;",""),"---","-"),".","-"),"--","-"),"&amp;","-and-")</f>
        <v>shy-wallaby</v>
      </c>
      <c r="C32" s="71" t="str">
        <f>if('source-downstream'!C32="",'schema-frequency'!$B$11,vlookup('source-downstream'!C32,FREQUENCY_MAP, 3, FALSE))</f>
        <v>unknown</v>
      </c>
      <c r="D32" s="87" t="str">
        <f>'source-downstream'!D32</f>
        <v>Not provided</v>
      </c>
      <c r="E32" s="66" t="str">
        <f>if('source-downstream'!E32="",'schema-geographic-dependency'!$B$5, vlookup('source-downstream'!E32,'schema-geographic-dependency'!A:B,2,FALSE))</f>
        <v>not-provided</v>
      </c>
      <c r="F32" s="71" t="str">
        <f>if('source-downstream'!F32="",'schema-yn'!$A$5,vlookup('source-downstream'!F32,YN_MAP,3,FALSE))</f>
        <v>not-provided</v>
      </c>
      <c r="G32" s="87" t="str">
        <f>'source-downstream'!G32</f>
        <v>Not provided</v>
      </c>
      <c r="H32" s="71" t="str">
        <f>'source-downstream'!H32</f>
        <v/>
      </c>
      <c r="I32" s="71" t="str">
        <f>if('source-downstream'!I32="",'schema-yn'!$A$5,vlookup('source-downstream'!I32,YN_MAP,3,FALSE))</f>
        <v>not-provided</v>
      </c>
      <c r="J32" s="87" t="str">
        <f>'source-downstream'!J32</f>
        <v>Not provided</v>
      </c>
      <c r="K32" s="71" t="str">
        <f>if('source-downstream'!K32="",'data-cleansing-maps'!$L$10,vlookup('source-downstream'!K32,RESILIENCE_OPTION_MAP,3,FALSE))</f>
        <v>not-provided</v>
      </c>
      <c r="L32" s="87" t="str">
        <f>'source-downstream'!L32</f>
        <v>Not provided</v>
      </c>
      <c r="M32" s="66" t="str">
        <f>if('source-downstream'!M32="",'schema-rv-services'!$B$26,vlookup(vlookup('source-downstream'!$M32,'analysis-rv-services'!$C:$E,3,FALSE),'schema-rv-services'!$A:$B,2, FALSE))</f>
        <v>not-provided</v>
      </c>
      <c r="N32" s="71"/>
    </row>
    <row r="33" ht="15.75" customHeight="1">
      <c r="A33" s="86" t="str">
        <f>Substitute(SUBSTITUTE(substitute(substitute(substitute(substitute(substitute(substitute(substitute(lower('source-downstream'!A33)," ","-"),"(",""),")",""),"&gt;",""),"&lt;",""),"---","-"),".","-"),"--","-"),"&amp;","-and-")</f>
        <v>lazy-lyrebird</v>
      </c>
      <c r="B33" s="86" t="str">
        <f>Substitute(SUBSTITUTE(substitute(substitute(substitute(substitute(substitute(substitute(substitute(lower('source-downstream'!B33)," ","-"),"(",""),")",""),"&gt;",""),"&lt;",""),"---","-"),".","-"),"--","-"),"&amp;","-and-")</f>
        <v>silent-bandicoot</v>
      </c>
      <c r="C33" s="71" t="str">
        <f>if('source-downstream'!C33="",'schema-frequency'!$B$11,vlookup('source-downstream'!C33,FREQUENCY_MAP, 3, FALSE))</f>
        <v>unknown</v>
      </c>
      <c r="D33" s="87" t="str">
        <f>'source-downstream'!D33</f>
        <v>Not provided</v>
      </c>
      <c r="E33" s="66" t="str">
        <f>if('source-downstream'!E33="",'schema-geographic-dependency'!$B$5, vlookup('source-downstream'!E33,'schema-geographic-dependency'!A:B,2,FALSE))</f>
        <v>not-provided</v>
      </c>
      <c r="F33" s="71" t="str">
        <f>if('source-downstream'!F33="",'schema-yn'!$A$5,vlookup('source-downstream'!F33,YN_MAP,3,FALSE))</f>
        <v>not-provided</v>
      </c>
      <c r="G33" s="87" t="str">
        <f>'source-downstream'!G33</f>
        <v>Not provided</v>
      </c>
      <c r="H33" s="71" t="str">
        <f>'source-downstream'!H33</f>
        <v/>
      </c>
      <c r="I33" s="71" t="str">
        <f>if('source-downstream'!I33="",'schema-yn'!$A$5,vlookup('source-downstream'!I33,YN_MAP,3,FALSE))</f>
        <v>not-provided</v>
      </c>
      <c r="J33" s="87" t="str">
        <f>'source-downstream'!J33</f>
        <v>Not provided</v>
      </c>
      <c r="K33" s="71" t="str">
        <f>if('source-downstream'!K33="",'data-cleansing-maps'!$L$10,vlookup('source-downstream'!K33,RESILIENCE_OPTION_MAP,3,FALSE))</f>
        <v>not-provided</v>
      </c>
      <c r="L33" s="87" t="str">
        <f>'source-downstream'!L33</f>
        <v>Not provided</v>
      </c>
      <c r="M33" s="66" t="str">
        <f>if('source-downstream'!M33="",'schema-rv-services'!$B$26,vlookup(vlookup('source-downstream'!$M33,'analysis-rv-services'!$C:$E,3,FALSE),'schema-rv-services'!$A:$B,2, FALSE))</f>
        <v>not-provided</v>
      </c>
      <c r="N33" s="71"/>
    </row>
    <row r="34" ht="15.75" customHeight="1">
      <c r="A34" s="86" t="str">
        <f>Substitute(SUBSTITUTE(substitute(substitute(substitute(substitute(substitute(substitute(substitute(lower('source-downstream'!A34)," ","-"),"(",""),")",""),"&gt;",""),"&lt;",""),"---","-"),".","-"),"--","-"),"&amp;","-and-")</f>
        <v>noisy-dingo</v>
      </c>
      <c r="B34" s="86" t="str">
        <f>Substitute(SUBSTITUTE(substitute(substitute(substitute(substitute(substitute(substitute(substitute(lower('source-downstream'!B34)," ","-"),"(",""),")",""),"&gt;",""),"&lt;",""),"---","-"),".","-"),"--","-"),"&amp;","-and-")</f>
        <v>noisy-dingo</v>
      </c>
      <c r="C34" s="71" t="str">
        <f>if('source-downstream'!C34="",'schema-frequency'!$B$11,vlookup('source-downstream'!C34,FREQUENCY_MAP, 3, FALSE))</f>
        <v>not-provided</v>
      </c>
      <c r="D34" s="87" t="str">
        <f>'source-downstream'!D34</f>
        <v>Sourcing and supply of ferrous scrap feed to be stockpiled under the Meltshop gantry crane to feed the EAF at the Noisy Dingo Steel Mill</v>
      </c>
      <c r="E34" s="66" t="str">
        <f>if('source-downstream'!E34="",'schema-geographic-dependency'!$B$5, vlookup('source-downstream'!E34,'schema-geographic-dependency'!A:B,2,FALSE))</f>
        <v>same-region</v>
      </c>
      <c r="F34" s="71" t="str">
        <f>if('source-downstream'!F34="",'schema-yn'!$A$5,vlookup('source-downstream'!F34,YN_MAP,3,FALSE))</f>
        <v>no</v>
      </c>
      <c r="G34" s="87" t="str">
        <f>'source-downstream'!G34</f>
        <v>Not provided</v>
      </c>
      <c r="H34" s="71" t="str">
        <f>'source-downstream'!H34</f>
        <v/>
      </c>
      <c r="I34" s="71" t="str">
        <f>if('source-downstream'!I34="",'schema-yn'!$A$5,vlookup('source-downstream'!I34,YN_MAP,3,FALSE))</f>
        <v>yes</v>
      </c>
      <c r="J34" s="87"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71" t="str">
        <f>if('source-downstream'!K34="",'data-cleansing-maps'!$L$10,vlookup('source-downstream'!K34,RESILIENCE_OPTION_MAP,3,FALSE))</f>
        <v>not-provided</v>
      </c>
      <c r="L34" s="87" t="str">
        <f>'source-downstream'!L34</f>
        <v/>
      </c>
      <c r="M34" s="66" t="str">
        <f>if('source-downstream'!M34="",'schema-rv-services'!$B$26,vlookup(vlookup('source-downstream'!$M34,'analysis-rv-services'!$C:$E,3,FALSE),'schema-rv-services'!$A:$B,2, FALSE))</f>
        <v>feedstock</v>
      </c>
      <c r="N34" s="71"/>
    </row>
    <row r="35" ht="15.75" customHeight="1">
      <c r="A35" s="86" t="str">
        <f>Substitute(SUBSTITUTE(substitute(substitute(substitute(substitute(substitute(substitute(substitute(lower('source-downstream'!A35)," ","-"),"(",""),")",""),"&gt;",""),"&lt;",""),"---","-"),".","-"),"--","-"),"&amp;","-and-")</f>
        <v>noisy-quokka</v>
      </c>
      <c r="B35" s="86" t="str">
        <f>Substitute(SUBSTITUTE(substitute(substitute(substitute(substitute(substitute(substitute(substitute(lower('source-downstream'!B35)," ","-"),"(",""),")",""),"&gt;",""),"&lt;",""),"---","-"),".","-"),"--","-"),"&amp;","-and-")</f>
        <v>green-redback-spider</v>
      </c>
      <c r="C35" s="71" t="str">
        <f>if('source-downstream'!C35="",'schema-frequency'!$B$11,vlookup('source-downstream'!C35,FREQUENCY_MAP, 3, FALSE))</f>
        <v>not-provided</v>
      </c>
      <c r="D35" s="87" t="str">
        <f>'source-downstream'!D35</f>
        <v>General waste collection
 Recyclable waste collection
 Greenwaste collection
 Bulk waste collection</v>
      </c>
      <c r="E35" s="66" t="str">
        <f>if('source-downstream'!E35="",'schema-geographic-dependency'!$B$5, vlookup('source-downstream'!E35,'schema-geographic-dependency'!A:B,2,FALSE))</f>
        <v>spread-across-multiple-regions</v>
      </c>
      <c r="F35" s="71" t="str">
        <f>if('source-downstream'!F35="",'schema-yn'!$A$5,vlookup('source-downstream'!F35,YN_MAP,3,FALSE))</f>
        <v>no</v>
      </c>
      <c r="G35" s="87" t="str">
        <f>'source-downstream'!G35</f>
        <v>Other waste management companies available to supply the scale of service if required</v>
      </c>
      <c r="H35" s="71" t="str">
        <f>'source-downstream'!H35</f>
        <v/>
      </c>
      <c r="I35" s="71" t="str">
        <f>if('source-downstream'!I35="",'schema-yn'!$A$5,vlookup('source-downstream'!I35,YN_MAP,3,FALSE))</f>
        <v>yes</v>
      </c>
      <c r="J35" s="87" t="str">
        <f>'source-downstream'!J35</f>
        <v>Priority given to general waste collections however a large waste management company could assist and provide the services</v>
      </c>
      <c r="K35" s="71" t="str">
        <f>if('source-downstream'!K35="",'data-cleansing-maps'!$L$10,vlookup('source-downstream'!K35,RESILIENCE_OPTION_MAP,3,FALSE))</f>
        <v>not-provided</v>
      </c>
      <c r="L35" s="87" t="str">
        <f>'source-downstream'!L35</f>
        <v/>
      </c>
      <c r="M35" s="66" t="str">
        <f>if('source-downstream'!M35="",'schema-rv-services'!$B$26,vlookup(vlookup('source-downstream'!$M35,'analysis-rv-services'!$C:$E,3,FALSE),'schema-rv-services'!$A:$B,2, FALSE))</f>
        <v>waste-collection</v>
      </c>
      <c r="N35" s="71"/>
    </row>
    <row r="36" ht="15.75" customHeight="1">
      <c r="A36" s="86" t="str">
        <f>Substitute(SUBSTITUTE(substitute(substitute(substitute(substitute(substitute(substitute(substitute(lower('source-downstream'!A36)," ","-"),"(",""),")",""),"&gt;",""),"&lt;",""),"---","-"),".","-"),"--","-"),"&amp;","-and-")</f>
        <v>red-lyrebird</v>
      </c>
      <c r="B36" s="86" t="str">
        <f>Substitute(SUBSTITUTE(substitute(substitute(substitute(substitute(substitute(substitute(substitute(lower('source-downstream'!B36)," ","-"),"(",""),")",""),"&gt;",""),"&lt;",""),"---","-"),".","-"),"--","-"),"&amp;","-and-")</f>
        <v>sleepy-platypus</v>
      </c>
      <c r="C36" s="71" t="str">
        <f>if('source-downstream'!C36="",'schema-frequency'!$B$11,vlookup('source-downstream'!C36,FREQUENCY_MAP, 3, FALSE))</f>
        <v>not-provided</v>
      </c>
      <c r="D36" s="87" t="str">
        <f>'source-downstream'!D36</f>
        <v>Local network service provider</v>
      </c>
      <c r="E36" s="66" t="str">
        <f>if('source-downstream'!E36="",'schema-geographic-dependency'!$B$5, vlookup('source-downstream'!E36,'schema-geographic-dependency'!A:B,2,FALSE))</f>
        <v>not-provided</v>
      </c>
      <c r="F36" s="71" t="str">
        <f>if('source-downstream'!F36="",'schema-yn'!$A$5,vlookup('source-downstream'!F36,YN_MAP,3,FALSE))</f>
        <v>no</v>
      </c>
      <c r="G36" s="87" t="str">
        <f>'source-downstream'!G36</f>
        <v>Not provided</v>
      </c>
      <c r="H36" s="71" t="str">
        <f>'source-downstream'!H36</f>
        <v/>
      </c>
      <c r="I36" s="71" t="str">
        <f>if('source-downstream'!I36="",'schema-yn'!$A$5,vlookup('source-downstream'!I36,YN_MAP,3,FALSE))</f>
        <v>not-provided</v>
      </c>
      <c r="J36" s="87"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71" t="str">
        <f>if('source-downstream'!K36="",'data-cleansing-maps'!$L$10,vlookup('source-downstream'!K36,RESILIENCE_OPTION_MAP,3,FALSE))</f>
        <v>not-provided</v>
      </c>
      <c r="L36" s="87" t="str">
        <f>'source-downstream'!L36</f>
        <v>Not provided</v>
      </c>
      <c r="M36" s="66" t="str">
        <f>if('source-downstream'!M36="",'schema-rv-services'!$B$26,vlookup(vlookup('source-downstream'!$M36,'analysis-rv-services'!$C:$E,3,FALSE),'schema-rv-services'!$A:$B,2, FALSE))</f>
        <v>power</v>
      </c>
      <c r="N36" s="71"/>
    </row>
    <row r="37" ht="15.75" customHeight="1">
      <c r="A37" s="86" t="str">
        <f>Substitute(SUBSTITUTE(substitute(substitute(substitute(substitute(substitute(substitute(substitute(lower('source-downstream'!A37)," ","-"),"(",""),")",""),"&gt;",""),"&lt;",""),"---","-"),".","-"),"--","-"),"&amp;","-and-")</f>
        <v>red-lyrebird</v>
      </c>
      <c r="B37" s="86" t="str">
        <f>Substitute(SUBSTITUTE(substitute(substitute(substitute(substitute(substitute(substitute(substitute(lower('source-downstream'!B37)," ","-"),"(",""),")",""),"&gt;",""),"&lt;",""),"---","-"),".","-"),"--","-"),"&amp;","-and-")</f>
        <v>shy-frilled-neck-lizard</v>
      </c>
      <c r="C37" s="71" t="str">
        <f>if('source-downstream'!C37="",'schema-frequency'!$B$11,vlookup('source-downstream'!C37,FREQUENCY_MAP, 3, FALSE))</f>
        <v>not-provided</v>
      </c>
      <c r="D37" s="87" t="str">
        <f>'source-downstream'!D37</f>
        <v>Meter data Provider</v>
      </c>
      <c r="E37" s="66" t="str">
        <f>if('source-downstream'!E37="",'schema-geographic-dependency'!$B$5, vlookup('source-downstream'!E37,'schema-geographic-dependency'!A:B,2,FALSE))</f>
        <v>not-provided</v>
      </c>
      <c r="F37" s="71" t="str">
        <f>if('source-downstream'!F37="",'schema-yn'!$A$5,vlookup('source-downstream'!F37,YN_MAP,3,FALSE))</f>
        <v>no</v>
      </c>
      <c r="G37" s="87" t="str">
        <f>'source-downstream'!G37</f>
        <v>Not provided</v>
      </c>
      <c r="H37" s="71" t="str">
        <f>'source-downstream'!H37</f>
        <v/>
      </c>
      <c r="I37" s="71" t="str">
        <f>if('source-downstream'!I37="",'schema-yn'!$A$5,vlookup('source-downstream'!I37,YN_MAP,3,FALSE))</f>
        <v>not-provided</v>
      </c>
      <c r="J37" s="87"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71" t="str">
        <f>if('source-downstream'!K37="",'data-cleansing-maps'!$L$10,vlookup('source-downstream'!K37,RESILIENCE_OPTION_MAP,3,FALSE))</f>
        <v>not-provided</v>
      </c>
      <c r="L37" s="87" t="str">
        <f>'source-downstream'!L37</f>
        <v>Not provided</v>
      </c>
      <c r="M37" s="66" t="str">
        <f>if('source-downstream'!M37="",'schema-rv-services'!$B$26,vlookup(vlookup('source-downstream'!$M37,'analysis-rv-services'!$C:$E,3,FALSE),'schema-rv-services'!$A:$B,2, FALSE))</f>
        <v>partners</v>
      </c>
      <c r="N37" s="71"/>
    </row>
    <row r="38" ht="15.75" customHeight="1">
      <c r="A38" s="86" t="str">
        <f>Substitute(SUBSTITUTE(substitute(substitute(substitute(substitute(substitute(substitute(substitute(lower('source-downstream'!A38)," ","-"),"(",""),")",""),"&gt;",""),"&lt;",""),"---","-"),".","-"),"--","-"),"&amp;","-and-")</f>
        <v>red-lyrebird</v>
      </c>
      <c r="B38" s="86" t="str">
        <f>Substitute(SUBSTITUTE(substitute(substitute(substitute(substitute(substitute(substitute(substitute(lower('source-downstream'!B38)," ","-"),"(",""),")",""),"&gt;",""),"&lt;",""),"---","-"),".","-"),"--","-"),"&amp;","-and-")</f>
        <v>sleepy-perentie</v>
      </c>
      <c r="C38" s="71" t="str">
        <f>if('source-downstream'!C38="",'schema-frequency'!$B$11,vlookup('source-downstream'!C38,FREQUENCY_MAP, 3, FALSE))</f>
        <v>not-provided</v>
      </c>
      <c r="D38" s="87" t="str">
        <f>'source-downstream'!D38</f>
        <v>Meter data Provider</v>
      </c>
      <c r="E38" s="66" t="str">
        <f>if('source-downstream'!E38="",'schema-geographic-dependency'!$B$5, vlookup('source-downstream'!E38,'schema-geographic-dependency'!A:B,2,FALSE))</f>
        <v>not-provided</v>
      </c>
      <c r="F38" s="71" t="str">
        <f>if('source-downstream'!F38="",'schema-yn'!$A$5,vlookup('source-downstream'!F38,YN_MAP,3,FALSE))</f>
        <v>no</v>
      </c>
      <c r="G38" s="87" t="str">
        <f>'source-downstream'!G38</f>
        <v>Not provided</v>
      </c>
      <c r="H38" s="71" t="str">
        <f>'source-downstream'!H38</f>
        <v/>
      </c>
      <c r="I38" s="71" t="str">
        <f>if('source-downstream'!I38="",'schema-yn'!$A$5,vlookup('source-downstream'!I38,YN_MAP,3,FALSE))</f>
        <v>not-provided</v>
      </c>
      <c r="J38" s="87"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71" t="str">
        <f>if('source-downstream'!K38="",'data-cleansing-maps'!$L$10,vlookup('source-downstream'!K38,RESILIENCE_OPTION_MAP,3,FALSE))</f>
        <v>not-provided</v>
      </c>
      <c r="L38" s="87" t="str">
        <f>'source-downstream'!L38</f>
        <v>Not provided</v>
      </c>
      <c r="M38" s="66" t="str">
        <f>if('source-downstream'!M38="",'schema-rv-services'!$B$26,vlookup(vlookup('source-downstream'!$M38,'analysis-rv-services'!$C:$E,3,FALSE),'schema-rv-services'!$A:$B,2, FALSE))</f>
        <v>techonology</v>
      </c>
      <c r="N38" s="71"/>
    </row>
    <row r="39" ht="15.75" customHeight="1">
      <c r="A39" s="86" t="str">
        <f>Substitute(SUBSTITUTE(substitute(substitute(substitute(substitute(substitute(substitute(substitute(lower('source-downstream'!A39)," ","-"),"(",""),")",""),"&gt;",""),"&lt;",""),"---","-"),".","-"),"--","-"),"&amp;","-and-")</f>
        <v>red-lyrebird</v>
      </c>
      <c r="B39" s="86" t="str">
        <f>Substitute(SUBSTITUTE(substitute(substitute(substitute(substitute(substitute(substitute(substitute(lower('source-downstream'!B39)," ","-"),"(",""),")",""),"&gt;",""),"&lt;",""),"---","-"),".","-"),"--","-"),"&amp;","-and-")</f>
        <v>brave-bandicoot</v>
      </c>
      <c r="C39" s="71" t="str">
        <f>if('source-downstream'!C39="",'schema-frequency'!$B$11,vlookup('source-downstream'!C39,FREQUENCY_MAP, 3, FALSE))</f>
        <v>not-provided</v>
      </c>
      <c r="D39" s="87" t="str">
        <f>'source-downstream'!D39</f>
        <v>Local network service provider</v>
      </c>
      <c r="E39" s="66" t="str">
        <f>if('source-downstream'!E39="",'schema-geographic-dependency'!$B$5, vlookup('source-downstream'!E39,'schema-geographic-dependency'!A:B,2,FALSE))</f>
        <v>not-provided</v>
      </c>
      <c r="F39" s="71" t="str">
        <f>if('source-downstream'!F39="",'schema-yn'!$A$5,vlookup('source-downstream'!F39,YN_MAP,3,FALSE))</f>
        <v>no</v>
      </c>
      <c r="G39" s="87" t="str">
        <f>'source-downstream'!G39</f>
        <v>Not provided</v>
      </c>
      <c r="H39" s="71" t="str">
        <f>'source-downstream'!H39</f>
        <v/>
      </c>
      <c r="I39" s="71" t="str">
        <f>if('source-downstream'!I39="",'schema-yn'!$A$5,vlookup('source-downstream'!I39,YN_MAP,3,FALSE))</f>
        <v>not-provided</v>
      </c>
      <c r="J39" s="87"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71" t="str">
        <f>if('source-downstream'!K39="",'data-cleansing-maps'!$L$10,vlookup('source-downstream'!K39,RESILIENCE_OPTION_MAP,3,FALSE))</f>
        <v>not-provided</v>
      </c>
      <c r="L39" s="87" t="str">
        <f>'source-downstream'!L39</f>
        <v>Not provided</v>
      </c>
      <c r="M39" s="66" t="str">
        <f>if('source-downstream'!M39="",'schema-rv-services'!$B$26,vlookup(vlookup('source-downstream'!$M39,'analysis-rv-services'!$C:$E,3,FALSE),'schema-rv-services'!$A:$B,2, FALSE))</f>
        <v>power</v>
      </c>
      <c r="N39" s="71"/>
    </row>
    <row r="40" ht="15.75" customHeight="1">
      <c r="A40" s="86" t="str">
        <f>Substitute(SUBSTITUTE(substitute(substitute(substitute(substitute(substitute(substitute(substitute(lower('source-downstream'!A40)," ","-"),"(",""),")",""),"&gt;",""),"&lt;",""),"---","-"),".","-"),"--","-"),"&amp;","-and-")</f>
        <v>red-lyrebird</v>
      </c>
      <c r="B40" s="86" t="str">
        <f>Substitute(SUBSTITUTE(substitute(substitute(substitute(substitute(substitute(substitute(substitute(lower('source-downstream'!B40)," ","-"),"(",""),")",""),"&gt;",""),"&lt;",""),"---","-"),".","-"),"--","-"),"&amp;","-and-")</f>
        <v>wild-dingo</v>
      </c>
      <c r="C40" s="71" t="str">
        <f>if('source-downstream'!C40="",'schema-frequency'!$B$11,vlookup('source-downstream'!C40,FREQUENCY_MAP, 3, FALSE))</f>
        <v>not-provided</v>
      </c>
      <c r="D40" s="87" t="str">
        <f>'source-downstream'!D40</f>
        <v>Local network service provider</v>
      </c>
      <c r="E40" s="66" t="str">
        <f>if('source-downstream'!E40="",'schema-geographic-dependency'!$B$5, vlookup('source-downstream'!E40,'schema-geographic-dependency'!A:B,2,FALSE))</f>
        <v>not-provided</v>
      </c>
      <c r="F40" s="71" t="str">
        <f>if('source-downstream'!F40="",'schema-yn'!$A$5,vlookup('source-downstream'!F40,YN_MAP,3,FALSE))</f>
        <v>no</v>
      </c>
      <c r="G40" s="87" t="str">
        <f>'source-downstream'!G40</f>
        <v>Not provided</v>
      </c>
      <c r="H40" s="71" t="str">
        <f>'source-downstream'!H40</f>
        <v/>
      </c>
      <c r="I40" s="71" t="str">
        <f>if('source-downstream'!I40="",'schema-yn'!$A$5,vlookup('source-downstream'!I40,YN_MAP,3,FALSE))</f>
        <v>not-provided</v>
      </c>
      <c r="J40" s="87"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71" t="str">
        <f>if('source-downstream'!K40="",'data-cleansing-maps'!$L$10,vlookup('source-downstream'!K40,RESILIENCE_OPTION_MAP,3,FALSE))</f>
        <v>not-provided</v>
      </c>
      <c r="L40" s="87" t="str">
        <f>'source-downstream'!L40</f>
        <v>Not provided</v>
      </c>
      <c r="M40" s="66" t="str">
        <f>if('source-downstream'!M40="",'schema-rv-services'!$B$26,vlookup(vlookup('source-downstream'!$M40,'analysis-rv-services'!$C:$E,3,FALSE),'schema-rv-services'!$A:$B,2, FALSE))</f>
        <v>power</v>
      </c>
      <c r="N40" s="71"/>
    </row>
    <row r="41" ht="15.75" customHeight="1">
      <c r="A41" s="86" t="str">
        <f>Substitute(SUBSTITUTE(substitute(substitute(substitute(substitute(substitute(substitute(substitute(lower('source-downstream'!A41)," ","-"),"(",""),")",""),"&gt;",""),"&lt;",""),"---","-"),".","-"),"--","-"),"&amp;","-and-")</f>
        <v>red-lyrebird</v>
      </c>
      <c r="B41" s="86" t="str">
        <f>Substitute(SUBSTITUTE(substitute(substitute(substitute(substitute(substitute(substitute(substitute(lower('source-downstream'!B41)," ","-"),"(",""),")",""),"&gt;",""),"&lt;",""),"---","-"),".","-"),"--","-"),"&amp;","-and-")</f>
        <v>yellow-tree-kangaroo</v>
      </c>
      <c r="C41" s="71" t="str">
        <f>if('source-downstream'!C41="",'schema-frequency'!$B$11,vlookup('source-downstream'!C41,FREQUENCY_MAP, 3, FALSE))</f>
        <v>not-provided</v>
      </c>
      <c r="D41" s="87" t="str">
        <f>'source-downstream'!D41</f>
        <v>Meter data Provider</v>
      </c>
      <c r="E41" s="66" t="str">
        <f>if('source-downstream'!E41="",'schema-geographic-dependency'!$B$5, vlookup('source-downstream'!E41,'schema-geographic-dependency'!A:B,2,FALSE))</f>
        <v>not-provided</v>
      </c>
      <c r="F41" s="71" t="str">
        <f>if('source-downstream'!F41="",'schema-yn'!$A$5,vlookup('source-downstream'!F41,YN_MAP,3,FALSE))</f>
        <v>no</v>
      </c>
      <c r="G41" s="87" t="str">
        <f>'source-downstream'!G41</f>
        <v>Not provided</v>
      </c>
      <c r="H41" s="71" t="str">
        <f>'source-downstream'!H41</f>
        <v/>
      </c>
      <c r="I41" s="71" t="str">
        <f>if('source-downstream'!I41="",'schema-yn'!$A$5,vlookup('source-downstream'!I41,YN_MAP,3,FALSE))</f>
        <v>not-provided</v>
      </c>
      <c r="J41" s="87"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71" t="str">
        <f>if('source-downstream'!K41="",'data-cleansing-maps'!$L$10,vlookup('source-downstream'!K41,RESILIENCE_OPTION_MAP,3,FALSE))</f>
        <v>not-provided</v>
      </c>
      <c r="L41" s="87" t="str">
        <f>'source-downstream'!L41</f>
        <v>Not provided</v>
      </c>
      <c r="M41" s="66" t="str">
        <f>if('source-downstream'!M41="",'schema-rv-services'!$B$26,vlookup(vlookup('source-downstream'!$M41,'analysis-rv-services'!$C:$E,3,FALSE),'schema-rv-services'!$A:$B,2, FALSE))</f>
        <v>gas</v>
      </c>
      <c r="N41" s="71"/>
    </row>
    <row r="42" ht="15.75" customHeight="1">
      <c r="A42" s="86" t="str">
        <f>Substitute(SUBSTITUTE(substitute(substitute(substitute(substitute(substitute(substitute(substitute(lower('source-downstream'!A42)," ","-"),"(",""),")",""),"&gt;",""),"&lt;",""),"---","-"),".","-"),"--","-"),"&amp;","-and-")</f>
        <v>red-possum</v>
      </c>
      <c r="B42" s="86" t="str">
        <f>Substitute(SUBSTITUTE(substitute(substitute(substitute(substitute(substitute(substitute(substitute(lower('source-downstream'!B42)," ","-"),"(",""),")",""),"&gt;",""),"&lt;",""),"---","-"),".","-"),"--","-"),"&amp;","-and-")</f>
        <v>noisy-echidna</v>
      </c>
      <c r="C42" s="71" t="str">
        <f>if('source-downstream'!C42="",'schema-frequency'!$B$11,vlookup('source-downstream'!C42,FREQUENCY_MAP, 3, FALSE))</f>
        <v>not-provided</v>
      </c>
      <c r="D42" s="87" t="str">
        <f>'source-downstream'!D42</f>
        <v>landfill gas extraction</v>
      </c>
      <c r="E42" s="66" t="str">
        <f>if('source-downstream'!E42="",'schema-geographic-dependency'!$B$5, vlookup('source-downstream'!E42,'schema-geographic-dependency'!A:B,2,FALSE))</f>
        <v>same-region</v>
      </c>
      <c r="F42" s="71" t="str">
        <f>if('source-downstream'!F42="",'schema-yn'!$A$5,vlookup('source-downstream'!F42,YN_MAP,3,FALSE))</f>
        <v>no</v>
      </c>
      <c r="G42" s="87" t="str">
        <f>'source-downstream'!G42</f>
        <v>Not provided</v>
      </c>
      <c r="H42" s="71" t="str">
        <f>'source-downstream'!H42</f>
        <v/>
      </c>
      <c r="I42" s="71" t="str">
        <f>if('source-downstream'!I42="",'schema-yn'!$A$5,vlookup('source-downstream'!I42,YN_MAP,3,FALSE))</f>
        <v>yes</v>
      </c>
      <c r="J42" s="87"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71" t="str">
        <f>if('source-downstream'!K42="",'data-cleansing-maps'!$L$10,vlookup('source-downstream'!K42,RESILIENCE_OPTION_MAP,3,FALSE))</f>
        <v>not-provided</v>
      </c>
      <c r="L42" s="87" t="str">
        <f>'source-downstream'!L42</f>
        <v/>
      </c>
      <c r="M42" s="66" t="str">
        <f>if('source-downstream'!M42="",'schema-rv-services'!$B$26,vlookup(vlookup('source-downstream'!$M42,'analysis-rv-services'!$C:$E,3,FALSE),'schema-rv-services'!$A:$B,2, FALSE))</f>
        <v>gas</v>
      </c>
      <c r="N42" s="71"/>
    </row>
    <row r="43" ht="15.75" customHeight="1">
      <c r="A43" s="86" t="str">
        <f>Substitute(SUBSTITUTE(substitute(substitute(substitute(substitute(substitute(substitute(substitute(lower('source-downstream'!A43)," ","-"),"(",""),")",""),"&gt;",""),"&lt;",""),"---","-"),".","-"),"--","-"),"&amp;","-and-")</f>
        <v>silent-rosella</v>
      </c>
      <c r="B43" s="86" t="str">
        <f>Substitute(SUBSTITUTE(substitute(substitute(substitute(substitute(substitute(substitute(substitute(lower('source-downstream'!B43)," ","-"),"(",""),")",""),"&gt;",""),"&lt;",""),"---","-"),".","-"),"--","-"),"&amp;","-and-")</f>
        <v>fuzzy-cassowary</v>
      </c>
      <c r="C43" s="71" t="str">
        <f>if('source-downstream'!C43="",'schema-frequency'!$B$11,vlookup('source-downstream'!C43,FREQUENCY_MAP, 3, FALSE))</f>
        <v>not-provided</v>
      </c>
      <c r="D43" s="87" t="str">
        <f>'source-downstream'!D43</f>
        <v>Transporting of recycled materials</v>
      </c>
      <c r="E43" s="66" t="str">
        <f>if('source-downstream'!E43="",'schema-geographic-dependency'!$B$5, vlookup('source-downstream'!E43,'schema-geographic-dependency'!A:B,2,FALSE))</f>
        <v>not-provided</v>
      </c>
      <c r="F43" s="71" t="str">
        <f>if('source-downstream'!F43="",'schema-yn'!$A$5,vlookup('source-downstream'!F43,YN_MAP,3,FALSE))</f>
        <v>not-provided</v>
      </c>
      <c r="G43" s="87" t="str">
        <f>'source-downstream'!G43</f>
        <v>Not provided</v>
      </c>
      <c r="H43" s="71" t="str">
        <f>'source-downstream'!H43</f>
        <v/>
      </c>
      <c r="I43" s="71" t="str">
        <f>if('source-downstream'!I43="",'schema-yn'!$A$5,vlookup('source-downstream'!I43,YN_MAP,3,FALSE))</f>
        <v>not-provided</v>
      </c>
      <c r="J43" s="87" t="str">
        <f>'source-downstream'!J43</f>
        <v>Not provided</v>
      </c>
      <c r="K43" s="71" t="str">
        <f>if('source-downstream'!K43="",'data-cleansing-maps'!$L$10,vlookup('source-downstream'!K43,RESILIENCE_OPTION_MAP,3,FALSE))</f>
        <v>not-provided</v>
      </c>
      <c r="L43" s="87" t="str">
        <f>'source-downstream'!L43</f>
        <v/>
      </c>
      <c r="M43" s="66" t="str">
        <f>if('source-downstream'!M43="",'schema-rv-services'!$B$26,vlookup(vlookup('source-downstream'!$M43,'analysis-rv-services'!$C:$E,3,FALSE),'schema-rv-services'!$A:$B,2, FALSE))</f>
        <v>transport</v>
      </c>
      <c r="N43" s="71"/>
    </row>
    <row r="44" ht="15.75" customHeight="1">
      <c r="A44" s="86" t="str">
        <f>Substitute(SUBSTITUTE(substitute(substitute(substitute(substitute(substitute(substitute(substitute(lower('source-downstream'!A44)," ","-"),"(",""),")",""),"&gt;",""),"&lt;",""),"---","-"),".","-"),"--","-"),"&amp;","-and-")</f>
        <v>silent-rosella</v>
      </c>
      <c r="B44" s="86" t="str">
        <f>Substitute(SUBSTITUTE(substitute(substitute(substitute(substitute(substitute(substitute(substitute(lower('source-downstream'!B44)," ","-"),"(",""),")",""),"&gt;",""),"&lt;",""),"---","-"),".","-"),"--","-"),"&amp;","-and-")</f>
        <v>noisy-dingo</v>
      </c>
      <c r="C44" s="71" t="str">
        <f>if('source-downstream'!C44="",'schema-frequency'!$B$11,vlookup('source-downstream'!C44,FREQUENCY_MAP, 3, FALSE))</f>
        <v>not-provided</v>
      </c>
      <c r="D44" s="87" t="str">
        <f>'source-downstream'!D44</f>
        <v>Not provided</v>
      </c>
      <c r="E44" s="66" t="str">
        <f>if('source-downstream'!E44="",'schema-geographic-dependency'!$B$5, vlookup('source-downstream'!E44,'schema-geographic-dependency'!A:B,2,FALSE))</f>
        <v>not-provided</v>
      </c>
      <c r="F44" s="71" t="str">
        <f>if('source-downstream'!F44="",'schema-yn'!$A$5,vlookup('source-downstream'!F44,YN_MAP,3,FALSE))</f>
        <v>not-provided</v>
      </c>
      <c r="G44" s="87" t="str">
        <f>'source-downstream'!G44</f>
        <v>Not provided</v>
      </c>
      <c r="H44" s="71" t="str">
        <f>'source-downstream'!H44</f>
        <v/>
      </c>
      <c r="I44" s="71" t="str">
        <f>if('source-downstream'!I44="",'schema-yn'!$A$5,vlookup('source-downstream'!I44,YN_MAP,3,FALSE))</f>
        <v>not-provided</v>
      </c>
      <c r="J44" s="87" t="str">
        <f>'source-downstream'!J44</f>
        <v>Not provided</v>
      </c>
      <c r="K44" s="71" t="str">
        <f>if('source-downstream'!K44="",'data-cleansing-maps'!$L$10,vlookup('source-downstream'!K44,RESILIENCE_OPTION_MAP,3,FALSE))</f>
        <v>not-provided</v>
      </c>
      <c r="L44" s="87" t="str">
        <f>'source-downstream'!L44</f>
        <v/>
      </c>
      <c r="M44" s="66" t="str">
        <f>if('source-downstream'!M44="",'schema-rv-services'!$B$26,vlookup(vlookup('source-downstream'!$M44,'analysis-rv-services'!$C:$E,3,FALSE),'schema-rv-services'!$A:$B,2, FALSE))</f>
        <v>feedstock</v>
      </c>
      <c r="N44" s="71"/>
    </row>
    <row r="45" ht="15.75" customHeight="1">
      <c r="A45" s="86" t="str">
        <f>Substitute(SUBSTITUTE(substitute(substitute(substitute(substitute(substitute(substitute(substitute(lower('source-downstream'!A45)," ","-"),"(",""),")",""),"&gt;",""),"&lt;",""),"---","-"),".","-"),"--","-"),"&amp;","-and-")</f>
        <v>silent-rosella</v>
      </c>
      <c r="B45" s="86" t="str">
        <f>Substitute(SUBSTITUTE(substitute(substitute(substitute(substitute(substitute(substitute(substitute(lower('source-downstream'!B45)," ","-"),"(",""),")",""),"&gt;",""),"&lt;",""),"---","-"),".","-"),"--","-"),"&amp;","-and-")</f>
        <v>red-possum</v>
      </c>
      <c r="C45" s="71" t="str">
        <f>if('source-downstream'!C45="",'schema-frequency'!$B$11,vlookup('source-downstream'!C45,FREQUENCY_MAP, 3, FALSE))</f>
        <v>not-provided</v>
      </c>
      <c r="D45" s="87" t="str">
        <f>'source-downstream'!D45</f>
        <v>Receival of recycling process waste materials (floc)</v>
      </c>
      <c r="E45" s="66" t="str">
        <f>if('source-downstream'!E45="",'schema-geographic-dependency'!$B$5, vlookup('source-downstream'!E45,'schema-geographic-dependency'!A:B,2,FALSE))</f>
        <v>not-provided</v>
      </c>
      <c r="F45" s="71" t="str">
        <f>if('source-downstream'!F45="",'schema-yn'!$A$5,vlookup('source-downstream'!F45,YN_MAP,3,FALSE))</f>
        <v>not-provided</v>
      </c>
      <c r="G45" s="87" t="str">
        <f>'source-downstream'!G45</f>
        <v>Not provided</v>
      </c>
      <c r="H45" s="71" t="str">
        <f>'source-downstream'!H45</f>
        <v/>
      </c>
      <c r="I45" s="71" t="str">
        <f>if('source-downstream'!I45="",'schema-yn'!$A$5,vlookup('source-downstream'!I45,YN_MAP,3,FALSE))</f>
        <v>not-provided</v>
      </c>
      <c r="J45" s="87" t="str">
        <f>'source-downstream'!J45</f>
        <v>Landfill operators (floc disposal)</v>
      </c>
      <c r="K45" s="71" t="str">
        <f>if('source-downstream'!K45="",'data-cleansing-maps'!$L$10,vlookup('source-downstream'!K45,RESILIENCE_OPTION_MAP,3,FALSE))</f>
        <v>not-provided</v>
      </c>
      <c r="L45" s="87" t="str">
        <f>'source-downstream'!L45</f>
        <v/>
      </c>
      <c r="M45" s="66" t="str">
        <f>if('source-downstream'!M45="",'schema-rv-services'!$B$26,vlookup(vlookup('source-downstream'!$M45,'analysis-rv-services'!$C:$E,3,FALSE),'schema-rv-services'!$A:$B,2, FALSE))</f>
        <v>waste-disposal</v>
      </c>
      <c r="N45" s="71"/>
    </row>
    <row r="46" ht="15.75" customHeight="1">
      <c r="A46" s="86" t="str">
        <f>Substitute(SUBSTITUTE(substitute(substitute(substitute(substitute(substitute(substitute(substitute(lower('source-downstream'!A46)," ","-"),"(",""),")",""),"&gt;",""),"&lt;",""),"---","-"),".","-"),"--","-"),"&amp;","-and-")</f>
        <v>silent-rosella</v>
      </c>
      <c r="B46" s="86" t="str">
        <f>Substitute(SUBSTITUTE(substitute(substitute(substitute(substitute(substitute(substitute(substitute(lower('source-downstream'!B46)," ","-"),"(",""),")",""),"&gt;",""),"&lt;",""),"---","-"),".","-"),"--","-"),"&amp;","-and-")</f>
        <v>fuzzy-sugar-glider</v>
      </c>
      <c r="C46" s="71" t="str">
        <f>if('source-downstream'!C46="",'schema-frequency'!$B$11,vlookup('source-downstream'!C46,FREQUENCY_MAP, 3, FALSE))</f>
        <v>not-provided</v>
      </c>
      <c r="D46" s="87" t="str">
        <f>'source-downstream'!D46</f>
        <v>Receival of recycling process waste materials (floc)</v>
      </c>
      <c r="E46" s="66" t="str">
        <f>if('source-downstream'!E46="",'schema-geographic-dependency'!$B$5, vlookup('source-downstream'!E46,'schema-geographic-dependency'!A:B,2,FALSE))</f>
        <v>not-provided</v>
      </c>
      <c r="F46" s="71" t="str">
        <f>if('source-downstream'!F46="",'schema-yn'!$A$5,vlookup('source-downstream'!F46,YN_MAP,3,FALSE))</f>
        <v>not-provided</v>
      </c>
      <c r="G46" s="87" t="str">
        <f>'source-downstream'!G46</f>
        <v>Not provided</v>
      </c>
      <c r="H46" s="71" t="str">
        <f>'source-downstream'!H46</f>
        <v/>
      </c>
      <c r="I46" s="71" t="str">
        <f>if('source-downstream'!I46="",'schema-yn'!$A$5,vlookup('source-downstream'!I46,YN_MAP,3,FALSE))</f>
        <v>not-provided</v>
      </c>
      <c r="J46" s="87" t="str">
        <f>'source-downstream'!J46</f>
        <v>Ravenhall. Optional operator, no current agreement</v>
      </c>
      <c r="K46" s="71" t="str">
        <f>if('source-downstream'!K46="",'data-cleansing-maps'!$L$10,vlookup('source-downstream'!K46,RESILIENCE_OPTION_MAP,3,FALSE))</f>
        <v>not-provided</v>
      </c>
      <c r="L46" s="87" t="str">
        <f>'source-downstream'!L46</f>
        <v/>
      </c>
      <c r="M46" s="66" t="str">
        <f>if('source-downstream'!M46="",'schema-rv-services'!$B$26,vlookup(vlookup('source-downstream'!$M46,'analysis-rv-services'!$C:$E,3,FALSE),'schema-rv-services'!$A:$B,2, FALSE))</f>
        <v>waste-disposal</v>
      </c>
      <c r="N46" s="71"/>
    </row>
    <row r="47" ht="15.75" customHeight="1">
      <c r="A47" s="86" t="str">
        <f>Substitute(SUBSTITUTE(substitute(substitute(substitute(substitute(substitute(substitute(substitute(lower('source-downstream'!A47)," ","-"),"(",""),")",""),"&gt;",""),"&lt;",""),"---","-"),".","-"),"--","-"),"&amp;","-and-")</f>
        <v>spotted-cockatoo</v>
      </c>
      <c r="B47" s="86" t="str">
        <f>Substitute(SUBSTITUTE(substitute(substitute(substitute(substitute(substitute(substitute(substitute(lower('source-downstream'!B47)," ","-"),"(",""),")",""),"&gt;",""),"&lt;",""),"---","-"),".","-"),"--","-"),"&amp;","-and-")</f>
        <v>silent-cassowary</v>
      </c>
      <c r="C47" s="71" t="str">
        <f>if('source-downstream'!C47="",'schema-frequency'!$B$11,vlookup('source-downstream'!C47,FREQUENCY_MAP, 3, FALSE))</f>
        <v>not-provided</v>
      </c>
      <c r="D47" s="87" t="str">
        <f>'source-downstream'!D47</f>
        <v>Container Deposit Scheme services</v>
      </c>
      <c r="E47" s="66" t="str">
        <f>if('source-downstream'!E47="",'schema-geographic-dependency'!$B$5, vlookup('source-downstream'!E47,'schema-geographic-dependency'!A:B,2,FALSE))</f>
        <v>same-region</v>
      </c>
      <c r="F47" s="71" t="str">
        <f>if('source-downstream'!F47="",'schema-yn'!$A$5,vlookup('source-downstream'!F47,YN_MAP,3,FALSE))</f>
        <v>no</v>
      </c>
      <c r="G47" s="87" t="str">
        <f>'source-downstream'!G47</f>
        <v>Alternatives available
 - other zones
 - kerbside recycling</v>
      </c>
      <c r="H47" s="71" t="str">
        <f>'source-downstream'!H47</f>
        <v/>
      </c>
      <c r="I47" s="71" t="str">
        <f>if('source-downstream'!I47="",'schema-yn'!$A$5,vlookup('source-downstream'!I47,YN_MAP,3,FALSE))</f>
        <v>yes</v>
      </c>
      <c r="J47" s="87" t="str">
        <f>'source-downstream'!J47</f>
        <v>Yes; potential short-term stockpiling if they choose not to go to another network operator.</v>
      </c>
      <c r="K47" s="71" t="str">
        <f>if('source-downstream'!K47="",'data-cleansing-maps'!$L$10,vlookup('source-downstream'!K47,RESILIENCE_OPTION_MAP,3,FALSE))</f>
        <v>not-provided</v>
      </c>
      <c r="L47" s="87" t="str">
        <f>'source-downstream'!L47</f>
        <v/>
      </c>
      <c r="M47" s="66" t="str">
        <f>if('source-downstream'!M47="",'schema-rv-services'!$B$26,vlookup(vlookup('source-downstream'!$M47,'analysis-rv-services'!$C:$E,3,FALSE),'schema-rv-services'!$A:$B,2, FALSE))</f>
        <v>not-provided</v>
      </c>
      <c r="N47" s="71"/>
    </row>
    <row r="48" ht="15.75" customHeight="1">
      <c r="A48" s="86" t="str">
        <f>Substitute(SUBSTITUTE(substitute(substitute(substitute(substitute(substitute(substitute(substitute(lower('source-downstream'!A48)," ","-"),"(",""),")",""),"&gt;",""),"&lt;",""),"---","-"),".","-"),"--","-"),"&amp;","-and-")</f>
        <v>spotted-koala</v>
      </c>
      <c r="B48" s="86" t="str">
        <f>Substitute(SUBSTITUTE(substitute(substitute(substitute(substitute(substitute(substitute(substitute(lower('source-downstream'!B48)," ","-"),"(",""),")",""),"&gt;",""),"&lt;",""),"---","-"),".","-"),"--","-"),"&amp;","-and-")</f>
        <v>giant-platypus</v>
      </c>
      <c r="C48" s="71" t="str">
        <f>if('source-downstream'!C48="",'schema-frequency'!$B$11,vlookup('source-downstream'!C48,FREQUENCY_MAP, 3, FALSE))</f>
        <v>not-provided</v>
      </c>
      <c r="D48" s="87" t="str">
        <f>'source-downstream'!D48</f>
        <v>Not provided</v>
      </c>
      <c r="E48" s="66" t="str">
        <f>if('source-downstream'!E48="",'schema-geographic-dependency'!$B$5, vlookup('source-downstream'!E48,'schema-geographic-dependency'!A:B,2,FALSE))</f>
        <v>not-provided</v>
      </c>
      <c r="F48" s="71" t="str">
        <f>if('source-downstream'!F48="",'schema-yn'!$A$5,vlookup('source-downstream'!F48,YN_MAP,3,FALSE))</f>
        <v>not-provided</v>
      </c>
      <c r="G48" s="87" t="str">
        <f>'source-downstream'!G48</f>
        <v>Not provided</v>
      </c>
      <c r="H48" s="71" t="str">
        <f>'source-downstream'!H48</f>
        <v/>
      </c>
      <c r="I48" s="71" t="str">
        <f>if('source-downstream'!I48="",'schema-yn'!$A$5,vlookup('source-downstream'!I48,YN_MAP,3,FALSE))</f>
        <v>not-provided</v>
      </c>
      <c r="J48" s="87" t="str">
        <f>'source-downstream'!J48</f>
        <v>No comments provided</v>
      </c>
      <c r="K48" s="71" t="str">
        <f>if('source-downstream'!K48="",'data-cleansing-maps'!$L$10,vlookup('source-downstream'!K48,RESILIENCE_OPTION_MAP,3,FALSE))</f>
        <v>not-provided</v>
      </c>
      <c r="L48" s="87" t="str">
        <f>'source-downstream'!L48</f>
        <v/>
      </c>
      <c r="M48" s="66" t="str">
        <f>if('source-downstream'!M48="",'schema-rv-services'!$B$26,vlookup(vlookup('source-downstream'!$M48,'analysis-rv-services'!$C:$E,3,FALSE),'schema-rv-services'!$A:$B,2, FALSE))</f>
        <v>waste-collection</v>
      </c>
      <c r="N48" s="71"/>
    </row>
    <row r="49" ht="15.75" customHeight="1">
      <c r="A49" s="86" t="str">
        <f>Substitute(SUBSTITUTE(substitute(substitute(substitute(substitute(substitute(substitute(substitute(lower('source-downstream'!A49)," ","-"),"(",""),")",""),"&gt;",""),"&lt;",""),"---","-"),".","-"),"--","-"),"&amp;","-and-")</f>
        <v>spotted-koala</v>
      </c>
      <c r="B49" s="86" t="str">
        <f>Substitute(SUBSTITUTE(substitute(substitute(substitute(substitute(substitute(substitute(substitute(lower('source-downstream'!B49)," ","-"),"(",""),")",""),"&gt;",""),"&lt;",""),"---","-"),".","-"),"--","-"),"&amp;","-and-")</f>
        <v>shy-lyrebird</v>
      </c>
      <c r="C49" s="71" t="str">
        <f>if('source-downstream'!C49="",'schema-frequency'!$B$11,vlookup('source-downstream'!C49,FREQUENCY_MAP, 3, FALSE))</f>
        <v>not-provided</v>
      </c>
      <c r="D49" s="87" t="str">
        <f>'source-downstream'!D49</f>
        <v>Not provided</v>
      </c>
      <c r="E49" s="66" t="str">
        <f>if('source-downstream'!E49="",'schema-geographic-dependency'!$B$5, vlookup('source-downstream'!E49,'schema-geographic-dependency'!A:B,2,FALSE))</f>
        <v>not-provided</v>
      </c>
      <c r="F49" s="71" t="str">
        <f>if('source-downstream'!F49="",'schema-yn'!$A$5,vlookup('source-downstream'!F49,YN_MAP,3,FALSE))</f>
        <v>not-provided</v>
      </c>
      <c r="G49" s="87" t="str">
        <f>'source-downstream'!G49</f>
        <v>Not provided</v>
      </c>
      <c r="H49" s="71" t="str">
        <f>'source-downstream'!H49</f>
        <v/>
      </c>
      <c r="I49" s="71" t="str">
        <f>if('source-downstream'!I49="",'schema-yn'!$A$5,vlookup('source-downstream'!I49,YN_MAP,3,FALSE))</f>
        <v>not-provided</v>
      </c>
      <c r="J49" s="87" t="str">
        <f>'source-downstream'!J49</f>
        <v>No comments provided</v>
      </c>
      <c r="K49" s="71" t="str">
        <f>if('source-downstream'!K49="",'data-cleansing-maps'!$L$10,vlookup('source-downstream'!K49,RESILIENCE_OPTION_MAP,3,FALSE))</f>
        <v>not-provided</v>
      </c>
      <c r="L49" s="87" t="str">
        <f>'source-downstream'!L49</f>
        <v/>
      </c>
      <c r="M49" s="66" t="str">
        <f>if('source-downstream'!M49="",'schema-rv-services'!$B$26,vlookup(vlookup('source-downstream'!$M49,'analysis-rv-services'!$C:$E,3,FALSE),'schema-rv-services'!$A:$B,2, FALSE))</f>
        <v>waste-collection</v>
      </c>
      <c r="N49" s="71"/>
    </row>
    <row r="50" ht="15.75" customHeight="1">
      <c r="A50" s="86" t="str">
        <f>Substitute(SUBSTITUTE(substitute(substitute(substitute(substitute(substitute(substitute(substitute(lower('source-downstream'!A50)," ","-"),"(",""),")",""),"&gt;",""),"&lt;",""),"---","-"),".","-"),"--","-"),"&amp;","-and-")</f>
        <v>spotted-koala</v>
      </c>
      <c r="B50" s="86" t="str">
        <f>Substitute(SUBSTITUTE(substitute(substitute(substitute(substitute(substitute(substitute(substitute(lower('source-downstream'!B50)," ","-"),"(",""),")",""),"&gt;",""),"&lt;",""),"---","-"),".","-"),"--","-"),"&amp;","-and-")</f>
        <v>brave-bush-stone-curlew</v>
      </c>
      <c r="C50" s="71" t="str">
        <f>if('source-downstream'!C50="",'schema-frequency'!$B$11,vlookup('source-downstream'!C50,FREQUENCY_MAP, 3, FALSE))</f>
        <v>not-provided</v>
      </c>
      <c r="D50" s="87" t="str">
        <f>'source-downstream'!D50</f>
        <v>Not provided</v>
      </c>
      <c r="E50" s="66" t="str">
        <f>if('source-downstream'!E50="",'schema-geographic-dependency'!$B$5, vlookup('source-downstream'!E50,'schema-geographic-dependency'!A:B,2,FALSE))</f>
        <v>not-provided</v>
      </c>
      <c r="F50" s="71" t="str">
        <f>if('source-downstream'!F50="",'schema-yn'!$A$5,vlookup('source-downstream'!F50,YN_MAP,3,FALSE))</f>
        <v>not-provided</v>
      </c>
      <c r="G50" s="87" t="str">
        <f>'source-downstream'!G50</f>
        <v>Not provided</v>
      </c>
      <c r="H50" s="71" t="str">
        <f>'source-downstream'!H50</f>
        <v/>
      </c>
      <c r="I50" s="71" t="str">
        <f>if('source-downstream'!I50="",'schema-yn'!$A$5,vlookup('source-downstream'!I50,YN_MAP,3,FALSE))</f>
        <v>not-provided</v>
      </c>
      <c r="J50" s="87" t="str">
        <f>'source-downstream'!J50</f>
        <v>No comments provided</v>
      </c>
      <c r="K50" s="71" t="str">
        <f>if('source-downstream'!K50="",'data-cleansing-maps'!$L$10,vlookup('source-downstream'!K50,RESILIENCE_OPTION_MAP,3,FALSE))</f>
        <v>not-provided</v>
      </c>
      <c r="L50" s="87" t="str">
        <f>'source-downstream'!L50</f>
        <v/>
      </c>
      <c r="M50" s="66" t="str">
        <f>if('source-downstream'!M50="",'schema-rv-services'!$B$26,vlookup(vlookup('source-downstream'!$M50,'analysis-rv-services'!$C:$E,3,FALSE),'schema-rv-services'!$A:$B,2, FALSE))</f>
        <v>waste-collection</v>
      </c>
      <c r="N50" s="71"/>
    </row>
    <row r="51" ht="15.75" customHeight="1">
      <c r="A51" s="86" t="str">
        <f>Substitute(SUBSTITUTE(substitute(substitute(substitute(substitute(substitute(substitute(substitute(lower('source-downstream'!A51)," ","-"),"(",""),")",""),"&gt;",""),"&lt;",""),"---","-"),".","-"),"--","-"),"&amp;","-and-")</f>
        <v>spotted-koala</v>
      </c>
      <c r="B51" s="86" t="str">
        <f>Substitute(SUBSTITUTE(substitute(substitute(substitute(substitute(substitute(substitute(substitute(lower('source-downstream'!B51)," ","-"),"(",""),")",""),"&gt;",""),"&lt;",""),"---","-"),".","-"),"--","-"),"&amp;","-and-")</f>
        <v>red-australian-magpie</v>
      </c>
      <c r="C51" s="71" t="str">
        <f>if('source-downstream'!C51="",'schema-frequency'!$B$11,vlookup('source-downstream'!C51,FREQUENCY_MAP, 3, FALSE))</f>
        <v>not-provided</v>
      </c>
      <c r="D51" s="87" t="str">
        <f>'source-downstream'!D51</f>
        <v>Not provided</v>
      </c>
      <c r="E51" s="66" t="str">
        <f>if('source-downstream'!E51="",'schema-geographic-dependency'!$B$5, vlookup('source-downstream'!E51,'schema-geographic-dependency'!A:B,2,FALSE))</f>
        <v>not-provided</v>
      </c>
      <c r="F51" s="71" t="str">
        <f>if('source-downstream'!F51="",'schema-yn'!$A$5,vlookup('source-downstream'!F51,YN_MAP,3,FALSE))</f>
        <v>not-provided</v>
      </c>
      <c r="G51" s="87" t="str">
        <f>'source-downstream'!G51</f>
        <v>Not provided</v>
      </c>
      <c r="H51" s="71" t="str">
        <f>'source-downstream'!H51</f>
        <v/>
      </c>
      <c r="I51" s="71" t="str">
        <f>if('source-downstream'!I51="",'schema-yn'!$A$5,vlookup('source-downstream'!I51,YN_MAP,3,FALSE))</f>
        <v>not-provided</v>
      </c>
      <c r="J51" s="87" t="str">
        <f>'source-downstream'!J51</f>
        <v>No comments provided</v>
      </c>
      <c r="K51" s="71" t="str">
        <f>if('source-downstream'!K51="",'data-cleansing-maps'!$L$10,vlookup('source-downstream'!K51,RESILIENCE_OPTION_MAP,3,FALSE))</f>
        <v>not-provided</v>
      </c>
      <c r="L51" s="87" t="str">
        <f>'source-downstream'!L51</f>
        <v/>
      </c>
      <c r="M51" s="66" t="str">
        <f>if('source-downstream'!M51="",'schema-rv-services'!$B$26,vlookup(vlookup('source-downstream'!$M51,'analysis-rv-services'!$C:$E,3,FALSE),'schema-rv-services'!$A:$B,2, FALSE))</f>
        <v>waste-collection</v>
      </c>
      <c r="N51" s="71"/>
    </row>
    <row r="52" ht="15.75" customHeight="1">
      <c r="A52" s="86" t="str">
        <f>Substitute(SUBSTITUTE(substitute(substitute(substitute(substitute(substitute(substitute(substitute(lower('source-downstream'!A52)," ","-"),"(",""),")",""),"&gt;",""),"&lt;",""),"---","-"),".","-"),"--","-"),"&amp;","-and-")</f>
        <v>spotted-koala</v>
      </c>
      <c r="B52" s="86" t="str">
        <f>Substitute(SUBSTITUTE(substitute(substitute(substitute(substitute(substitute(substitute(substitute(lower('source-downstream'!B52)," ","-"),"(",""),")",""),"&gt;",""),"&lt;",""),"---","-"),".","-"),"--","-"),"&amp;","-and-")</f>
        <v>brave-cockatoo</v>
      </c>
      <c r="C52" s="71" t="str">
        <f>if('source-downstream'!C52="",'schema-frequency'!$B$11,vlookup('source-downstream'!C52,FREQUENCY_MAP, 3, FALSE))</f>
        <v>not-provided</v>
      </c>
      <c r="D52" s="87" t="str">
        <f>'source-downstream'!D52</f>
        <v>Not provided</v>
      </c>
      <c r="E52" s="66" t="str">
        <f>if('source-downstream'!E52="",'schema-geographic-dependency'!$B$5, vlookup('source-downstream'!E52,'schema-geographic-dependency'!A:B,2,FALSE))</f>
        <v>not-provided</v>
      </c>
      <c r="F52" s="71" t="str">
        <f>if('source-downstream'!F52="",'schema-yn'!$A$5,vlookup('source-downstream'!F52,YN_MAP,3,FALSE))</f>
        <v>not-provided</v>
      </c>
      <c r="G52" s="87" t="str">
        <f>'source-downstream'!G52</f>
        <v>Not provided</v>
      </c>
      <c r="H52" s="71" t="str">
        <f>'source-downstream'!H52</f>
        <v/>
      </c>
      <c r="I52" s="71" t="str">
        <f>if('source-downstream'!I52="",'schema-yn'!$A$5,vlookup('source-downstream'!I52,YN_MAP,3,FALSE))</f>
        <v>not-provided</v>
      </c>
      <c r="J52" s="87" t="str">
        <f>'source-downstream'!J52</f>
        <v>No comments provided</v>
      </c>
      <c r="K52" s="71" t="str">
        <f>if('source-downstream'!K52="",'data-cleansing-maps'!$L$10,vlookup('source-downstream'!K52,RESILIENCE_OPTION_MAP,3,FALSE))</f>
        <v>not-provided</v>
      </c>
      <c r="L52" s="87" t="str">
        <f>'source-downstream'!L52</f>
        <v/>
      </c>
      <c r="M52" s="66" t="str">
        <f>if('source-downstream'!M52="",'schema-rv-services'!$B$26,vlookup(vlookup('source-downstream'!$M52,'analysis-rv-services'!$C:$E,3,FALSE),'schema-rv-services'!$A:$B,2, FALSE))</f>
        <v>waste-collection</v>
      </c>
      <c r="N52" s="71"/>
    </row>
    <row r="53" ht="15.75" customHeight="1">
      <c r="A53" s="86" t="str">
        <f>Substitute(SUBSTITUTE(substitute(substitute(substitute(substitute(substitute(substitute(substitute(lower('source-downstream'!A53)," ","-"),"(",""),")",""),"&gt;",""),"&lt;",""),"---","-"),".","-"),"--","-"),"&amp;","-and-")</f>
        <v>spotted-koala</v>
      </c>
      <c r="B53" s="86" t="str">
        <f>Substitute(SUBSTITUTE(substitute(substitute(substitute(substitute(substitute(substitute(substitute(lower('source-downstream'!B53)," ","-"),"(",""),")",""),"&gt;",""),"&lt;",""),"---","-"),".","-"),"--","-"),"&amp;","-and-")</f>
        <v>shy-blue-tongue-skink</v>
      </c>
      <c r="C53" s="71" t="str">
        <f>if('source-downstream'!C53="",'schema-frequency'!$B$11,vlookup('source-downstream'!C53,FREQUENCY_MAP, 3, FALSE))</f>
        <v>not-provided</v>
      </c>
      <c r="D53" s="87" t="str">
        <f>'source-downstream'!D53</f>
        <v>Not provided</v>
      </c>
      <c r="E53" s="66" t="str">
        <f>if('source-downstream'!E53="",'schema-geographic-dependency'!$B$5, vlookup('source-downstream'!E53,'schema-geographic-dependency'!A:B,2,FALSE))</f>
        <v>not-provided</v>
      </c>
      <c r="F53" s="71" t="str">
        <f>if('source-downstream'!F53="",'schema-yn'!$A$5,vlookup('source-downstream'!F53,YN_MAP,3,FALSE))</f>
        <v>not-provided</v>
      </c>
      <c r="G53" s="87" t="str">
        <f>'source-downstream'!G53</f>
        <v>Not provided</v>
      </c>
      <c r="H53" s="71" t="str">
        <f>'source-downstream'!H53</f>
        <v/>
      </c>
      <c r="I53" s="71" t="str">
        <f>if('source-downstream'!I53="",'schema-yn'!$A$5,vlookup('source-downstream'!I53,YN_MAP,3,FALSE))</f>
        <v>not-provided</v>
      </c>
      <c r="J53" s="87" t="str">
        <f>'source-downstream'!J53</f>
        <v>No comments provided</v>
      </c>
      <c r="K53" s="71" t="str">
        <f>if('source-downstream'!K53="",'data-cleansing-maps'!$L$10,vlookup('source-downstream'!K53,RESILIENCE_OPTION_MAP,3,FALSE))</f>
        <v>not-provided</v>
      </c>
      <c r="L53" s="87" t="str">
        <f>'source-downstream'!L53</f>
        <v/>
      </c>
      <c r="M53" s="66" t="str">
        <f>if('source-downstream'!M53="",'schema-rv-services'!$B$26,vlookup(vlookup('source-downstream'!$M53,'analysis-rv-services'!$C:$E,3,FALSE),'schema-rv-services'!$A:$B,2, FALSE))</f>
        <v>waste-collection</v>
      </c>
      <c r="N53" s="71"/>
    </row>
    <row r="54" ht="15.75" customHeight="1">
      <c r="A54" s="86" t="str">
        <f>Substitute(SUBSTITUTE(substitute(substitute(substitute(substitute(substitute(substitute(substitute(lower('source-downstream'!A54)," ","-"),"(",""),")",""),"&gt;",""),"&lt;",""),"---","-"),".","-"),"--","-"),"&amp;","-and-")</f>
        <v>striped-frilled-neck-lizard</v>
      </c>
      <c r="B54" s="86" t="str">
        <f>Substitute(SUBSTITUTE(substitute(substitute(substitute(substitute(substitute(substitute(substitute(lower('source-downstream'!B54)," ","-"),"(",""),")",""),"&gt;",""),"&lt;",""),"---","-"),".","-"),"--","-"),"&amp;","-and-")</f>
        <v>noisy-dingo</v>
      </c>
      <c r="C54" s="71" t="str">
        <f>if('source-downstream'!C54="",'schema-frequency'!$B$11,vlookup('source-downstream'!C54,FREQUENCY_MAP, 3, FALSE))</f>
        <v>not-provided</v>
      </c>
      <c r="D54" s="87" t="str">
        <f>'source-downstream'!D54</f>
        <v>Provision of mill ready processed ferrous scrap metal on a month-to-month basis. No contractual arrangements are in place.</v>
      </c>
      <c r="E54" s="66" t="str">
        <f>if('source-downstream'!E54="",'schema-geographic-dependency'!$B$5, vlookup('source-downstream'!E54,'schema-geographic-dependency'!A:B,2,FALSE))</f>
        <v>same-region</v>
      </c>
      <c r="F54" s="71" t="str">
        <f>if('source-downstream'!F54="",'schema-yn'!$A$5,vlookup('source-downstream'!F54,YN_MAP,3,FALSE))</f>
        <v>no</v>
      </c>
      <c r="G54" s="87" t="str">
        <f>'source-downstream'!G54</f>
        <v>Yes. Noisy Dingo  has supply arrangements with a number of other Victorian based metal recyclers and is also able to import processed ferrous scrap from multiple other suppliers in Victoria, interstate and overseas.</v>
      </c>
      <c r="H54" s="71" t="str">
        <f>'source-downstream'!H54</f>
        <v>["noisy-dingo"]</v>
      </c>
      <c r="I54" s="71" t="str">
        <f>if('source-downstream'!I54="",'schema-yn'!$A$5,vlookup('source-downstream'!I54,YN_MAP,3,FALSE))</f>
        <v>yes</v>
      </c>
      <c r="J54" s="87" t="str">
        <f>'source-downstream'!J54</f>
        <v/>
      </c>
      <c r="K54" s="71" t="str">
        <f>if('source-downstream'!K54="",'data-cleansing-maps'!$L$10,vlookup('source-downstream'!K54,RESILIENCE_OPTION_MAP,3,FALSE))</f>
        <v>not-provided</v>
      </c>
      <c r="L54" s="87" t="str">
        <f>'source-downstream'!L54</f>
        <v/>
      </c>
      <c r="M54" s="66" t="str">
        <f>if('source-downstream'!M54="",'schema-rv-services'!$B$26,vlookup(vlookup('source-downstream'!$M54,'analysis-rv-services'!$C:$E,3,FALSE),'schema-rv-services'!$A:$B,2, FALSE))</f>
        <v>feedstock</v>
      </c>
      <c r="N54" s="71"/>
    </row>
    <row r="55" ht="15.75" customHeight="1">
      <c r="A55" s="86" t="str">
        <f>Substitute(SUBSTITUTE(substitute(substitute(substitute(substitute(substitute(substitute(substitute(lower('source-downstream'!A55)," ","-"),"(",""),")",""),"&gt;",""),"&lt;",""),"---","-"),".","-"),"--","-"),"&amp;","-and-")</f>
        <v>striped-koala</v>
      </c>
      <c r="B55" s="86" t="str">
        <f>Substitute(SUBSTITUTE(substitute(substitute(substitute(substitute(substitute(substitute(substitute(lower('source-downstream'!B55)," ","-"),"(",""),")",""),"&gt;",""),"&lt;",""),"---","-"),".","-"),"--","-"),"&amp;","-and-")</f>
        <v>silent-rosella</v>
      </c>
      <c r="C55" s="71" t="str">
        <f>if('source-downstream'!C55="",'schema-frequency'!$B$11,vlookup('source-downstream'!C55,FREQUENCY_MAP, 3, FALSE))</f>
        <v>not-provided</v>
      </c>
      <c r="D55" s="87" t="str">
        <f>'source-downstream'!D55</f>
        <v>Waste service-processing</v>
      </c>
      <c r="E55" s="66" t="str">
        <f>if('source-downstream'!E55="",'schema-geographic-dependency'!$B$5, vlookup('source-downstream'!E55,'schema-geographic-dependency'!A:B,2,FALSE))</f>
        <v>not-provided</v>
      </c>
      <c r="F55" s="71" t="str">
        <f>if('source-downstream'!F55="",'schema-yn'!$A$5,vlookup('source-downstream'!F55,YN_MAP,3,FALSE))</f>
        <v>not-provided</v>
      </c>
      <c r="G55" s="87" t="str">
        <f>'source-downstream'!G55</f>
        <v>Alternative disposal option will need to be sourced.</v>
      </c>
      <c r="H55" s="71" t="str">
        <f>'source-downstream'!H55</f>
        <v/>
      </c>
      <c r="I55" s="71" t="str">
        <f>if('source-downstream'!I55="",'schema-yn'!$A$5,vlookup('source-downstream'!I55,YN_MAP,3,FALSE))</f>
        <v>not-provided</v>
      </c>
      <c r="J55" s="87" t="str">
        <f>'source-downstream'!J55</f>
        <v/>
      </c>
      <c r="K55" s="71" t="str">
        <f>if('source-downstream'!K55="",'data-cleansing-maps'!$L$10,vlookup('source-downstream'!K55,RESILIENCE_OPTION_MAP,3,FALSE))</f>
        <v>not-provided</v>
      </c>
      <c r="L55" s="87" t="str">
        <f>'source-downstream'!L55</f>
        <v/>
      </c>
      <c r="M55" s="66" t="str">
        <f>if('source-downstream'!M55="",'schema-rv-services'!$B$26,vlookup(vlookup('source-downstream'!$M55,'analysis-rv-services'!$C:$E,3,FALSE),'schema-rv-services'!$A:$B,2, FALSE))</f>
        <v>waste-processing</v>
      </c>
      <c r="N55" s="71"/>
    </row>
    <row r="56" ht="15.75" customHeight="1">
      <c r="A56" s="86" t="str">
        <f>Substitute(SUBSTITUTE(substitute(substitute(substitute(substitute(substitute(substitute(substitute(lower('source-downstream'!A56)," ","-"),"(",""),")",""),"&gt;",""),"&lt;",""),"---","-"),".","-"),"--","-"),"&amp;","-and-")</f>
        <v>swift-blue-tongue-skink</v>
      </c>
      <c r="B56" s="86" t="str">
        <f>Substitute(SUBSTITUTE(substitute(substitute(substitute(substitute(substitute(substitute(substitute(lower('source-downstream'!B56)," ","-"),"(",""),")",""),"&gt;",""),"&lt;",""),"---","-"),".","-"),"--","-"),"&amp;","-and-")</f>
        <v>wild-possum</v>
      </c>
      <c r="C56" s="71" t="str">
        <f>if('source-downstream'!C56="",'schema-frequency'!$B$11,vlookup('source-downstream'!C56,FREQUENCY_MAP, 3, FALSE))</f>
        <v>not-provided</v>
      </c>
      <c r="D56" s="87" t="str">
        <f>'source-downstream'!D56</f>
        <v>Not provided</v>
      </c>
      <c r="E56" s="66" t="str">
        <f>if('source-downstream'!E56="",'schema-geographic-dependency'!$B$5, vlookup('source-downstream'!E56,'schema-geographic-dependency'!A:B,2,FALSE))</f>
        <v>not-provided</v>
      </c>
      <c r="F56" s="71" t="str">
        <f>if('source-downstream'!F56="",'schema-yn'!$A$5,vlookup('source-downstream'!F56,YN_MAP,3,FALSE))</f>
        <v>not-provided</v>
      </c>
      <c r="G56" s="87" t="str">
        <f>'source-downstream'!G56</f>
        <v>Not provided</v>
      </c>
      <c r="H56" s="71" t="str">
        <f>'source-downstream'!H56</f>
        <v/>
      </c>
      <c r="I56" s="71" t="str">
        <f>if('source-downstream'!I56="",'schema-yn'!$A$5,vlookup('source-downstream'!I56,YN_MAP,3,FALSE))</f>
        <v>not-provided</v>
      </c>
      <c r="J56" s="87" t="str">
        <f>'source-downstream'!J56</f>
        <v>No comments provided</v>
      </c>
      <c r="K56" s="71" t="str">
        <f>if('source-downstream'!K56="",'data-cleansing-maps'!$L$10,vlookup('source-downstream'!K56,RESILIENCE_OPTION_MAP,3,FALSE))</f>
        <v>not-provided</v>
      </c>
      <c r="L56" s="87" t="str">
        <f>'source-downstream'!L56</f>
        <v>Entity B</v>
      </c>
      <c r="M56" s="66" t="str">
        <f>if('source-downstream'!M56="",'schema-rv-services'!$B$26,vlookup(vlookup('source-downstream'!$M56,'analysis-rv-services'!$C:$E,3,FALSE),'schema-rv-services'!$A:$B,2, FALSE))</f>
        <v>transport</v>
      </c>
      <c r="N56" s="71"/>
    </row>
    <row r="57" ht="15.75" customHeight="1">
      <c r="A57" s="86" t="str">
        <f>Substitute(SUBSTITUTE(substitute(substitute(substitute(substitute(substitute(substitute(substitute(lower('source-downstream'!A57)," ","-"),"(",""),")",""),"&gt;",""),"&lt;",""),"---","-"),".","-"),"--","-"),"&amp;","-and-")</f>
        <v>swift-blue-tongue-skink</v>
      </c>
      <c r="B57" s="86" t="str">
        <f>Substitute(SUBSTITUTE(substitute(substitute(substitute(substitute(substitute(substitute(substitute(lower('source-downstream'!B57)," ","-"),"(",""),")",""),"&gt;",""),"&lt;",""),"---","-"),".","-"),"--","-"),"&amp;","-and-")</f>
        <v>fuzzy-sugar-glider</v>
      </c>
      <c r="C57" s="71" t="str">
        <f>if('source-downstream'!C57="",'schema-frequency'!$B$11,vlookup('source-downstream'!C57,FREQUENCY_MAP, 3, FALSE))</f>
        <v>not-provided</v>
      </c>
      <c r="D57" s="87" t="str">
        <f>'source-downstream'!D57</f>
        <v>Not provided</v>
      </c>
      <c r="E57" s="66" t="str">
        <f>if('source-downstream'!E57="",'schema-geographic-dependency'!$B$5, vlookup('source-downstream'!E57,'schema-geographic-dependency'!A:B,2,FALSE))</f>
        <v>not-provided</v>
      </c>
      <c r="F57" s="71" t="str">
        <f>if('source-downstream'!F57="",'schema-yn'!$A$5,vlookup('source-downstream'!F57,YN_MAP,3,FALSE))</f>
        <v>not-provided</v>
      </c>
      <c r="G57" s="87" t="str">
        <f>'source-downstream'!G57</f>
        <v>Not provided</v>
      </c>
      <c r="H57" s="71" t="str">
        <f>'source-downstream'!H57</f>
        <v/>
      </c>
      <c r="I57" s="71" t="str">
        <f>if('source-downstream'!I57="",'schema-yn'!$A$5,vlookup('source-downstream'!I57,YN_MAP,3,FALSE))</f>
        <v>not-provided</v>
      </c>
      <c r="J57" s="87" t="str">
        <f>'source-downstream'!J57</f>
        <v>No comments provided</v>
      </c>
      <c r="K57" s="71" t="str">
        <f>if('source-downstream'!K57="",'data-cleansing-maps'!$L$10,vlookup('source-downstream'!K57,RESILIENCE_OPTION_MAP,3,FALSE))</f>
        <v>not-provided</v>
      </c>
      <c r="L57" s="87" t="str">
        <f>'source-downstream'!L57</f>
        <v>Fuzzy Sugar Glider</v>
      </c>
      <c r="M57" s="66" t="str">
        <f>if('source-downstream'!M57="",'schema-rv-services'!$B$26,vlookup(vlookup('source-downstream'!$M57,'analysis-rv-services'!$C:$E,3,FALSE),'schema-rv-services'!$A:$B,2, FALSE))</f>
        <v>transport</v>
      </c>
      <c r="N57" s="71"/>
    </row>
    <row r="58" ht="15.75" customHeight="1">
      <c r="A58" s="86" t="str">
        <f>Substitute(SUBSTITUTE(substitute(substitute(substitute(substitute(substitute(substitute(substitute(lower('source-downstream'!A58)," ","-"),"(",""),")",""),"&gt;",""),"&lt;",""),"---","-"),".","-"),"--","-"),"&amp;","-and-")</f>
        <v>swift-blue-tongue-skink</v>
      </c>
      <c r="B58" s="86" t="str">
        <f>Substitute(SUBSTITUTE(substitute(substitute(substitute(substitute(substitute(substitute(substitute(lower('source-downstream'!B58)," ","-"),"(",""),")",""),"&gt;",""),"&lt;",""),"---","-"),".","-"),"--","-"),"&amp;","-and-")</f>
        <v>spotted-bush-stone-curlew</v>
      </c>
      <c r="C58" s="71" t="str">
        <f>if('source-downstream'!C58="",'schema-frequency'!$B$11,vlookup('source-downstream'!C58,FREQUENCY_MAP, 3, FALSE))</f>
        <v>not-provided</v>
      </c>
      <c r="D58" s="87" t="str">
        <f>'source-downstream'!D58</f>
        <v>Not provided</v>
      </c>
      <c r="E58" s="66" t="str">
        <f>if('source-downstream'!E58="",'schema-geographic-dependency'!$B$5, vlookup('source-downstream'!E58,'schema-geographic-dependency'!A:B,2,FALSE))</f>
        <v>not-provided</v>
      </c>
      <c r="F58" s="71" t="str">
        <f>if('source-downstream'!F58="",'schema-yn'!$A$5,vlookup('source-downstream'!F58,YN_MAP,3,FALSE))</f>
        <v>not-provided</v>
      </c>
      <c r="G58" s="87" t="str">
        <f>'source-downstream'!G58</f>
        <v>Not provided</v>
      </c>
      <c r="H58" s="71" t="str">
        <f>'source-downstream'!H58</f>
        <v/>
      </c>
      <c r="I58" s="71" t="str">
        <f>if('source-downstream'!I58="",'schema-yn'!$A$5,vlookup('source-downstream'!I58,YN_MAP,3,FALSE))</f>
        <v>not-provided</v>
      </c>
      <c r="J58" s="87" t="str">
        <f>'source-downstream'!J58</f>
        <v>No comments provided</v>
      </c>
      <c r="K58" s="71" t="str">
        <f>if('source-downstream'!K58="",'data-cleansing-maps'!$L$10,vlookup('source-downstream'!K58,RESILIENCE_OPTION_MAP,3,FALSE))</f>
        <v>not-provided</v>
      </c>
      <c r="L58" s="87" t="str">
        <f>'source-downstream'!L58</f>
        <v/>
      </c>
      <c r="M58" s="66" t="str">
        <f>if('source-downstream'!M58="",'schema-rv-services'!$B$26,vlookup(vlookup('source-downstream'!$M58,'analysis-rv-services'!$C:$E,3,FALSE),'schema-rv-services'!$A:$B,2, FALSE))</f>
        <v>transport</v>
      </c>
      <c r="N58" s="71"/>
    </row>
    <row r="59" ht="15.75" customHeight="1">
      <c r="A59" s="86" t="str">
        <f>Substitute(SUBSTITUTE(substitute(substitute(substitute(substitute(substitute(substitute(substitute(lower('source-downstream'!A59)," ","-"),"(",""),")",""),"&gt;",""),"&lt;",""),"---","-"),".","-"),"--","-"),"&amp;","-and-")</f>
        <v>swift-blue-tongue-skink</v>
      </c>
      <c r="B59" s="86" t="str">
        <f>Substitute(SUBSTITUTE(substitute(substitute(substitute(substitute(substitute(substitute(substitute(lower('source-downstream'!B59)," ","-"),"(",""),")",""),"&gt;",""),"&lt;",""),"---","-"),".","-"),"--","-"),"&amp;","-and-")</f>
        <v>fuzzy-sugar-glider</v>
      </c>
      <c r="C59" s="71" t="str">
        <f>if('source-downstream'!C59="",'schema-frequency'!$B$11,vlookup('source-downstream'!C59,FREQUENCY_MAP, 3, FALSE))</f>
        <v>not-provided</v>
      </c>
      <c r="D59" s="87" t="str">
        <f>'source-downstream'!D59</f>
        <v>Not provided</v>
      </c>
      <c r="E59" s="66" t="str">
        <f>if('source-downstream'!E59="",'schema-geographic-dependency'!$B$5, vlookup('source-downstream'!E59,'schema-geographic-dependency'!A:B,2,FALSE))</f>
        <v>not-provided</v>
      </c>
      <c r="F59" s="71" t="str">
        <f>if('source-downstream'!F59="",'schema-yn'!$A$5,vlookup('source-downstream'!F59,YN_MAP,3,FALSE))</f>
        <v>not-provided</v>
      </c>
      <c r="G59" s="87" t="str">
        <f>'source-downstream'!G59</f>
        <v>Not provided</v>
      </c>
      <c r="H59" s="71" t="str">
        <f>'source-downstream'!H59</f>
        <v/>
      </c>
      <c r="I59" s="71" t="str">
        <f>if('source-downstream'!I59="",'schema-yn'!$A$5,vlookup('source-downstream'!I59,YN_MAP,3,FALSE))</f>
        <v>not-provided</v>
      </c>
      <c r="J59" s="87" t="str">
        <f>'source-downstream'!J59</f>
        <v>No comments provided</v>
      </c>
      <c r="K59" s="71" t="str">
        <f>if('source-downstream'!K59="",'data-cleansing-maps'!$L$10,vlookup('source-downstream'!K59,RESILIENCE_OPTION_MAP,3,FALSE))</f>
        <v>not-provided</v>
      </c>
      <c r="L59" s="87" t="str">
        <f>'source-downstream'!L59</f>
        <v>SEOF</v>
      </c>
      <c r="M59" s="66" t="str">
        <f>if('source-downstream'!M59="",'schema-rv-services'!$B$26,vlookup(vlookup('source-downstream'!$M59,'analysis-rv-services'!$C:$E,3,FALSE),'schema-rv-services'!$A:$B,2, FALSE))</f>
        <v>transport</v>
      </c>
      <c r="N59" s="71"/>
    </row>
    <row r="60" ht="15.75" customHeight="1">
      <c r="A60" s="86" t="str">
        <f>Substitute(SUBSTITUTE(substitute(substitute(substitute(substitute(substitute(substitute(substitute(lower('source-downstream'!A60)," ","-"),"(",""),")",""),"&gt;",""),"&lt;",""),"---","-"),".","-"),"--","-"),"&amp;","-and-")</f>
        <v>swift-blue-tongue-skink</v>
      </c>
      <c r="B60" s="86" t="str">
        <f>Substitute(SUBSTITUTE(substitute(substitute(substitute(substitute(substitute(substitute(substitute(lower('source-downstream'!B60)," ","-"),"(",""),")",""),"&gt;",""),"&lt;",""),"---","-"),".","-"),"--","-"),"&amp;","-and-")</f>
        <v>wild-kangaroo</v>
      </c>
      <c r="C60" s="71" t="str">
        <f>if('source-downstream'!C60="",'schema-frequency'!$B$11,vlookup('source-downstream'!C60,FREQUENCY_MAP, 3, FALSE))</f>
        <v>not-provided</v>
      </c>
      <c r="D60" s="87" t="str">
        <f>'source-downstream'!D60</f>
        <v>Not provided</v>
      </c>
      <c r="E60" s="66" t="str">
        <f>if('source-downstream'!E60="",'schema-geographic-dependency'!$B$5, vlookup('source-downstream'!E60,'schema-geographic-dependency'!A:B,2,FALSE))</f>
        <v>not-provided</v>
      </c>
      <c r="F60" s="71" t="str">
        <f>if('source-downstream'!F60="",'schema-yn'!$A$5,vlookup('source-downstream'!F60,YN_MAP,3,FALSE))</f>
        <v>not-provided</v>
      </c>
      <c r="G60" s="87" t="str">
        <f>'source-downstream'!G60</f>
        <v>Not provided</v>
      </c>
      <c r="H60" s="71" t="str">
        <f>'source-downstream'!H60</f>
        <v/>
      </c>
      <c r="I60" s="71" t="str">
        <f>if('source-downstream'!I60="",'schema-yn'!$A$5,vlookup('source-downstream'!I60,YN_MAP,3,FALSE))</f>
        <v>not-provided</v>
      </c>
      <c r="J60" s="87" t="str">
        <f>'source-downstream'!J60</f>
        <v>No comments provided</v>
      </c>
      <c r="K60" s="71" t="str">
        <f>if('source-downstream'!K60="",'data-cleansing-maps'!$L$10,vlookup('source-downstream'!K60,RESILIENCE_OPTION_MAP,3,FALSE))</f>
        <v>not-provided</v>
      </c>
      <c r="L60" s="87" t="str">
        <f>'source-downstream'!L60</f>
        <v/>
      </c>
      <c r="M60" s="66" t="str">
        <f>if('source-downstream'!M60="",'schema-rv-services'!$B$26,vlookup(vlookup('source-downstream'!$M60,'analysis-rv-services'!$C:$E,3,FALSE),'schema-rv-services'!$A:$B,2, FALSE))</f>
        <v>transport</v>
      </c>
      <c r="N60" s="71"/>
    </row>
    <row r="61" ht="15.75" customHeight="1">
      <c r="A61" s="86" t="str">
        <f>Substitute(SUBSTITUTE(substitute(substitute(substitute(substitute(substitute(substitute(substitute(lower('source-downstream'!A61)," ","-"),"(",""),")",""),"&gt;",""),"&lt;",""),"---","-"),".","-"),"--","-"),"&amp;","-and-")</f>
        <v>swift-blue-tongue-skink</v>
      </c>
      <c r="B61" s="86" t="str">
        <f>Substitute(SUBSTITUTE(substitute(substitute(substitute(substitute(substitute(substitute(substitute(lower('source-downstream'!B61)," ","-"),"(",""),")",""),"&gt;",""),"&lt;",""),"---","-"),".","-"),"--","-"),"&amp;","-and-")</f>
        <v>clever-frilled-neck-lizard</v>
      </c>
      <c r="C61" s="71" t="str">
        <f>if('source-downstream'!C61="",'schema-frequency'!$B$11,vlookup('source-downstream'!C61,FREQUENCY_MAP, 3, FALSE))</f>
        <v>not-provided</v>
      </c>
      <c r="D61" s="87" t="str">
        <f>'source-downstream'!D61</f>
        <v>Not provided</v>
      </c>
      <c r="E61" s="66" t="str">
        <f>if('source-downstream'!E61="",'schema-geographic-dependency'!$B$5, vlookup('source-downstream'!E61,'schema-geographic-dependency'!A:B,2,FALSE))</f>
        <v>not-provided</v>
      </c>
      <c r="F61" s="71" t="str">
        <f>if('source-downstream'!F61="",'schema-yn'!$A$5,vlookup('source-downstream'!F61,YN_MAP,3,FALSE))</f>
        <v>not-provided</v>
      </c>
      <c r="G61" s="87" t="str">
        <f>'source-downstream'!G61</f>
        <v>Not provided</v>
      </c>
      <c r="H61" s="71" t="str">
        <f>'source-downstream'!H61</f>
        <v/>
      </c>
      <c r="I61" s="71" t="str">
        <f>if('source-downstream'!I61="",'schema-yn'!$A$5,vlookup('source-downstream'!I61,YN_MAP,3,FALSE))</f>
        <v>not-provided</v>
      </c>
      <c r="J61" s="87" t="str">
        <f>'source-downstream'!J61</f>
        <v>No comments provided</v>
      </c>
      <c r="K61" s="71" t="str">
        <f>if('source-downstream'!K61="",'data-cleansing-maps'!$L$10,vlookup('source-downstream'!K61,RESILIENCE_OPTION_MAP,3,FALSE))</f>
        <v>not-provided</v>
      </c>
      <c r="L61" s="87" t="str">
        <f>'source-downstream'!L61</f>
        <v>Clever Frilled Neck Lizard</v>
      </c>
      <c r="M61" s="66" t="str">
        <f>if('source-downstream'!M61="",'schema-rv-services'!$B$26,vlookup(vlookup('source-downstream'!$M61,'analysis-rv-services'!$C:$E,3,FALSE),'schema-rv-services'!$A:$B,2, FALSE))</f>
        <v>transport</v>
      </c>
      <c r="N61" s="71"/>
    </row>
    <row r="62" ht="15.75" customHeight="1">
      <c r="A62" s="86" t="str">
        <f>Substitute(SUBSTITUTE(substitute(substitute(substitute(substitute(substitute(substitute(substitute(lower('source-downstream'!A62)," ","-"),"(",""),")",""),"&gt;",""),"&lt;",""),"---","-"),".","-"),"--","-"),"&amp;","-and-")</f>
        <v>swift-blue-tongue-skink</v>
      </c>
      <c r="B62" s="86" t="str">
        <f>Substitute(SUBSTITUTE(substitute(substitute(substitute(substitute(substitute(substitute(substitute(lower('source-downstream'!B62)," ","-"),"(",""),")",""),"&gt;",""),"&lt;",""),"---","-"),".","-"),"--","-"),"&amp;","-and-")</f>
        <v>yellow-australian-magpie</v>
      </c>
      <c r="C62" s="71" t="str">
        <f>if('source-downstream'!C62="",'schema-frequency'!$B$11,vlookup('source-downstream'!C62,FREQUENCY_MAP, 3, FALSE))</f>
        <v>not-provided</v>
      </c>
      <c r="D62" s="87" t="str">
        <f>'source-downstream'!D62</f>
        <v>Not provided</v>
      </c>
      <c r="E62" s="66" t="str">
        <f>if('source-downstream'!E62="",'schema-geographic-dependency'!$B$5, vlookup('source-downstream'!E62,'schema-geographic-dependency'!A:B,2,FALSE))</f>
        <v>not-provided</v>
      </c>
      <c r="F62" s="71" t="str">
        <f>if('source-downstream'!F62="",'schema-yn'!$A$5,vlookup('source-downstream'!F62,YN_MAP,3,FALSE))</f>
        <v>not-provided</v>
      </c>
      <c r="G62" s="87" t="str">
        <f>'source-downstream'!G62</f>
        <v>Not provided</v>
      </c>
      <c r="H62" s="71" t="str">
        <f>'source-downstream'!H62</f>
        <v/>
      </c>
      <c r="I62" s="71" t="str">
        <f>if('source-downstream'!I62="",'schema-yn'!$A$5,vlookup('source-downstream'!I62,YN_MAP,3,FALSE))</f>
        <v>not-provided</v>
      </c>
      <c r="J62" s="87" t="str">
        <f>'source-downstream'!J62</f>
        <v>No comments provided</v>
      </c>
      <c r="K62" s="71" t="str">
        <f>if('source-downstream'!K62="",'data-cleansing-maps'!$L$10,vlookup('source-downstream'!K62,RESILIENCE_OPTION_MAP,3,FALSE))</f>
        <v>not-provided</v>
      </c>
      <c r="L62" s="87" t="str">
        <f>'source-downstream'!L62</f>
        <v>Yellow Australian Magpie</v>
      </c>
      <c r="M62" s="66" t="str">
        <f>if('source-downstream'!M62="",'schema-rv-services'!$B$26,vlookup(vlookup('source-downstream'!$M62,'analysis-rv-services'!$C:$E,3,FALSE),'schema-rv-services'!$A:$B,2, FALSE))</f>
        <v>transport</v>
      </c>
      <c r="N62" s="71"/>
    </row>
    <row r="63" ht="15.75" customHeight="1">
      <c r="A63" s="86" t="str">
        <f>Substitute(SUBSTITUTE(substitute(substitute(substitute(substitute(substitute(substitute(substitute(lower('source-downstream'!A63)," ","-"),"(",""),")",""),"&gt;",""),"&lt;",""),"---","-"),".","-"),"--","-"),"&amp;","-and-")</f>
        <v>swift-blue-tongue-skink</v>
      </c>
      <c r="B63" s="86" t="str">
        <f>Substitute(SUBSTITUTE(substitute(substitute(substitute(substitute(substitute(substitute(substitute(lower('source-downstream'!B63)," ","-"),"(",""),")",""),"&gt;",""),"&lt;",""),"---","-"),".","-"),"--","-"),"&amp;","-and-")</f>
        <v>sleepy-kookaburra</v>
      </c>
      <c r="C63" s="71" t="str">
        <f>if('source-downstream'!C63="",'schema-frequency'!$B$11,vlookup('source-downstream'!C63,FREQUENCY_MAP, 3, FALSE))</f>
        <v>not-provided</v>
      </c>
      <c r="D63" s="87" t="str">
        <f>'source-downstream'!D63</f>
        <v>Not provided</v>
      </c>
      <c r="E63" s="66" t="str">
        <f>if('source-downstream'!E63="",'schema-geographic-dependency'!$B$5, vlookup('source-downstream'!E63,'schema-geographic-dependency'!A:B,2,FALSE))</f>
        <v>not-provided</v>
      </c>
      <c r="F63" s="71" t="str">
        <f>if('source-downstream'!F63="",'schema-yn'!$A$5,vlookup('source-downstream'!F63,YN_MAP,3,FALSE))</f>
        <v>not-provided</v>
      </c>
      <c r="G63" s="87" t="str">
        <f>'source-downstream'!G63</f>
        <v>Not provided</v>
      </c>
      <c r="H63" s="71" t="str">
        <f>'source-downstream'!H63</f>
        <v/>
      </c>
      <c r="I63" s="71" t="str">
        <f>if('source-downstream'!I63="",'schema-yn'!$A$5,vlookup('source-downstream'!I63,YN_MAP,3,FALSE))</f>
        <v>not-provided</v>
      </c>
      <c r="J63" s="87" t="str">
        <f>'source-downstream'!J63</f>
        <v>No comments provided</v>
      </c>
      <c r="K63" s="71" t="str">
        <f>if('source-downstream'!K63="",'data-cleansing-maps'!$L$10,vlookup('source-downstream'!K63,RESILIENCE_OPTION_MAP,3,FALSE))</f>
        <v>not-provided</v>
      </c>
      <c r="L63" s="87" t="str">
        <f>'source-downstream'!L63</f>
        <v/>
      </c>
      <c r="M63" s="66" t="str">
        <f>if('source-downstream'!M63="",'schema-rv-services'!$B$26,vlookup(vlookup('source-downstream'!$M63,'analysis-rv-services'!$C:$E,3,FALSE),'schema-rv-services'!$A:$B,2, FALSE))</f>
        <v>transport</v>
      </c>
      <c r="N63" s="71"/>
    </row>
    <row r="64" ht="15.75" customHeight="1">
      <c r="A64" s="86" t="str">
        <f>Substitute(SUBSTITUTE(substitute(substitute(substitute(substitute(substitute(substitute(substitute(lower('source-downstream'!A64)," ","-"),"(",""),")",""),"&gt;",""),"&lt;",""),"---","-"),".","-"),"--","-"),"&amp;","-and-")</f>
        <v>swift-blue-tongue-skink</v>
      </c>
      <c r="B64" s="86" t="str">
        <f>Substitute(SUBSTITUTE(substitute(substitute(substitute(substitute(substitute(substitute(substitute(lower('source-downstream'!B64)," ","-"),"(",""),")",""),"&gt;",""),"&lt;",""),"---","-"),".","-"),"--","-"),"&amp;","-and-")</f>
        <v>brave-tasmanian-devil</v>
      </c>
      <c r="C64" s="71" t="str">
        <f>if('source-downstream'!C64="",'schema-frequency'!$B$11,vlookup('source-downstream'!C64,FREQUENCY_MAP, 3, FALSE))</f>
        <v>not-provided</v>
      </c>
      <c r="D64" s="87" t="str">
        <f>'source-downstream'!D64</f>
        <v>Not provided</v>
      </c>
      <c r="E64" s="66" t="str">
        <f>if('source-downstream'!E64="",'schema-geographic-dependency'!$B$5, vlookup('source-downstream'!E64,'schema-geographic-dependency'!A:B,2,FALSE))</f>
        <v>not-provided</v>
      </c>
      <c r="F64" s="71" t="str">
        <f>if('source-downstream'!F64="",'schema-yn'!$A$5,vlookup('source-downstream'!F64,YN_MAP,3,FALSE))</f>
        <v>not-provided</v>
      </c>
      <c r="G64" s="87" t="str">
        <f>'source-downstream'!G64</f>
        <v>Not provided</v>
      </c>
      <c r="H64" s="71" t="str">
        <f>'source-downstream'!H64</f>
        <v/>
      </c>
      <c r="I64" s="71" t="str">
        <f>if('source-downstream'!I64="",'schema-yn'!$A$5,vlookup('source-downstream'!I64,YN_MAP,3,FALSE))</f>
        <v>not-provided</v>
      </c>
      <c r="J64" s="87" t="str">
        <f>'source-downstream'!J64</f>
        <v>No comments provided</v>
      </c>
      <c r="K64" s="71" t="str">
        <f>if('source-downstream'!K64="",'data-cleansing-maps'!$L$10,vlookup('source-downstream'!K64,RESILIENCE_OPTION_MAP,3,FALSE))</f>
        <v>not-provided</v>
      </c>
      <c r="L64" s="87" t="str">
        <f>'source-downstream'!L64</f>
        <v/>
      </c>
      <c r="M64" s="66" t="str">
        <f>if('source-downstream'!M64="",'schema-rv-services'!$B$26,vlookup(vlookup('source-downstream'!$M64,'analysis-rv-services'!$C:$E,3,FALSE),'schema-rv-services'!$A:$B,2, FALSE))</f>
        <v>transport</v>
      </c>
      <c r="N64" s="71"/>
    </row>
    <row r="65" ht="15.75" customHeight="1">
      <c r="A65" s="86" t="str">
        <f>Substitute(SUBSTITUTE(substitute(substitute(substitute(substitute(substitute(substitute(substitute(lower('source-downstream'!A65)," ","-"),"(",""),")",""),"&gt;",""),"&lt;",""),"---","-"),".","-"),"--","-"),"&amp;","-and-")</f>
        <v>swift-blue-tongue-skink</v>
      </c>
      <c r="B65" s="86" t="str">
        <f>Substitute(SUBSTITUTE(substitute(substitute(substitute(substitute(substitute(substitute(substitute(lower('source-downstream'!B65)," ","-"),"(",""),")",""),"&gt;",""),"&lt;",""),"---","-"),".","-"),"--","-"),"&amp;","-and-")</f>
        <v>striped-bilby</v>
      </c>
      <c r="C65" s="71" t="str">
        <f>if('source-downstream'!C65="",'schema-frequency'!$B$11,vlookup('source-downstream'!C65,FREQUENCY_MAP, 3, FALSE))</f>
        <v>not-provided</v>
      </c>
      <c r="D65" s="87" t="str">
        <f>'source-downstream'!D65</f>
        <v>Not provided</v>
      </c>
      <c r="E65" s="66" t="str">
        <f>if('source-downstream'!E65="",'schema-geographic-dependency'!$B$5, vlookup('source-downstream'!E65,'schema-geographic-dependency'!A:B,2,FALSE))</f>
        <v>not-provided</v>
      </c>
      <c r="F65" s="71" t="str">
        <f>if('source-downstream'!F65="",'schema-yn'!$A$5,vlookup('source-downstream'!F65,YN_MAP,3,FALSE))</f>
        <v>not-provided</v>
      </c>
      <c r="G65" s="87" t="str">
        <f>'source-downstream'!G65</f>
        <v>Not provided</v>
      </c>
      <c r="H65" s="71" t="str">
        <f>'source-downstream'!H65</f>
        <v/>
      </c>
      <c r="I65" s="71" t="str">
        <f>if('source-downstream'!I65="",'schema-yn'!$A$5,vlookup('source-downstream'!I65,YN_MAP,3,FALSE))</f>
        <v>not-provided</v>
      </c>
      <c r="J65" s="87" t="str">
        <f>'source-downstream'!J65</f>
        <v>No comments provided</v>
      </c>
      <c r="K65" s="71" t="str">
        <f>if('source-downstream'!K65="",'data-cleansing-maps'!$L$10,vlookup('source-downstream'!K65,RESILIENCE_OPTION_MAP,3,FALSE))</f>
        <v>not-provided</v>
      </c>
      <c r="L65" s="87" t="str">
        <f>'source-downstream'!L65</f>
        <v/>
      </c>
      <c r="M65" s="66" t="str">
        <f>if('source-downstream'!M65="",'schema-rv-services'!$B$26,vlookup(vlookup('source-downstream'!$M65,'analysis-rv-services'!$C:$E,3,FALSE),'schema-rv-services'!$A:$B,2, FALSE))</f>
        <v>transport</v>
      </c>
      <c r="N65" s="71"/>
    </row>
    <row r="66" ht="15.75" customHeight="1">
      <c r="A66" s="86" t="str">
        <f>Substitute(SUBSTITUTE(substitute(substitute(substitute(substitute(substitute(substitute(substitute(lower('source-downstream'!A66)," ","-"),"(",""),")",""),"&gt;",""),"&lt;",""),"---","-"),".","-"),"--","-"),"&amp;","-and-")</f>
        <v>tiny-platypus</v>
      </c>
      <c r="B66" s="86" t="str">
        <f>Substitute(SUBSTITUTE(substitute(substitute(substitute(substitute(substitute(substitute(substitute(lower('source-downstream'!B66)," ","-"),"(",""),")",""),"&gt;",""),"&lt;",""),"---","-"),".","-"),"--","-"),"&amp;","-and-")</f>
        <v>silent-fairy-penguin</v>
      </c>
      <c r="C66" s="71" t="str">
        <f>if('source-downstream'!C66="",'schema-frequency'!$B$11,vlookup('source-downstream'!C66,FREQUENCY_MAP, 3, FALSE))</f>
        <v>unknown</v>
      </c>
      <c r="D66" s="87" t="str">
        <f>'source-downstream'!D66</f>
        <v>Not provided</v>
      </c>
      <c r="E66" s="66" t="str">
        <f>if('source-downstream'!E66="",'schema-geographic-dependency'!$B$5, vlookup('source-downstream'!E66,'schema-geographic-dependency'!A:B,2,FALSE))</f>
        <v>not-provided</v>
      </c>
      <c r="F66" s="71" t="str">
        <f>if('source-downstream'!F66="",'schema-yn'!$A$5,vlookup('source-downstream'!F66,YN_MAP,3,FALSE))</f>
        <v>not-provided</v>
      </c>
      <c r="G66" s="87" t="str">
        <f>'source-downstream'!G66</f>
        <v>Not provided</v>
      </c>
      <c r="H66" s="71" t="str">
        <f>'source-downstream'!H66</f>
        <v/>
      </c>
      <c r="I66" s="71" t="str">
        <f>if('source-downstream'!I66="",'schema-yn'!$A$5,vlookup('source-downstream'!I66,YN_MAP,3,FALSE))</f>
        <v>not-provided</v>
      </c>
      <c r="J66" s="87" t="str">
        <f>'source-downstream'!J66</f>
        <v>Not provided</v>
      </c>
      <c r="K66" s="71" t="str">
        <f>if('source-downstream'!K66="",'data-cleansing-maps'!$L$10,vlookup('source-downstream'!K66,RESILIENCE_OPTION_MAP,3,FALSE))</f>
        <v>not-provided</v>
      </c>
      <c r="L66" s="87" t="str">
        <f>'source-downstream'!L66</f>
        <v>Not provided</v>
      </c>
      <c r="M66" s="66" t="str">
        <f>if('source-downstream'!M66="",'schema-rv-services'!$B$26,vlookup(vlookup('source-downstream'!$M66,'analysis-rv-services'!$C:$E,3,FALSE),'schema-rv-services'!$A:$B,2, FALSE))</f>
        <v>not-provided</v>
      </c>
      <c r="N66" s="71"/>
    </row>
    <row r="67" ht="15.75" customHeight="1">
      <c r="A67" s="86" t="str">
        <f>Substitute(SUBSTITUTE(substitute(substitute(substitute(substitute(substitute(substitute(substitute(lower('source-downstream'!A67)," ","-"),"(",""),")",""),"&gt;",""),"&lt;",""),"---","-"),".","-"),"--","-"),"&amp;","-and-")</f>
        <v>wild-cassowary</v>
      </c>
      <c r="B67" s="86" t="str">
        <f>Substitute(SUBSTITUTE(substitute(substitute(substitute(substitute(substitute(substitute(substitute(lower('source-downstream'!B67)," ","-"),"(",""),")",""),"&gt;",""),"&lt;",""),"---","-"),".","-"),"--","-"),"&amp;","-and-")</f>
        <v>silent-goanna</v>
      </c>
      <c r="C67" s="71" t="str">
        <f>if('source-downstream'!C67="",'schema-frequency'!$B$11,vlookup('source-downstream'!C67,FREQUENCY_MAP, 3, FALSE))</f>
        <v>not-provided</v>
      </c>
      <c r="D67" s="87" t="str">
        <f>'source-downstream'!D67</f>
        <v>Hazardous waste management (used tyres)</v>
      </c>
      <c r="E67" s="66" t="str">
        <f>if('source-downstream'!E67="",'schema-geographic-dependency'!$B$5, vlookup('source-downstream'!E67,'schema-geographic-dependency'!A:B,2,FALSE))</f>
        <v>spread-across-multiple-regions</v>
      </c>
      <c r="F67" s="71" t="str">
        <f>if('source-downstream'!F67="",'schema-yn'!$A$5,vlookup('source-downstream'!F67,YN_MAP,3,FALSE))</f>
        <v>not-provided</v>
      </c>
      <c r="G67" s="87" t="str">
        <f>'source-downstream'!G67</f>
        <v>Not provided</v>
      </c>
      <c r="H67" s="71" t="str">
        <f>'source-downstream'!H67</f>
        <v/>
      </c>
      <c r="I67" s="71" t="str">
        <f>if('source-downstream'!I67="",'schema-yn'!$A$5,vlookup('source-downstream'!I67,YN_MAP,3,FALSE))</f>
        <v>not-provided</v>
      </c>
      <c r="J67" s="87" t="str">
        <f>'source-downstream'!J67</f>
        <v>No comments provided</v>
      </c>
      <c r="K67" s="71" t="str">
        <f>if('source-downstream'!K67="",'data-cleansing-maps'!$L$10,vlookup('source-downstream'!K67,RESILIENCE_OPTION_MAP,3,FALSE))</f>
        <v>not-provided</v>
      </c>
      <c r="L67" s="87" t="str">
        <f>'source-downstream'!L67</f>
        <v/>
      </c>
      <c r="M67" s="66" t="str">
        <f>if('source-downstream'!M67="",'schema-rv-services'!$B$26,vlookup(vlookup('source-downstream'!$M67,'analysis-rv-services'!$C:$E,3,FALSE),'schema-rv-services'!$A:$B,2, FALSE))</f>
        <v>not-provided</v>
      </c>
      <c r="N67" s="71"/>
    </row>
    <row r="68" ht="15.75" customHeight="1">
      <c r="A68" s="86" t="str">
        <f>Substitute(SUBSTITUTE(substitute(substitute(substitute(substitute(substitute(substitute(substitute(lower('source-downstream'!A68)," ","-"),"(",""),")",""),"&gt;",""),"&lt;",""),"---","-"),".","-"),"--","-"),"&amp;","-and-")</f>
        <v>wild-kangaroo</v>
      </c>
      <c r="B68" s="86" t="str">
        <f>Substitute(SUBSTITUTE(substitute(substitute(substitute(substitute(substitute(substitute(substitute(lower('source-downstream'!B68)," ","-"),"(",""),")",""),"&gt;",""),"&lt;",""),"---","-"),".","-"),"--","-"),"&amp;","-and-")</f>
        <v>silent-kangaroo</v>
      </c>
      <c r="C68" s="71" t="str">
        <f>if('source-downstream'!C68="",'schema-frequency'!$B$11,vlookup('source-downstream'!C68,FREQUENCY_MAP, 3, FALSE))</f>
        <v>daily</v>
      </c>
      <c r="D68" s="87" t="str">
        <f>'source-downstream'!D68</f>
        <v>FOGO and Organics Pre-treatment (inc. decontamination), pasteurisation, maturation, refined, quality assurance and end product production services</v>
      </c>
      <c r="E68" s="66" t="str">
        <f>if('source-downstream'!E68="",'schema-geographic-dependency'!$B$5, vlookup('source-downstream'!E68,'schema-geographic-dependency'!A:B,2,FALSE))</f>
        <v>spread-across-multiple-regions</v>
      </c>
      <c r="F68" s="71" t="str">
        <f>if('source-downstream'!F68="",'schema-yn'!$A$5,vlookup('source-downstream'!F68,YN_MAP,3,FALSE))</f>
        <v>no</v>
      </c>
      <c r="G68" s="87" t="str">
        <f>'source-downstream'!G68</f>
        <v>No there are multiple compost customers that collect the product</v>
      </c>
      <c r="H68" s="71" t="str">
        <f>'source-downstream'!H68</f>
        <v/>
      </c>
      <c r="I68" s="71" t="str">
        <f>if('source-downstream'!I68="",'schema-yn'!$A$5,vlookup('source-downstream'!I68,YN_MAP,3,FALSE))</f>
        <v>yes</v>
      </c>
      <c r="J68" s="87" t="str">
        <f>'source-downstream'!J68</f>
        <v>Yes, given there are multiple compost customers</v>
      </c>
      <c r="K68" s="71" t="str">
        <f>if('source-downstream'!K68="",'data-cleansing-maps'!$L$10,vlookup('source-downstream'!K68,RESILIENCE_OPTION_MAP,3,FALSE))</f>
        <v>not-provided</v>
      </c>
      <c r="L68" s="87" t="str">
        <f>'source-downstream'!L68</f>
        <v/>
      </c>
      <c r="M68" s="66" t="str">
        <f>if('source-downstream'!M68="",'schema-rv-services'!$B$26,vlookup(vlookup('source-downstream'!$M68,'analysis-rv-services'!$C:$E,3,FALSE),'schema-rv-services'!$A:$B,2, FALSE))</f>
        <v>recycled-material</v>
      </c>
      <c r="N68" s="71"/>
    </row>
    <row r="69" ht="15.75" customHeight="1">
      <c r="A69" s="86" t="str">
        <f>Substitute(SUBSTITUTE(substitute(substitute(substitute(substitute(substitute(substitute(substitute(lower('source-downstream'!A69)," ","-"),"(",""),")",""),"&gt;",""),"&lt;",""),"---","-"),".","-"),"--","-"),"&amp;","-and-")</f>
        <v>wild-numbat</v>
      </c>
      <c r="B69" s="86" t="str">
        <f>Substitute(SUBSTITUTE(substitute(substitute(substitute(substitute(substitute(substitute(substitute(lower('source-downstream'!B69)," ","-"),"(",""),")",""),"&gt;",""),"&lt;",""),"---","-"),".","-"),"--","-"),"&amp;","-and-")</f>
        <v>silent-numbat</v>
      </c>
      <c r="C69" s="71" t="str">
        <f>if('source-downstream'!C69="",'schema-frequency'!$B$11,vlookup('source-downstream'!C69,FREQUENCY_MAP, 3, FALSE))</f>
        <v>not-provided</v>
      </c>
      <c r="D69" s="87" t="str">
        <f>'source-downstream'!D69</f>
        <v>Not provided but serviced weekly</v>
      </c>
      <c r="E69" s="66" t="str">
        <f>if('source-downstream'!E69="",'schema-geographic-dependency'!$B$5, vlookup('source-downstream'!E69,'schema-geographic-dependency'!A:B,2,FALSE))</f>
        <v>not-provided</v>
      </c>
      <c r="F69" s="71" t="str">
        <f>if('source-downstream'!F69="",'schema-yn'!$A$5,vlookup('source-downstream'!F69,YN_MAP,3,FALSE))</f>
        <v>not-provided</v>
      </c>
      <c r="G69" s="87" t="str">
        <f>'source-downstream'!G69</f>
        <v>Not provided</v>
      </c>
      <c r="H69" s="71" t="str">
        <f>'source-downstream'!H69</f>
        <v/>
      </c>
      <c r="I69" s="71" t="str">
        <f>if('source-downstream'!I69="",'schema-yn'!$A$5,vlookup('source-downstream'!I69,YN_MAP,3,FALSE))</f>
        <v>not-provided</v>
      </c>
      <c r="J69" s="87" t="str">
        <f>'source-downstream'!J69</f>
        <v>No comments provided</v>
      </c>
      <c r="K69" s="71" t="str">
        <f>if('source-downstream'!K69="",'data-cleansing-maps'!$L$10,vlookup('source-downstream'!K69,RESILIENCE_OPTION_MAP,3,FALSE))</f>
        <v>not-provided</v>
      </c>
      <c r="L69" s="87" t="str">
        <f>'source-downstream'!L69</f>
        <v/>
      </c>
      <c r="M69" s="66" t="str">
        <f>if('source-downstream'!M69="",'schema-rv-services'!$B$26,vlookup(vlookup('source-downstream'!$M69,'analysis-rv-services'!$C:$E,3,FALSE),'schema-rv-services'!$A:$B,2, FALSE))</f>
        <v>not-provided</v>
      </c>
      <c r="N69" s="71"/>
    </row>
    <row r="70" ht="15.75" customHeight="1">
      <c r="A70" s="86" t="str">
        <f>Substitute(SUBSTITUTE(substitute(substitute(substitute(substitute(substitute(substitute(substitute(lower('source-downstream'!A70)," ","-"),"(",""),")",""),"&gt;",""),"&lt;",""),"---","-"),".","-"),"--","-"),"&amp;","-and-")</f>
        <v>wild-possum</v>
      </c>
      <c r="B70" s="86" t="str">
        <f>Substitute(SUBSTITUTE(substitute(substitute(substitute(substitute(substitute(substitute(substitute(lower('source-downstream'!B70)," ","-"),"(",""),")",""),"&gt;",""),"&lt;",""),"---","-"),".","-"),"--","-"),"&amp;","-and-")</f>
        <v>silent-possum</v>
      </c>
      <c r="C70" s="71" t="str">
        <f>if('source-downstream'!C70="",'schema-frequency'!$B$11,vlookup('source-downstream'!C70,FREQUENCY_MAP, 3, FALSE))</f>
        <v>not-provided</v>
      </c>
      <c r="D70" s="87" t="str">
        <f>'source-downstream'!D70</f>
        <v>Not provided but serviced weekly</v>
      </c>
      <c r="E70" s="66" t="str">
        <f>if('source-downstream'!E70="",'schema-geographic-dependency'!$B$5, vlookup('source-downstream'!E70,'schema-geographic-dependency'!A:B,2,FALSE))</f>
        <v>not-provided</v>
      </c>
      <c r="F70" s="71" t="str">
        <f>if('source-downstream'!F70="",'schema-yn'!$A$5,vlookup('source-downstream'!F70,YN_MAP,3,FALSE))</f>
        <v>not-provided</v>
      </c>
      <c r="G70" s="87" t="str">
        <f>'source-downstream'!G70</f>
        <v>Not provided</v>
      </c>
      <c r="H70" s="71" t="str">
        <f>'source-downstream'!H70</f>
        <v/>
      </c>
      <c r="I70" s="71" t="str">
        <f>if('source-downstream'!I70="",'schema-yn'!$A$5,vlookup('source-downstream'!I70,YN_MAP,3,FALSE))</f>
        <v>not-provided</v>
      </c>
      <c r="J70" s="87" t="str">
        <f>'source-downstream'!J70</f>
        <v>No comments provided</v>
      </c>
      <c r="K70" s="71" t="str">
        <f>if('source-downstream'!K70="",'data-cleansing-maps'!$L$10,vlookup('source-downstream'!K70,RESILIENCE_OPTION_MAP,3,FALSE))</f>
        <v>not-provided</v>
      </c>
      <c r="L70" s="87" t="str">
        <f>'source-downstream'!L70</f>
        <v/>
      </c>
      <c r="M70" s="66" t="str">
        <f>if('source-downstream'!M70="",'schema-rv-services'!$B$26,vlookup(vlookup('source-downstream'!$M70,'analysis-rv-services'!$C:$E,3,FALSE),'schema-rv-services'!$A:$B,2, FALSE))</f>
        <v>not-provided</v>
      </c>
      <c r="N70" s="71"/>
    </row>
    <row r="71" ht="15.75" customHeight="1">
      <c r="A71" s="86" t="str">
        <f>Substitute(SUBSTITUTE(substitute(substitute(substitute(substitute(substitute(substitute(substitute(lower('source-downstream'!A71)," ","-"),"(",""),")",""),"&gt;",""),"&lt;",""),"---","-"),".","-"),"--","-"),"&amp;","-and-")</f>
        <v>wild-tasmanian-devil</v>
      </c>
      <c r="B71" s="86" t="str">
        <f>Substitute(SUBSTITUTE(substitute(substitute(substitute(substitute(substitute(substitute(substitute(lower('source-downstream'!B71)," ","-"),"(",""),")",""),"&gt;",""),"&lt;",""),"---","-"),".","-"),"--","-"),"&amp;","-and-")</f>
        <v>silent-quokka</v>
      </c>
      <c r="C71" s="71" t="str">
        <f>if('source-downstream'!C71="",'schema-frequency'!$B$11,vlookup('source-downstream'!C71,FREQUENCY_MAP, 3, FALSE))</f>
        <v>unknown</v>
      </c>
      <c r="D71" s="87" t="str">
        <f>'source-downstream'!D71</f>
        <v>Aluminium, glass, plastic, liquid paper board eligible containers are traded via online biding portal to various vendors</v>
      </c>
      <c r="E71" s="66" t="str">
        <f>if('source-downstream'!E71="",'schema-geographic-dependency'!$B$5, vlookup('source-downstream'!E71,'schema-geographic-dependency'!A:B,2,FALSE))</f>
        <v>not-provided</v>
      </c>
      <c r="F71" s="71" t="str">
        <f>if('source-downstream'!F71="",'schema-yn'!$A$5,vlookup('source-downstream'!F71,YN_MAP,3,FALSE))</f>
        <v>not-provided</v>
      </c>
      <c r="G71" s="87" t="str">
        <f>'source-downstream'!G71</f>
        <v>Not provided</v>
      </c>
      <c r="H71" s="71" t="str">
        <f>'source-downstream'!H71</f>
        <v/>
      </c>
      <c r="I71" s="71" t="str">
        <f>if('source-downstream'!I71="",'schema-yn'!$A$5,vlookup('source-downstream'!I71,YN_MAP,3,FALSE))</f>
        <v>not-provided</v>
      </c>
      <c r="J71" s="87"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71" t="str">
        <f>if('source-downstream'!K71="",'data-cleansing-maps'!$L$10,vlookup('source-downstream'!K71,RESILIENCE_OPTION_MAP,3,FALSE))</f>
        <v>not-provided</v>
      </c>
      <c r="L71" s="87" t="str">
        <f>'source-downstream'!L71</f>
        <v/>
      </c>
      <c r="M71" s="66" t="str">
        <f>if('source-downstream'!M71="",'schema-rv-services'!$B$26,vlookup(vlookup('source-downstream'!$M71,'analysis-rv-services'!$C:$E,3,FALSE),'schema-rv-services'!$A:$B,2, FALSE))</f>
        <v>feedstock</v>
      </c>
      <c r="N71" s="71"/>
    </row>
    <row r="72" ht="15.75" customHeight="1">
      <c r="A72" s="86" t="str">
        <f>Substitute(SUBSTITUTE(substitute(substitute(substitute(substitute(substitute(substitute(substitute(lower('source-downstream'!A72)," ","-"),"(",""),")",""),"&gt;",""),"&lt;",""),"---","-"),".","-"),"--","-"),"&amp;","-and-")</f>
        <v>yellow-australian-magpie</v>
      </c>
      <c r="B72" s="86" t="str">
        <f>Substitute(SUBSTITUTE(substitute(substitute(substitute(substitute(substitute(substitute(substitute(lower('source-downstream'!B72)," ","-"),"(",""),")",""),"&gt;",""),"&lt;",""),"---","-"),".","-"),"--","-"),"&amp;","-and-")</f>
        <v>fuzzy-cassowary</v>
      </c>
      <c r="C72" s="71" t="str">
        <f>if('source-downstream'!C72="",'schema-frequency'!$B$11,vlookup('source-downstream'!C72,FREQUENCY_MAP, 3, FALSE))</f>
        <v>not-provided</v>
      </c>
      <c r="D72" s="87" t="str">
        <f>'source-downstream'!D72</f>
        <v>Waste/landfill collection</v>
      </c>
      <c r="E72" s="66" t="str">
        <f>if('source-downstream'!E72="",'schema-geographic-dependency'!$B$5, vlookup('source-downstream'!E72,'schema-geographic-dependency'!A:B,2,FALSE))</f>
        <v>same-region</v>
      </c>
      <c r="F72" s="71" t="str">
        <f>if('source-downstream'!F72="",'schema-yn'!$A$5,vlookup('source-downstream'!F72,YN_MAP,3,FALSE))</f>
        <v>no</v>
      </c>
      <c r="G72" s="87" t="str">
        <f>'source-downstream'!G72</f>
        <v>Alternative services available</v>
      </c>
      <c r="H72" s="71" t="str">
        <f>'source-downstream'!H72</f>
        <v/>
      </c>
      <c r="I72" s="71" t="str">
        <f>if('source-downstream'!I72="",'schema-yn'!$A$5,vlookup('source-downstream'!I72,YN_MAP,3,FALSE))</f>
        <v>yes</v>
      </c>
      <c r="J72" s="87" t="str">
        <f>'source-downstream'!J72</f>
        <v/>
      </c>
      <c r="K72" s="71" t="str">
        <f>if('source-downstream'!K72="",'data-cleansing-maps'!$L$10,vlookup('source-downstream'!K72,RESILIENCE_OPTION_MAP,3,FALSE))</f>
        <v>not-provided</v>
      </c>
      <c r="L72" s="87" t="str">
        <f>'source-downstream'!L72</f>
        <v/>
      </c>
      <c r="M72" s="66" t="str">
        <f>if('source-downstream'!M72="",'schema-rv-services'!$B$26,vlookup(vlookup('source-downstream'!$M72,'analysis-rv-services'!$C:$E,3,FALSE),'schema-rv-services'!$A:$B,2, FALSE))</f>
        <v>transport</v>
      </c>
      <c r="N72" s="71"/>
    </row>
    <row r="73" ht="15.75" customHeight="1">
      <c r="A73" s="86" t="str">
        <f>Substitute(SUBSTITUTE(substitute(substitute(substitute(substitute(substitute(substitute(substitute(lower('source-downstream'!A73)," ","-"),"(",""),")",""),"&gt;",""),"&lt;",""),"---","-"),".","-"),"--","-"),"&amp;","-and-")</f>
        <v>yellow-australian-magpie</v>
      </c>
      <c r="B73" s="86" t="str">
        <f>Substitute(SUBSTITUTE(substitute(substitute(substitute(substitute(substitute(substitute(substitute(lower('source-downstream'!B73)," ","-"),"(",""),")",""),"&gt;",""),"&lt;",""),"---","-"),".","-"),"--","-"),"&amp;","-and-")</f>
        <v>blue-lyrebird</v>
      </c>
      <c r="C73" s="71" t="str">
        <f>if('source-downstream'!C73="",'schema-frequency'!$B$11,vlookup('source-downstream'!C73,FREQUENCY_MAP, 3, FALSE))</f>
        <v>not-provided</v>
      </c>
      <c r="D73" s="87" t="str">
        <f>'source-downstream'!D73</f>
        <v>Sub 3mm glass collection</v>
      </c>
      <c r="E73" s="66" t="str">
        <f>if('source-downstream'!E73="",'schema-geographic-dependency'!$B$5, vlookup('source-downstream'!E73,'schema-geographic-dependency'!A:B,2,FALSE))</f>
        <v>same-region</v>
      </c>
      <c r="F73" s="71" t="str">
        <f>if('source-downstream'!F73="",'schema-yn'!$A$5,vlookup('source-downstream'!F73,YN_MAP,3,FALSE))</f>
        <v>no</v>
      </c>
      <c r="G73" s="87" t="str">
        <f>'source-downstream'!G73</f>
        <v>Alternative services available</v>
      </c>
      <c r="H73" s="71" t="str">
        <f>'source-downstream'!H73</f>
        <v/>
      </c>
      <c r="I73" s="71" t="str">
        <f>if('source-downstream'!I73="",'schema-yn'!$A$5,vlookup('source-downstream'!I73,YN_MAP,3,FALSE))</f>
        <v>yes</v>
      </c>
      <c r="J73" s="87" t="str">
        <f>'source-downstream'!J73</f>
        <v/>
      </c>
      <c r="K73" s="71" t="str">
        <f>if('source-downstream'!K73="",'data-cleansing-maps'!$L$10,vlookup('source-downstream'!K73,RESILIENCE_OPTION_MAP,3,FALSE))</f>
        <v>not-provided</v>
      </c>
      <c r="L73" s="87" t="str">
        <f>'source-downstream'!L73</f>
        <v/>
      </c>
      <c r="M73" s="66" t="str">
        <f>if('source-downstream'!M73="",'schema-rv-services'!$B$26,vlookup(vlookup('source-downstream'!$M73,'analysis-rv-services'!$C:$E,3,FALSE),'schema-rv-services'!$A:$B,2, FALSE))</f>
        <v>transport</v>
      </c>
      <c r="N73" s="71"/>
    </row>
    <row r="74" ht="15.75" customHeight="1">
      <c r="A74" s="86" t="str">
        <f>Substitute(SUBSTITUTE(substitute(substitute(substitute(substitute(substitute(substitute(substitute(lower('source-downstream'!A74)," ","-"),"(",""),")",""),"&gt;",""),"&lt;",""),"---","-"),".","-"),"--","-"),"&amp;","-and-")</f>
        <v>yellow-australian-magpie</v>
      </c>
      <c r="B74" s="86" t="str">
        <f>Substitute(SUBSTITUTE(substitute(substitute(substitute(substitute(substitute(substitute(substitute(lower('source-downstream'!B74)," ","-"),"(",""),")",""),"&gt;",""),"&lt;",""),"---","-"),".","-"),"--","-"),"&amp;","-and-")</f>
        <v>spotted-echidna</v>
      </c>
      <c r="C74" s="71" t="str">
        <f>if('source-downstream'!C74="",'schema-frequency'!$B$11,vlookup('source-downstream'!C74,FREQUENCY_MAP, 3, FALSE))</f>
        <v>not-provided</v>
      </c>
      <c r="D74" s="87" t="str">
        <f>'source-downstream'!D74</f>
        <v>Scrap metal disposal services</v>
      </c>
      <c r="E74" s="66" t="str">
        <f>if('source-downstream'!E74="",'schema-geographic-dependency'!$B$5, vlookup('source-downstream'!E74,'schema-geographic-dependency'!A:B,2,FALSE))</f>
        <v>same-region</v>
      </c>
      <c r="F74" s="71" t="str">
        <f>if('source-downstream'!F74="",'schema-yn'!$A$5,vlookup('source-downstream'!F74,YN_MAP,3,FALSE))</f>
        <v>no</v>
      </c>
      <c r="G74" s="87" t="str">
        <f>'source-downstream'!G74</f>
        <v>Alternative services available</v>
      </c>
      <c r="H74" s="71" t="str">
        <f>'source-downstream'!H74</f>
        <v/>
      </c>
      <c r="I74" s="71" t="str">
        <f>if('source-downstream'!I74="",'schema-yn'!$A$5,vlookup('source-downstream'!I74,YN_MAP,3,FALSE))</f>
        <v>yes</v>
      </c>
      <c r="J74" s="87" t="str">
        <f>'source-downstream'!J74</f>
        <v/>
      </c>
      <c r="K74" s="71" t="str">
        <f>if('source-downstream'!K74="",'data-cleansing-maps'!$L$10,vlookup('source-downstream'!K74,RESILIENCE_OPTION_MAP,3,FALSE))</f>
        <v>not-provided</v>
      </c>
      <c r="L74" s="87" t="str">
        <f>'source-downstream'!L74</f>
        <v/>
      </c>
      <c r="M74" s="66" t="str">
        <f>if('source-downstream'!M74="",'schema-rv-services'!$B$26,vlookup(vlookup('source-downstream'!$M74,'analysis-rv-services'!$C:$E,3,FALSE),'schema-rv-services'!$A:$B,2, FALSE))</f>
        <v>feedstock</v>
      </c>
      <c r="N74" s="71"/>
    </row>
    <row r="75" ht="15.75" customHeight="1">
      <c r="A75" s="86" t="str">
        <f>Substitute(SUBSTITUTE(substitute(substitute(substitute(substitute(substitute(substitute(substitute(lower('source-downstream'!A75)," ","-"),"(",""),")",""),"&gt;",""),"&lt;",""),"---","-"),".","-"),"--","-"),"&amp;","-and-")</f>
        <v>yellow-australian-magpie</v>
      </c>
      <c r="B75" s="86" t="str">
        <f>Substitute(SUBSTITUTE(substitute(substitute(substitute(substitute(substitute(substitute(substitute(lower('source-downstream'!B75)," ","-"),"(",""),")",""),"&gt;",""),"&lt;",""),"---","-"),".","-"),"--","-"),"&amp;","-and-")</f>
        <v>yellow-australian-magpie</v>
      </c>
      <c r="C75" s="71" t="str">
        <f>if('source-downstream'!C75="",'schema-frequency'!$B$11,vlookup('source-downstream'!C75,FREQUENCY_MAP, 3, FALSE))</f>
        <v>not-provided</v>
      </c>
      <c r="D75" s="87" t="str">
        <f>'source-downstream'!D75</f>
        <v>Cullet supply</v>
      </c>
      <c r="E75" s="66" t="str">
        <f>if('source-downstream'!E75="",'schema-geographic-dependency'!$B$5, vlookup('source-downstream'!E75,'schema-geographic-dependency'!A:B,2,FALSE))</f>
        <v>spread-across-multiple-regions</v>
      </c>
      <c r="F75" s="71" t="str">
        <f>if('source-downstream'!F75="",'schema-yn'!$A$5,vlookup('source-downstream'!F75,YN_MAP,3,FALSE))</f>
        <v>no</v>
      </c>
      <c r="G75" s="87" t="str">
        <f>'source-downstream'!G75</f>
        <v>Alternative cullet suppliers available, or use less glass and more raw materials</v>
      </c>
      <c r="H75" s="71" t="str">
        <f>'source-downstream'!H75</f>
        <v/>
      </c>
      <c r="I75" s="71" t="str">
        <f>if('source-downstream'!I75="",'schema-yn'!$A$5,vlookup('source-downstream'!I75,YN_MAP,3,FALSE))</f>
        <v>yes</v>
      </c>
      <c r="J75" s="87" t="str">
        <f>'source-downstream'!J75</f>
        <v/>
      </c>
      <c r="K75" s="71" t="str">
        <f>if('source-downstream'!K75="",'data-cleansing-maps'!$L$10,vlookup('source-downstream'!K75,RESILIENCE_OPTION_MAP,3,FALSE))</f>
        <v>not-provided</v>
      </c>
      <c r="L75" s="87" t="str">
        <f>'source-downstream'!L75</f>
        <v/>
      </c>
      <c r="M75" s="66" t="str">
        <f>if('source-downstream'!M75="",'schema-rv-services'!$B$26,vlookup(vlookup('source-downstream'!$M75,'analysis-rv-services'!$C:$E,3,FALSE),'schema-rv-services'!$A:$B,2, FALSE))</f>
        <v>feedstock</v>
      </c>
      <c r="N75" s="71"/>
    </row>
    <row r="76" ht="15.75" customHeight="1">
      <c r="A76" s="86" t="str">
        <f>Substitute(SUBSTITUTE(substitute(substitute(substitute(substitute(substitute(substitute(substitute(lower('source-downstream'!A76)," ","-"),"(",""),")",""),"&gt;",""),"&lt;",""),"---","-"),".","-"),"--","-"),"&amp;","-and-")</f>
        <v>yellow-australian-magpie</v>
      </c>
      <c r="B76" s="86" t="str">
        <f>Substitute(SUBSTITUTE(substitute(substitute(substitute(substitute(substitute(substitute(substitute(lower('source-downstream'!B76)," ","-"),"(",""),")",""),"&gt;",""),"&lt;",""),"---","-"),".","-"),"--","-"),"&amp;","-and-")</f>
        <v>yellow-australian-magpie</v>
      </c>
      <c r="C76" s="71" t="str">
        <f>if('source-downstream'!C76="",'schema-frequency'!$B$11,vlookup('source-downstream'!C76,FREQUENCY_MAP, 3, FALSE))</f>
        <v>not-provided</v>
      </c>
      <c r="D76" s="87" t="str">
        <f>'source-downstream'!D76</f>
        <v>FCM material</v>
      </c>
      <c r="E76" s="66" t="str">
        <f>if('source-downstream'!E76="",'schema-geographic-dependency'!$B$5, vlookup('source-downstream'!E76,'schema-geographic-dependency'!A:B,2,FALSE))</f>
        <v>same-region</v>
      </c>
      <c r="F76" s="71" t="str">
        <f>if('source-downstream'!F76="",'schema-yn'!$A$5,vlookup('source-downstream'!F76,YN_MAP,3,FALSE))</f>
        <v>no</v>
      </c>
      <c r="G76" s="87" t="str">
        <f>'source-downstream'!G76</f>
        <v>Councils can directly drop off to the site</v>
      </c>
      <c r="H76" s="71" t="str">
        <f>'source-downstream'!H76</f>
        <v/>
      </c>
      <c r="I76" s="71" t="str">
        <f>if('source-downstream'!I76="",'schema-yn'!$A$5,vlookup('source-downstream'!I76,YN_MAP,3,FALSE))</f>
        <v>yes</v>
      </c>
      <c r="J76" s="87" t="str">
        <f>'source-downstream'!J76</f>
        <v/>
      </c>
      <c r="K76" s="71" t="str">
        <f>if('source-downstream'!K76="",'data-cleansing-maps'!$L$10,vlookup('source-downstream'!K76,RESILIENCE_OPTION_MAP,3,FALSE))</f>
        <v>not-provided</v>
      </c>
      <c r="L76" s="87" t="str">
        <f>'source-downstream'!L76</f>
        <v/>
      </c>
      <c r="M76" s="66" t="str">
        <f>if('source-downstream'!M76="",'schema-rv-services'!$B$26,vlookup(vlookup('source-downstream'!$M76,'analysis-rv-services'!$C:$E,3,FALSE),'schema-rv-services'!$A:$B,2, FALSE))</f>
        <v>transport</v>
      </c>
      <c r="N76" s="71"/>
    </row>
    <row r="77" ht="15.75" customHeight="1">
      <c r="A77" s="86" t="str">
        <f>Substitute(SUBSTITUTE(substitute(substitute(substitute(substitute(substitute(substitute(substitute(lower('source-downstream'!A77)," ","-"),"(",""),")",""),"&gt;",""),"&lt;",""),"---","-"),".","-"),"--","-"),"&amp;","-and-")</f>
        <v>yellow-australian-magpie</v>
      </c>
      <c r="B77" s="86" t="str">
        <f>Substitute(SUBSTITUTE(substitute(substitute(substitute(substitute(substitute(substitute(substitute(lower('source-downstream'!B77)," ","-"),"(",""),")",""),"&gt;",""),"&lt;",""),"---","-"),".","-"),"--","-"),"&amp;","-and-")</f>
        <v>yellow-australian-magpie</v>
      </c>
      <c r="C77" s="71" t="str">
        <f>if('source-downstream'!C77="",'schema-frequency'!$B$11,vlookup('source-downstream'!C77,FREQUENCY_MAP, 3, FALSE))</f>
        <v>not-provided</v>
      </c>
      <c r="D77" s="87" t="str">
        <f>'source-downstream'!D77</f>
        <v>Transport</v>
      </c>
      <c r="E77" s="66" t="str">
        <f>if('source-downstream'!E77="",'schema-geographic-dependency'!$B$5, vlookup('source-downstream'!E77,'schema-geographic-dependency'!A:B,2,FALSE))</f>
        <v>statewide</v>
      </c>
      <c r="F77" s="71" t="str">
        <f>if('source-downstream'!F77="",'schema-yn'!$A$5,vlookup('source-downstream'!F77,YN_MAP,3,FALSE))</f>
        <v>no</v>
      </c>
      <c r="G77" s="87" t="str">
        <f>'source-downstream'!G77</f>
        <v>Alternative services available</v>
      </c>
      <c r="H77" s="71" t="str">
        <f>'source-downstream'!H77</f>
        <v/>
      </c>
      <c r="I77" s="71" t="str">
        <f>if('source-downstream'!I77="",'schema-yn'!$A$5,vlookup('source-downstream'!I77,YN_MAP,3,FALSE))</f>
        <v>yes</v>
      </c>
      <c r="J77" s="87" t="str">
        <f>'source-downstream'!J77</f>
        <v/>
      </c>
      <c r="K77" s="71" t="str">
        <f>if('source-downstream'!K77="",'data-cleansing-maps'!$L$10,vlookup('source-downstream'!K77,RESILIENCE_OPTION_MAP,3,FALSE))</f>
        <v>not-provided</v>
      </c>
      <c r="L77" s="87" t="str">
        <f>'source-downstream'!L77</f>
        <v/>
      </c>
      <c r="M77" s="66" t="str">
        <f>if('source-downstream'!M77="",'schema-rv-services'!$B$26,vlookup(vlookup('source-downstream'!$M77,'analysis-rv-services'!$C:$E,3,FALSE),'schema-rv-services'!$A:$B,2, FALSE))</f>
        <v>transport</v>
      </c>
      <c r="N77" s="71"/>
    </row>
    <row r="78" ht="15.75" customHeight="1">
      <c r="A78" s="86" t="str">
        <f>Substitute(SUBSTITUTE(substitute(substitute(substitute(substitute(substitute(substitute(substitute(lower('source-downstream'!A78)," ","-"),"(",""),")",""),"&gt;",""),"&lt;",""),"---","-"),".","-"),"--","-"),"&amp;","-and-")</f>
        <v>yellow-australian-magpie</v>
      </c>
      <c r="B78" s="86" t="str">
        <f>Substitute(SUBSTITUTE(substitute(substitute(substitute(substitute(substitute(substitute(substitute(lower('source-downstream'!B78)," ","-"),"(",""),")",""),"&gt;",""),"&lt;",""),"---","-"),".","-"),"--","-"),"&amp;","-and-")</f>
        <v>happy-goanna</v>
      </c>
      <c r="C78" s="71" t="str">
        <f>if('source-downstream'!C78="",'schema-frequency'!$B$11,vlookup('source-downstream'!C78,FREQUENCY_MAP, 3, FALSE))</f>
        <v>not-provided</v>
      </c>
      <c r="D78" s="87" t="str">
        <f>'source-downstream'!D78</f>
        <v>Scrap metal disposal services</v>
      </c>
      <c r="E78" s="66" t="str">
        <f>if('source-downstream'!E78="",'schema-geographic-dependency'!$B$5, vlookup('source-downstream'!E78,'schema-geographic-dependency'!A:B,2,FALSE))</f>
        <v>same-region</v>
      </c>
      <c r="F78" s="71" t="str">
        <f>if('source-downstream'!F78="",'schema-yn'!$A$5,vlookup('source-downstream'!F78,YN_MAP,3,FALSE))</f>
        <v>no</v>
      </c>
      <c r="G78" s="87" t="str">
        <f>'source-downstream'!G78</f>
        <v>Alternative services available</v>
      </c>
      <c r="H78" s="71" t="str">
        <f>'source-downstream'!H78</f>
        <v/>
      </c>
      <c r="I78" s="71" t="str">
        <f>if('source-downstream'!I78="",'schema-yn'!$A$5,vlookup('source-downstream'!I78,YN_MAP,3,FALSE))</f>
        <v>yes</v>
      </c>
      <c r="J78" s="87" t="str">
        <f>'source-downstream'!J78</f>
        <v/>
      </c>
      <c r="K78" s="71" t="str">
        <f>if('source-downstream'!K78="",'data-cleansing-maps'!$L$10,vlookup('source-downstream'!K78,RESILIENCE_OPTION_MAP,3,FALSE))</f>
        <v>not-provided</v>
      </c>
      <c r="L78" s="87" t="str">
        <f>'source-downstream'!L78</f>
        <v/>
      </c>
      <c r="M78" s="66" t="str">
        <f>if('source-downstream'!M78="",'schema-rv-services'!$B$26,vlookup(vlookup('source-downstream'!$M78,'analysis-rv-services'!$C:$E,3,FALSE),'schema-rv-services'!$A:$B,2, FALSE))</f>
        <v>feedstock</v>
      </c>
      <c r="N78" s="71"/>
    </row>
    <row r="79" ht="15.75" customHeight="1">
      <c r="A79" s="86" t="str">
        <f>Substitute(SUBSTITUTE(substitute(substitute(substitute(substitute(substitute(substitute(substitute(lower('source-downstream'!A79)," ","-"),"(",""),")",""),"&gt;",""),"&lt;",""),"---","-"),".","-"),"--","-"),"&amp;","-and-")</f>
        <v>yellow-australian-magpie</v>
      </c>
      <c r="B79" s="86" t="str">
        <f>Substitute(SUBSTITUTE(substitute(substitute(substitute(substitute(substitute(substitute(substitute(lower('source-downstream'!B79)," ","-"),"(",""),")",""),"&gt;",""),"&lt;",""),"---","-"),".","-"),"--","-"),"&amp;","-and-")</f>
        <v>yellow-australian-magpie</v>
      </c>
      <c r="C79" s="71" t="str">
        <f>if('source-downstream'!C79="",'schema-frequency'!$B$11,vlookup('source-downstream'!C79,FREQUENCY_MAP, 3, FALSE))</f>
        <v>not-provided</v>
      </c>
      <c r="D79" s="87" t="str">
        <f>'source-downstream'!D79</f>
        <v>Plastic recycling</v>
      </c>
      <c r="E79" s="66" t="str">
        <f>if('source-downstream'!E79="",'schema-geographic-dependency'!$B$5, vlookup('source-downstream'!E79,'schema-geographic-dependency'!A:B,2,FALSE))</f>
        <v>same-region</v>
      </c>
      <c r="F79" s="71" t="str">
        <f>if('source-downstream'!F79="",'schema-yn'!$A$5,vlookup('source-downstream'!F79,YN_MAP,3,FALSE))</f>
        <v>no</v>
      </c>
      <c r="G79" s="87" t="str">
        <f>'source-downstream'!G79</f>
        <v>Alternative services available</v>
      </c>
      <c r="H79" s="71" t="str">
        <f>'source-downstream'!H79</f>
        <v/>
      </c>
      <c r="I79" s="71" t="str">
        <f>if('source-downstream'!I79="",'schema-yn'!$A$5,vlookup('source-downstream'!I79,YN_MAP,3,FALSE))</f>
        <v>yes</v>
      </c>
      <c r="J79" s="87" t="str">
        <f>'source-downstream'!J79</f>
        <v/>
      </c>
      <c r="K79" s="71" t="str">
        <f>if('source-downstream'!K79="",'data-cleansing-maps'!$L$10,vlookup('source-downstream'!K79,RESILIENCE_OPTION_MAP,3,FALSE))</f>
        <v>not-provided</v>
      </c>
      <c r="L79" s="87" t="str">
        <f>'source-downstream'!L79</f>
        <v/>
      </c>
      <c r="M79" s="66" t="str">
        <f>if('source-downstream'!M79="",'schema-rv-services'!$B$26,vlookup(vlookup('source-downstream'!$M79,'analysis-rv-services'!$C:$E,3,FALSE),'schema-rv-services'!$A:$B,2, FALSE))</f>
        <v>feedstock</v>
      </c>
      <c r="N79" s="71"/>
    </row>
    <row r="80" ht="15.75" customHeight="1">
      <c r="A80" s="86" t="str">
        <f>Substitute(SUBSTITUTE(substitute(substitute(substitute(substitute(substitute(substitute(substitute(lower('source-downstream'!A80)," ","-"),"(",""),")",""),"&gt;",""),"&lt;",""),"---","-"),".","-"),"--","-"),"&amp;","-and-")</f>
        <v>yellow-australian-magpie</v>
      </c>
      <c r="B80" s="86" t="str">
        <f>Substitute(SUBSTITUTE(substitute(substitute(substitute(substitute(substitute(substitute(substitute(lower('source-downstream'!B80)," ","-"),"(",""),")",""),"&gt;",""),"&lt;",""),"---","-"),".","-"),"--","-"),"&amp;","-and-")</f>
        <v>noisy-rosella</v>
      </c>
      <c r="C80" s="71" t="str">
        <f>if('source-downstream'!C80="",'schema-frequency'!$B$11,vlookup('source-downstream'!C80,FREQUENCY_MAP, 3, FALSE))</f>
        <v>not-provided</v>
      </c>
      <c r="D80" s="87" t="str">
        <f>'source-downstream'!D80</f>
        <v>Plastic recycling</v>
      </c>
      <c r="E80" s="66" t="str">
        <f>if('source-downstream'!E80="",'schema-geographic-dependency'!$B$5, vlookup('source-downstream'!E80,'schema-geographic-dependency'!A:B,2,FALSE))</f>
        <v>same-region</v>
      </c>
      <c r="F80" s="71" t="str">
        <f>if('source-downstream'!F80="",'schema-yn'!$A$5,vlookup('source-downstream'!F80,YN_MAP,3,FALSE))</f>
        <v>no</v>
      </c>
      <c r="G80" s="87" t="str">
        <f>'source-downstream'!G80</f>
        <v>Alternative services available</v>
      </c>
      <c r="H80" s="71" t="str">
        <f>'source-downstream'!H80</f>
        <v/>
      </c>
      <c r="I80" s="71" t="str">
        <f>if('source-downstream'!I80="",'schema-yn'!$A$5,vlookup('source-downstream'!I80,YN_MAP,3,FALSE))</f>
        <v>yes</v>
      </c>
      <c r="J80" s="87" t="str">
        <f>'source-downstream'!J80</f>
        <v/>
      </c>
      <c r="K80" s="71" t="str">
        <f>if('source-downstream'!K80="",'data-cleansing-maps'!$L$10,vlookup('source-downstream'!K80,RESILIENCE_OPTION_MAP,3,FALSE))</f>
        <v>not-provided</v>
      </c>
      <c r="L80" s="87" t="str">
        <f>'source-downstream'!L80</f>
        <v/>
      </c>
      <c r="M80" s="66" t="str">
        <f>if('source-downstream'!M80="",'schema-rv-services'!$B$26,vlookup(vlookup('source-downstream'!$M80,'analysis-rv-services'!$C:$E,3,FALSE),'schema-rv-services'!$A:$B,2, FALSE))</f>
        <v>feedstock</v>
      </c>
      <c r="N80" s="71"/>
    </row>
    <row r="81" ht="15.75" customHeight="1">
      <c r="A81" s="86" t="str">
        <f>Substitute(SUBSTITUTE(substitute(substitute(substitute(substitute(substitute(substitute(substitute(lower('source-downstream'!A81)," ","-"),"(",""),")",""),"&gt;",""),"&lt;",""),"---","-"),".","-"),"--","-"),"&amp;","-and-")</f>
        <v>yellow-australian-magpie</v>
      </c>
      <c r="B81" s="86" t="str">
        <f>Substitute(SUBSTITUTE(substitute(substitute(substitute(substitute(substitute(substitute(substitute(lower('source-downstream'!B81)," ","-"),"(",""),")",""),"&gt;",""),"&lt;",""),"---","-"),".","-"),"--","-"),"&amp;","-and-")</f>
        <v>yellow-australian-magpie</v>
      </c>
      <c r="C81" s="71" t="str">
        <f>if('source-downstream'!C81="",'schema-frequency'!$B$11,vlookup('source-downstream'!C81,FREQUENCY_MAP, 3, FALSE))</f>
        <v>not-provided</v>
      </c>
      <c r="D81" s="87" t="str">
        <f>'source-downstream'!D81</f>
        <v>Glass recycling</v>
      </c>
      <c r="E81" s="66" t="str">
        <f>if('source-downstream'!E81="",'schema-geographic-dependency'!$B$5, vlookup('source-downstream'!E81,'schema-geographic-dependency'!A:B,2,FALSE))</f>
        <v>same-region</v>
      </c>
      <c r="F81" s="71" t="str">
        <f>if('source-downstream'!F81="",'schema-yn'!$A$5,vlookup('source-downstream'!F81,YN_MAP,3,FALSE))</f>
        <v>no</v>
      </c>
      <c r="G81" s="87" t="str">
        <f>'source-downstream'!G81</f>
        <v>Alternative services available</v>
      </c>
      <c r="H81" s="71" t="str">
        <f>'source-downstream'!H81</f>
        <v/>
      </c>
      <c r="I81" s="71" t="str">
        <f>if('source-downstream'!I81="",'schema-yn'!$A$5,vlookup('source-downstream'!I81,YN_MAP,3,FALSE))</f>
        <v>yes</v>
      </c>
      <c r="J81" s="87" t="str">
        <f>'source-downstream'!J81</f>
        <v/>
      </c>
      <c r="K81" s="71" t="str">
        <f>if('source-downstream'!K81="",'data-cleansing-maps'!$L$10,vlookup('source-downstream'!K81,RESILIENCE_OPTION_MAP,3,FALSE))</f>
        <v>not-provided</v>
      </c>
      <c r="L81" s="87" t="str">
        <f>'source-downstream'!L81</f>
        <v/>
      </c>
      <c r="M81" s="66" t="str">
        <f>if('source-downstream'!M81="",'schema-rv-services'!$B$26,vlookup(vlookup('source-downstream'!$M81,'analysis-rv-services'!$C:$E,3,FALSE),'schema-rv-services'!$A:$B,2, FALSE))</f>
        <v>feedstock</v>
      </c>
      <c r="N81" s="71"/>
    </row>
    <row r="82" ht="15.75" customHeight="1">
      <c r="A82" s="86" t="str">
        <f>Substitute(SUBSTITUTE(substitute(substitute(substitute(substitute(substitute(substitute(substitute(lower('source-downstream'!A82)," ","-"),"(",""),")",""),"&gt;",""),"&lt;",""),"---","-"),".","-"),"--","-"),"&amp;","-and-")</f>
        <v>yellow-australian-magpie</v>
      </c>
      <c r="B82" s="86" t="str">
        <f>Substitute(SUBSTITUTE(substitute(substitute(substitute(substitute(substitute(substitute(substitute(lower('source-downstream'!B82)," ","-"),"(",""),")",""),"&gt;",""),"&lt;",""),"---","-"),".","-"),"--","-"),"&amp;","-and-")</f>
        <v>golden-possum</v>
      </c>
      <c r="C82" s="71" t="str">
        <f>if('source-downstream'!C82="",'schema-frequency'!$B$11,vlookup('source-downstream'!C82,FREQUENCY_MAP, 3, FALSE))</f>
        <v>not-provided</v>
      </c>
      <c r="D82" s="87" t="str">
        <f>'source-downstream'!D82</f>
        <v>Battery collection</v>
      </c>
      <c r="E82" s="66" t="str">
        <f>if('source-downstream'!E82="",'schema-geographic-dependency'!$B$5, vlookup('source-downstream'!E82,'schema-geographic-dependency'!A:B,2,FALSE))</f>
        <v>same-region</v>
      </c>
      <c r="F82" s="71" t="str">
        <f>if('source-downstream'!F82="",'schema-yn'!$A$5,vlookup('source-downstream'!F82,YN_MAP,3,FALSE))</f>
        <v>no</v>
      </c>
      <c r="G82" s="87" t="str">
        <f>'source-downstream'!G82</f>
        <v>Alternative services available</v>
      </c>
      <c r="H82" s="71" t="str">
        <f>'source-downstream'!H82</f>
        <v/>
      </c>
      <c r="I82" s="71" t="str">
        <f>if('source-downstream'!I82="",'schema-yn'!$A$5,vlookup('source-downstream'!I82,YN_MAP,3,FALSE))</f>
        <v>yes</v>
      </c>
      <c r="J82" s="87" t="str">
        <f>'source-downstream'!J82</f>
        <v/>
      </c>
      <c r="K82" s="71" t="str">
        <f>if('source-downstream'!K82="",'data-cleansing-maps'!$L$10,vlookup('source-downstream'!K82,RESILIENCE_OPTION_MAP,3,FALSE))</f>
        <v>not-provided</v>
      </c>
      <c r="L82" s="87" t="str">
        <f>'source-downstream'!L82</f>
        <v/>
      </c>
      <c r="M82" s="66" t="str">
        <f>if('source-downstream'!M82="",'schema-rv-services'!$B$26,vlookup(vlookup('source-downstream'!$M82,'analysis-rv-services'!$C:$E,3,FALSE),'schema-rv-services'!$A:$B,2, FALSE))</f>
        <v>feedstock</v>
      </c>
      <c r="N82" s="71"/>
    </row>
    <row r="83" ht="15.75" customHeight="1">
      <c r="A83" s="89" t="str">
        <f>Substitute(SUBSTITUTE(substitute(substitute(substitute(substitute(substitute(substitute(substitute(lower('source-downstream'!A83)," ","-"),"(",""),")",""),"&gt;",""),"&lt;",""),"---","-"),".","-"),"--","-"),"&amp;","-and-")</f>
        <v>yellow-australian-magpie</v>
      </c>
      <c r="B83" s="89" t="str">
        <f>Substitute(SUBSTITUTE(substitute(substitute(substitute(substitute(substitute(substitute(substitute(lower('source-downstream'!B83)," ","-"),"(",""),")",""),"&gt;",""),"&lt;",""),"---","-"),".","-"),"--","-"),"&amp;","-and-")</f>
        <v>yellow-australian-magpie</v>
      </c>
      <c r="C83" s="90" t="str">
        <f>if('source-downstream'!C83="",'schema-frequency'!$B$11,vlookup('source-downstream'!C83,FREQUENCY_MAP, 3, FALSE))</f>
        <v>not-provided</v>
      </c>
      <c r="D83" s="91" t="str">
        <f>'source-downstream'!D83</f>
        <v>Manufacturer</v>
      </c>
      <c r="E83" s="66" t="str">
        <f>if('source-downstream'!E83="",'schema-geographic-dependency'!$B$5, vlookup('source-downstream'!E83,'schema-geographic-dependency'!A:B,2,FALSE))</f>
        <v>spread-across-multiple-regions</v>
      </c>
      <c r="F83" s="90" t="str">
        <f>if('source-downstream'!F83="",'schema-yn'!$A$5,vlookup('source-downstream'!F83,YN_MAP,3,FALSE))</f>
        <v>no</v>
      </c>
      <c r="G83" s="91" t="str">
        <f>'source-downstream'!G83</f>
        <v>Alternative services available</v>
      </c>
      <c r="H83" s="90" t="str">
        <f>'source-downstream'!H83</f>
        <v/>
      </c>
      <c r="I83" s="90" t="str">
        <f>if('source-downstream'!I83="",'schema-yn'!$A$5,vlookup('source-downstream'!I83,YN_MAP,3,FALSE))</f>
        <v>yes</v>
      </c>
      <c r="J83" s="91" t="str">
        <f>'source-downstream'!J83</f>
        <v/>
      </c>
      <c r="K83" s="90" t="str">
        <f>if('source-downstream'!K83="",'data-cleansing-maps'!$L$10,vlookup('source-downstream'!K83,RESILIENCE_OPTION_MAP,3,FALSE))</f>
        <v>not-provided</v>
      </c>
      <c r="L83" s="91" t="str">
        <f>'source-downstream'!L83</f>
        <v/>
      </c>
      <c r="M83" s="66" t="str">
        <f>if('source-downstream'!M83="",'schema-rv-services'!$B$26,vlookup(vlookup('source-downstream'!$M83,'analysis-rv-services'!$C:$E,3,FALSE),'schema-rv-services'!$A:$B,2, FALSE))</f>
        <v>feedstock</v>
      </c>
      <c r="N83" s="90"/>
    </row>
  </sheetData>
  <autoFilter ref="$A$1:$N$8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1.13"/>
    <col customWidth="1" min="3" max="3" width="32.88"/>
    <col customWidth="1" min="4" max="4" width="11.13"/>
    <col customWidth="1" min="5" max="5" width="20.88"/>
    <col customWidth="1" min="6" max="6" width="13.13"/>
    <col customWidth="1" min="7" max="7" width="46.0"/>
  </cols>
  <sheetData>
    <row r="1">
      <c r="A1" s="97" t="s">
        <v>568</v>
      </c>
      <c r="B1" s="97" t="s">
        <v>621</v>
      </c>
      <c r="C1" s="97" t="s">
        <v>622</v>
      </c>
      <c r="D1" s="114" t="s">
        <v>623</v>
      </c>
      <c r="E1" s="114" t="s">
        <v>624</v>
      </c>
      <c r="F1" s="114" t="s">
        <v>625</v>
      </c>
      <c r="G1" s="114" t="s">
        <v>626</v>
      </c>
    </row>
    <row r="2">
      <c r="A2" s="115" t="s">
        <v>617</v>
      </c>
      <c r="B2" s="116" t="s">
        <v>627</v>
      </c>
      <c r="C2" s="117" t="s">
        <v>13</v>
      </c>
      <c r="D2" s="118" t="s">
        <v>628</v>
      </c>
      <c r="E2" s="115" t="s">
        <v>629</v>
      </c>
      <c r="F2" s="115" t="s">
        <v>630</v>
      </c>
      <c r="G2" s="118" t="s">
        <v>631</v>
      </c>
    </row>
    <row r="3">
      <c r="A3" s="119" t="s">
        <v>594</v>
      </c>
      <c r="B3" s="120" t="s">
        <v>627</v>
      </c>
      <c r="C3" s="121" t="s">
        <v>14</v>
      </c>
      <c r="D3" s="122" t="s">
        <v>628</v>
      </c>
      <c r="E3" s="115" t="s">
        <v>629</v>
      </c>
      <c r="F3" s="119" t="s">
        <v>630</v>
      </c>
      <c r="G3" s="118" t="s">
        <v>631</v>
      </c>
    </row>
    <row r="4">
      <c r="A4" s="119" t="s">
        <v>595</v>
      </c>
      <c r="B4" s="120" t="s">
        <v>627</v>
      </c>
      <c r="C4" s="121" t="s">
        <v>15</v>
      </c>
      <c r="D4" s="122" t="s">
        <v>632</v>
      </c>
      <c r="E4" s="119" t="s">
        <v>633</v>
      </c>
      <c r="F4" s="119" t="s">
        <v>634</v>
      </c>
      <c r="G4" s="122" t="s">
        <v>635</v>
      </c>
    </row>
    <row r="5">
      <c r="A5" s="122" t="s">
        <v>596</v>
      </c>
      <c r="B5" s="120" t="s">
        <v>627</v>
      </c>
      <c r="C5" s="121" t="s">
        <v>16</v>
      </c>
      <c r="D5" s="122" t="s">
        <v>620</v>
      </c>
      <c r="E5" s="122" t="s">
        <v>636</v>
      </c>
      <c r="F5" s="122" t="s">
        <v>637</v>
      </c>
      <c r="G5" s="122" t="s">
        <v>638</v>
      </c>
    </row>
    <row r="6">
      <c r="A6" s="123" t="s">
        <v>597</v>
      </c>
      <c r="B6" s="120" t="s">
        <v>627</v>
      </c>
      <c r="C6" s="121" t="s">
        <v>17</v>
      </c>
      <c r="D6" s="122" t="s">
        <v>639</v>
      </c>
      <c r="E6" s="122" t="s">
        <v>640</v>
      </c>
      <c r="F6" s="122" t="s">
        <v>637</v>
      </c>
      <c r="G6" s="122" t="s">
        <v>641</v>
      </c>
    </row>
    <row r="7">
      <c r="A7" s="122" t="s">
        <v>598</v>
      </c>
      <c r="B7" s="120" t="s">
        <v>627</v>
      </c>
      <c r="C7" s="121" t="s">
        <v>18</v>
      </c>
      <c r="D7" s="122" t="s">
        <v>639</v>
      </c>
      <c r="E7" s="122" t="s">
        <v>642</v>
      </c>
      <c r="F7" s="122" t="s">
        <v>637</v>
      </c>
      <c r="G7" s="122" t="s">
        <v>641</v>
      </c>
    </row>
    <row r="8">
      <c r="A8" s="122" t="s">
        <v>599</v>
      </c>
      <c r="B8" s="120" t="s">
        <v>627</v>
      </c>
      <c r="C8" s="121" t="s">
        <v>19</v>
      </c>
      <c r="D8" s="122" t="s">
        <v>639</v>
      </c>
      <c r="E8" s="122" t="s">
        <v>642</v>
      </c>
      <c r="F8" s="122" t="s">
        <v>637</v>
      </c>
      <c r="G8" s="122" t="s">
        <v>643</v>
      </c>
    </row>
    <row r="9">
      <c r="A9" s="122" t="s">
        <v>600</v>
      </c>
      <c r="B9" s="120" t="s">
        <v>627</v>
      </c>
      <c r="C9" s="121" t="s">
        <v>20</v>
      </c>
      <c r="D9" s="122" t="s">
        <v>620</v>
      </c>
      <c r="E9" s="122" t="s">
        <v>636</v>
      </c>
      <c r="F9" s="122" t="s">
        <v>644</v>
      </c>
      <c r="G9" s="122" t="s">
        <v>645</v>
      </c>
    </row>
    <row r="10">
      <c r="A10" s="122" t="s">
        <v>601</v>
      </c>
      <c r="B10" s="120" t="s">
        <v>627</v>
      </c>
      <c r="C10" s="121" t="s">
        <v>21</v>
      </c>
      <c r="D10" s="122" t="s">
        <v>646</v>
      </c>
      <c r="E10" s="119" t="s">
        <v>628</v>
      </c>
      <c r="F10" s="119" t="s">
        <v>634</v>
      </c>
      <c r="G10" s="122" t="s">
        <v>647</v>
      </c>
    </row>
    <row r="11">
      <c r="A11" s="123" t="s">
        <v>602</v>
      </c>
      <c r="B11" s="120" t="s">
        <v>627</v>
      </c>
      <c r="C11" s="121" t="s">
        <v>22</v>
      </c>
      <c r="D11" s="122" t="s">
        <v>620</v>
      </c>
      <c r="E11" s="122" t="s">
        <v>636</v>
      </c>
      <c r="F11" s="122" t="s">
        <v>644</v>
      </c>
      <c r="G11" s="122" t="s">
        <v>648</v>
      </c>
    </row>
    <row r="12">
      <c r="A12" s="122" t="s">
        <v>603</v>
      </c>
      <c r="B12" s="120" t="s">
        <v>627</v>
      </c>
      <c r="C12" s="121" t="s">
        <v>23</v>
      </c>
      <c r="D12" s="122" t="s">
        <v>639</v>
      </c>
      <c r="E12" s="122" t="s">
        <v>642</v>
      </c>
      <c r="F12" s="124" t="s">
        <v>637</v>
      </c>
      <c r="G12" s="124" t="s">
        <v>649</v>
      </c>
    </row>
    <row r="13">
      <c r="A13" s="122" t="s">
        <v>604</v>
      </c>
      <c r="B13" s="120" t="s">
        <v>627</v>
      </c>
      <c r="C13" s="121" t="s">
        <v>24</v>
      </c>
      <c r="D13" s="122" t="s">
        <v>620</v>
      </c>
      <c r="E13" s="122" t="s">
        <v>636</v>
      </c>
      <c r="F13" s="122" t="s">
        <v>644</v>
      </c>
      <c r="G13" s="122" t="s">
        <v>650</v>
      </c>
    </row>
    <row r="14" ht="67.5" customHeight="1">
      <c r="A14" s="119" t="s">
        <v>605</v>
      </c>
      <c r="B14" s="120" t="s">
        <v>627</v>
      </c>
      <c r="C14" s="121" t="s">
        <v>25</v>
      </c>
      <c r="D14" s="122" t="s">
        <v>639</v>
      </c>
      <c r="E14" s="119" t="s">
        <v>651</v>
      </c>
      <c r="F14" s="119" t="s">
        <v>634</v>
      </c>
      <c r="G14" s="122" t="s">
        <v>652</v>
      </c>
    </row>
    <row r="15">
      <c r="A15" s="125" t="s">
        <v>606</v>
      </c>
      <c r="B15" s="126" t="s">
        <v>627</v>
      </c>
      <c r="C15" s="127" t="s">
        <v>26</v>
      </c>
      <c r="D15" s="128" t="s">
        <v>639</v>
      </c>
      <c r="E15" s="128" t="s">
        <v>653</v>
      </c>
      <c r="F15" s="128" t="s">
        <v>654</v>
      </c>
      <c r="G15" s="128" t="s">
        <v>655</v>
      </c>
    </row>
    <row r="16">
      <c r="A16" s="115" t="s">
        <v>594</v>
      </c>
      <c r="B16" s="129" t="s">
        <v>656</v>
      </c>
      <c r="C16" s="130" t="s">
        <v>13</v>
      </c>
      <c r="D16" s="118" t="s">
        <v>628</v>
      </c>
      <c r="E16" s="115" t="s">
        <v>629</v>
      </c>
      <c r="F16" s="115" t="s">
        <v>630</v>
      </c>
      <c r="G16" s="118" t="s">
        <v>631</v>
      </c>
    </row>
    <row r="17">
      <c r="A17" s="119" t="s">
        <v>617</v>
      </c>
      <c r="B17" s="131" t="s">
        <v>656</v>
      </c>
      <c r="C17" s="132" t="s">
        <v>407</v>
      </c>
      <c r="D17" s="118" t="s">
        <v>628</v>
      </c>
      <c r="E17" s="115" t="s">
        <v>629</v>
      </c>
      <c r="F17" s="119" t="s">
        <v>630</v>
      </c>
      <c r="G17" s="122" t="s">
        <v>631</v>
      </c>
    </row>
    <row r="18">
      <c r="A18" s="119" t="s">
        <v>595</v>
      </c>
      <c r="B18" s="131" t="s">
        <v>656</v>
      </c>
      <c r="C18" s="132" t="s">
        <v>408</v>
      </c>
      <c r="D18" s="122" t="s">
        <v>632</v>
      </c>
      <c r="E18" s="119" t="s">
        <v>633</v>
      </c>
      <c r="F18" s="122" t="s">
        <v>634</v>
      </c>
      <c r="G18" s="122" t="s">
        <v>635</v>
      </c>
    </row>
    <row r="19" ht="88.5" customHeight="1">
      <c r="A19" s="122" t="s">
        <v>596</v>
      </c>
      <c r="B19" s="131" t="s">
        <v>656</v>
      </c>
      <c r="C19" s="132" t="s">
        <v>409</v>
      </c>
      <c r="D19" s="122" t="s">
        <v>620</v>
      </c>
      <c r="E19" s="122"/>
      <c r="F19" s="122" t="s">
        <v>637</v>
      </c>
      <c r="G19" s="122" t="s">
        <v>657</v>
      </c>
    </row>
    <row r="20" ht="59.25" customHeight="1">
      <c r="A20" s="133" t="s">
        <v>618</v>
      </c>
      <c r="B20" s="131" t="s">
        <v>656</v>
      </c>
      <c r="C20" s="132" t="s">
        <v>410</v>
      </c>
      <c r="D20" s="134"/>
      <c r="E20" s="134"/>
      <c r="F20" s="122" t="s">
        <v>637</v>
      </c>
      <c r="G20" s="122" t="s">
        <v>641</v>
      </c>
    </row>
    <row r="21">
      <c r="A21" s="122" t="s">
        <v>598</v>
      </c>
      <c r="B21" s="131" t="s">
        <v>656</v>
      </c>
      <c r="C21" s="132" t="s">
        <v>411</v>
      </c>
      <c r="D21" s="122" t="s">
        <v>639</v>
      </c>
      <c r="E21" s="122"/>
      <c r="F21" s="122" t="s">
        <v>637</v>
      </c>
      <c r="G21" s="122" t="s">
        <v>658</v>
      </c>
    </row>
    <row r="22" ht="20.25" customHeight="1">
      <c r="A22" s="133" t="s">
        <v>619</v>
      </c>
      <c r="B22" s="131" t="s">
        <v>656</v>
      </c>
      <c r="C22" s="132" t="s">
        <v>412</v>
      </c>
      <c r="D22" s="122" t="s">
        <v>620</v>
      </c>
      <c r="E22" s="122"/>
      <c r="F22" s="122" t="s">
        <v>644</v>
      </c>
      <c r="G22" s="134"/>
    </row>
    <row r="23" ht="53.25" customHeight="1">
      <c r="A23" s="122" t="s">
        <v>601</v>
      </c>
      <c r="B23" s="131" t="s">
        <v>656</v>
      </c>
      <c r="C23" s="135"/>
      <c r="D23" s="122" t="s">
        <v>646</v>
      </c>
      <c r="E23" s="119" t="s">
        <v>628</v>
      </c>
      <c r="F23" s="119" t="s">
        <v>637</v>
      </c>
      <c r="G23" s="122" t="s">
        <v>659</v>
      </c>
    </row>
    <row r="24">
      <c r="A24" s="122" t="s">
        <v>599</v>
      </c>
      <c r="B24" s="131" t="s">
        <v>656</v>
      </c>
      <c r="C24" s="132" t="s">
        <v>414</v>
      </c>
      <c r="D24" s="122" t="s">
        <v>620</v>
      </c>
      <c r="E24" s="134"/>
      <c r="F24" s="122" t="s">
        <v>644</v>
      </c>
      <c r="G24" s="134"/>
    </row>
    <row r="25">
      <c r="A25" s="122" t="s">
        <v>602</v>
      </c>
      <c r="B25" s="131" t="s">
        <v>656</v>
      </c>
      <c r="C25" s="132" t="s">
        <v>415</v>
      </c>
      <c r="D25" s="122" t="s">
        <v>620</v>
      </c>
      <c r="E25" s="122"/>
      <c r="F25" s="122" t="s">
        <v>644</v>
      </c>
      <c r="G25" s="134"/>
    </row>
    <row r="26">
      <c r="A26" s="122" t="s">
        <v>600</v>
      </c>
      <c r="B26" s="131" t="s">
        <v>656</v>
      </c>
      <c r="C26" s="132" t="s">
        <v>416</v>
      </c>
      <c r="D26" s="134"/>
      <c r="E26" s="136"/>
      <c r="F26" s="136" t="s">
        <v>654</v>
      </c>
      <c r="G26" s="136" t="s">
        <v>660</v>
      </c>
    </row>
    <row r="27">
      <c r="A27" s="137" t="s">
        <v>620</v>
      </c>
      <c r="B27" s="131" t="s">
        <v>656</v>
      </c>
      <c r="C27" s="132" t="s">
        <v>417</v>
      </c>
      <c r="D27" s="122" t="s">
        <v>620</v>
      </c>
      <c r="E27" s="134"/>
      <c r="F27" s="122" t="s">
        <v>644</v>
      </c>
      <c r="G27" s="122" t="s">
        <v>661</v>
      </c>
    </row>
    <row r="28" ht="45.75" customHeight="1">
      <c r="A28" s="119" t="s">
        <v>605</v>
      </c>
      <c r="B28" s="131" t="s">
        <v>656</v>
      </c>
      <c r="C28" s="132" t="s">
        <v>418</v>
      </c>
      <c r="D28" s="122" t="s">
        <v>639</v>
      </c>
      <c r="E28" s="119" t="s">
        <v>651</v>
      </c>
      <c r="F28" s="119" t="s">
        <v>634</v>
      </c>
      <c r="G28" s="122" t="s">
        <v>662</v>
      </c>
    </row>
    <row r="29">
      <c r="A29" s="138" t="s">
        <v>606</v>
      </c>
      <c r="B29" s="139" t="s">
        <v>656</v>
      </c>
      <c r="C29" s="140" t="s">
        <v>419</v>
      </c>
      <c r="D29" s="138" t="s">
        <v>639</v>
      </c>
      <c r="E29" s="136"/>
      <c r="F29" s="136" t="s">
        <v>654</v>
      </c>
      <c r="G29" s="136" t="s">
        <v>655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38"/>
    <col customWidth="1" min="2" max="2" width="3.38"/>
    <col customWidth="1" min="3" max="3" width="27.38"/>
    <col customWidth="1" min="4" max="4" width="17.5"/>
    <col customWidth="1" hidden="1" min="5" max="5" width="21.38"/>
    <col customWidth="1" hidden="1" min="6" max="6" width="24.5"/>
  </cols>
  <sheetData>
    <row r="1">
      <c r="A1" s="97" t="s">
        <v>568</v>
      </c>
      <c r="B1" s="141" t="s">
        <v>593</v>
      </c>
      <c r="C1" s="97" t="s">
        <v>663</v>
      </c>
      <c r="D1" s="97" t="s">
        <v>572</v>
      </c>
      <c r="E1" s="97" t="s">
        <v>664</v>
      </c>
      <c r="F1" s="97" t="s">
        <v>665</v>
      </c>
    </row>
    <row r="2">
      <c r="A2" s="142" t="str">
        <f t="shared" ref="A2:A16" si="1">Substitute(SUBSTITUTE(substitute(substitute(substitute(substitute(substitute(substitute(substitute(lower(C2)," ","-"),"(",""),")",""),"&gt;",""),"&lt;",""),"---","-"),".","-"),"--","-"),"&amp;","and")</f>
        <v>landfill-services</v>
      </c>
      <c r="B2" s="143">
        <v>1.0</v>
      </c>
      <c r="C2" s="144" t="s">
        <v>666</v>
      </c>
      <c r="D2" s="144"/>
      <c r="E2" s="144" t="str">
        <f t="shared" ref="E2:E16" si="2">if(F2="","[]",
"["""&amp;SUBSTITUTE(substitute(SUBSTITUTE(LOWER(F2)," ","-"),",-",","),",", """,""")&amp;"""]")</f>
        <v>["fuzzy-sugar-glider","lazy-sugar-glider","red-lyrebird","lazy-lyrebird","red-possum"]</v>
      </c>
      <c r="F2" s="145" t="s">
        <v>667</v>
      </c>
    </row>
    <row r="3">
      <c r="A3" s="142" t="str">
        <f t="shared" si="1"/>
        <v>hazardous-waste-services</v>
      </c>
      <c r="B3" s="143">
        <v>2.0</v>
      </c>
      <c r="C3" s="144" t="s">
        <v>668</v>
      </c>
      <c r="D3" s="144"/>
      <c r="E3" s="144" t="str">
        <f t="shared" si="2"/>
        <v>["fuzzy-sugar-glider","lazy-sugar-glider","noisy-quokka","spotted-koala","golden-possum","red-possum","wild-cassowary"]</v>
      </c>
      <c r="F3" s="145" t="s">
        <v>669</v>
      </c>
    </row>
    <row r="4">
      <c r="A4" s="142" t="str">
        <f t="shared" si="1"/>
        <v>residual-waste-services</v>
      </c>
      <c r="B4" s="143">
        <v>3.0</v>
      </c>
      <c r="C4" s="144" t="s">
        <v>670</v>
      </c>
      <c r="D4" s="144"/>
      <c r="E4" s="144" t="str">
        <f t="shared" si="2"/>
        <v>["fuzzy-sugar-glider","noisy-quokka","spotted-koala","swift-blue-tongue-skink","secure-waste-destruction-services","fuzzy-sugar-glider","spotted-koala"]</v>
      </c>
      <c r="F4" s="145" t="s">
        <v>671</v>
      </c>
    </row>
    <row r="5">
      <c r="A5" s="142" t="str">
        <f t="shared" si="1"/>
        <v>thermal-waste-to-energy-services</v>
      </c>
      <c r="B5" s="143">
        <v>4.0</v>
      </c>
      <c r="C5" s="144" t="s">
        <v>672</v>
      </c>
      <c r="D5" s="144"/>
      <c r="E5" s="144" t="str">
        <f t="shared" si="2"/>
        <v>[]</v>
      </c>
      <c r="F5" s="146"/>
    </row>
    <row r="6">
      <c r="A6" s="142" t="str">
        <f t="shared" si="1"/>
        <v>e-waste-services</v>
      </c>
      <c r="B6" s="143">
        <v>5.0</v>
      </c>
      <c r="C6" s="144" t="s">
        <v>673</v>
      </c>
      <c r="D6" s="144"/>
      <c r="E6" s="144" t="str">
        <f t="shared" si="2"/>
        <v>["spotted-koala","striped-koala","golden-possum"]</v>
      </c>
      <c r="F6" s="146" t="s">
        <v>674</v>
      </c>
    </row>
    <row r="7">
      <c r="A7" s="142" t="str">
        <f t="shared" si="1"/>
        <v>long-term-waste-containment-services</v>
      </c>
      <c r="B7" s="143">
        <v>6.0</v>
      </c>
      <c r="C7" s="144" t="s">
        <v>675</v>
      </c>
      <c r="D7" s="144"/>
      <c r="E7" s="144" t="str">
        <f t="shared" si="2"/>
        <v>[]</v>
      </c>
      <c r="F7" s="146"/>
    </row>
    <row r="8">
      <c r="A8" s="142" t="str">
        <f t="shared" si="1"/>
        <v>construction-and-demolition-services</v>
      </c>
      <c r="B8" s="143">
        <v>7.0</v>
      </c>
      <c r="C8" s="144" t="s">
        <v>676</v>
      </c>
      <c r="D8" s="144"/>
      <c r="E8" s="144" t="str">
        <f t="shared" si="2"/>
        <v>["spotted-koala","striped-frilled-neck-lizard","
noisy-dingo","silent-rosella"]</v>
      </c>
      <c r="F8" s="146" t="s">
        <v>677</v>
      </c>
    </row>
    <row r="9">
      <c r="A9" s="142" t="str">
        <f t="shared" si="1"/>
        <v>metal-recycling-services</v>
      </c>
      <c r="B9" s="143">
        <v>8.0</v>
      </c>
      <c r="C9" s="144" t="s">
        <v>678</v>
      </c>
      <c r="D9" s="144"/>
      <c r="E9" s="144" t="str">
        <f t="shared" si="2"/>
        <v>["spotted-koala","striped-frilled-neck-lizard","noisy-dingo","silent-rosella"]</v>
      </c>
      <c r="F9" s="145" t="s">
        <v>679</v>
      </c>
    </row>
    <row r="10">
      <c r="A10" s="142" t="str">
        <f t="shared" si="1"/>
        <v>municipal-resource-recovery-centre-and-transfer-station-services</v>
      </c>
      <c r="B10" s="143">
        <v>9.0</v>
      </c>
      <c r="C10" s="144" t="s">
        <v>680</v>
      </c>
      <c r="D10" s="144"/>
      <c r="E10" s="144" t="str">
        <f t="shared" si="2"/>
        <v>["fuzzy-sugar-glider","yellow-australian-magpie"]</v>
      </c>
      <c r="F10" s="145" t="s">
        <v>681</v>
      </c>
    </row>
    <row r="11">
      <c r="A11" s="142" t="str">
        <f t="shared" si="1"/>
        <v>recycling-services-comingled</v>
      </c>
      <c r="B11" s="143">
        <v>10.0</v>
      </c>
      <c r="C11" s="144" t="s">
        <v>682</v>
      </c>
      <c r="D11" s="144"/>
      <c r="E11" s="144" t="str">
        <f t="shared" si="2"/>
        <v>["fuzzy-sugar-glider","noisy-quokka","spotted-koala","swift-blue-tongue-skink","yellow-australian-magpie"]</v>
      </c>
      <c r="F11" s="145" t="s">
        <v>683</v>
      </c>
    </row>
    <row r="12">
      <c r="A12" s="142" t="str">
        <f t="shared" si="1"/>
        <v>organics-services</v>
      </c>
      <c r="B12" s="143">
        <v>11.0</v>
      </c>
      <c r="C12" s="144" t="s">
        <v>684</v>
      </c>
      <c r="D12" s="144"/>
      <c r="E12" s="144" t="str">
        <f t="shared" si="2"/>
        <v>["fuzzy-sugar-glider","noisy-quokka","spotted-koala","swift-blue-tongue-skink","wild-kangaroo","wild-numbat","clever-frilled-neck-lizard","red-possum","public-waste","fuzzy-sugar-glider"]</v>
      </c>
      <c r="F12" s="145" t="s">
        <v>685</v>
      </c>
    </row>
    <row r="13">
      <c r="A13" s="142" t="str">
        <f t="shared" si="1"/>
        <v>public-waste-services</v>
      </c>
      <c r="B13" s="143">
        <v>12.0</v>
      </c>
      <c r="C13" s="144" t="s">
        <v>686</v>
      </c>
      <c r="D13" s="144"/>
      <c r="E13" s="144" t="str">
        <f t="shared" si="2"/>
        <v>[]</v>
      </c>
      <c r="F13" s="146"/>
    </row>
    <row r="14">
      <c r="A14" s="142" t="str">
        <f t="shared" si="1"/>
        <v>secure-waste-destruction-services</v>
      </c>
      <c r="B14" s="143">
        <v>13.0</v>
      </c>
      <c r="C14" s="144" t="s">
        <v>687</v>
      </c>
      <c r="D14" s="144"/>
      <c r="E14" s="144" t="str">
        <f t="shared" si="2"/>
        <v>[]</v>
      </c>
      <c r="F14" s="146"/>
    </row>
    <row r="15">
      <c r="A15" s="142" t="str">
        <f t="shared" si="1"/>
        <v>recycling-services-glass</v>
      </c>
      <c r="B15" s="143">
        <v>14.0</v>
      </c>
      <c r="C15" s="144" t="s">
        <v>688</v>
      </c>
      <c r="D15" s="144"/>
      <c r="E15" s="144" t="str">
        <f t="shared" si="2"/>
        <v>["blue-lyrebird","fuzzy-sugar-glider","noisy-quokka","yellow-australian-magpie"]</v>
      </c>
      <c r="F15" s="145" t="s">
        <v>689</v>
      </c>
    </row>
    <row r="16">
      <c r="A16" s="142" t="str">
        <f t="shared" si="1"/>
        <v>container-deposit-scheme-services-cds</v>
      </c>
      <c r="B16" s="143">
        <v>15.0</v>
      </c>
      <c r="C16" s="144" t="s">
        <v>690</v>
      </c>
      <c r="D16" s="144"/>
      <c r="E16" s="144" t="str">
        <f t="shared" si="2"/>
        <v>["fuzzy-sugar-glider","spotted-cockatoo","tiny-platypus","wild-tasmanian-devil"]</v>
      </c>
      <c r="F16" s="145" t="s">
        <v>691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8.38"/>
  </cols>
  <sheetData>
    <row r="1">
      <c r="A1" s="97" t="s">
        <v>663</v>
      </c>
      <c r="B1" s="97" t="s">
        <v>568</v>
      </c>
      <c r="C1" s="97" t="s">
        <v>572</v>
      </c>
    </row>
    <row r="2">
      <c r="A2" s="147" t="s">
        <v>104</v>
      </c>
      <c r="B2" s="148" t="str">
        <f t="shared" ref="B2:B26" si="1">Substitute(SUBSTITUTE(substitute(substitute(substitute(substitute(substitute(substitute(substitute(lower(A2)," ","-"),"(",""),")",""),"&gt;",""),"&lt;",""),"---","-"),".","-"),"--","-"),"&amp;","-and-")</f>
        <v>asbestos</v>
      </c>
      <c r="C2" s="149"/>
    </row>
    <row r="3">
      <c r="A3" s="150" t="s">
        <v>289</v>
      </c>
      <c r="B3" s="151" t="str">
        <f t="shared" si="1"/>
        <v>cleaning</v>
      </c>
      <c r="C3" s="152"/>
    </row>
    <row r="4">
      <c r="A4" s="150" t="s">
        <v>72</v>
      </c>
      <c r="B4" s="151" t="str">
        <f t="shared" si="1"/>
        <v>components</v>
      </c>
      <c r="C4" s="152"/>
    </row>
    <row r="5">
      <c r="A5" s="150" t="s">
        <v>154</v>
      </c>
      <c r="B5" s="151" t="str">
        <f t="shared" si="1"/>
        <v>consultant-services</v>
      </c>
      <c r="C5" s="152"/>
    </row>
    <row r="6">
      <c r="A6" s="150" t="s">
        <v>87</v>
      </c>
      <c r="B6" s="151" t="str">
        <f t="shared" si="1"/>
        <v>feedstock</v>
      </c>
      <c r="C6" s="152"/>
    </row>
    <row r="7">
      <c r="A7" s="150" t="s">
        <v>214</v>
      </c>
      <c r="B7" s="151" t="str">
        <f t="shared" si="1"/>
        <v>fuel</v>
      </c>
      <c r="C7" s="152"/>
    </row>
    <row r="8">
      <c r="A8" s="150" t="s">
        <v>235</v>
      </c>
      <c r="B8" s="151" t="str">
        <f t="shared" si="1"/>
        <v>gas</v>
      </c>
      <c r="C8" s="152"/>
    </row>
    <row r="9">
      <c r="A9" s="150" t="s">
        <v>265</v>
      </c>
      <c r="B9" s="151" t="str">
        <f t="shared" si="1"/>
        <v>hse</v>
      </c>
      <c r="C9" s="152"/>
    </row>
    <row r="10">
      <c r="A10" s="150" t="s">
        <v>340</v>
      </c>
      <c r="B10" s="151" t="str">
        <f t="shared" si="1"/>
        <v>local-government</v>
      </c>
      <c r="C10" s="152"/>
    </row>
    <row r="11">
      <c r="A11" s="150" t="s">
        <v>476</v>
      </c>
      <c r="B11" s="151" t="str">
        <f t="shared" si="1"/>
        <v>partners</v>
      </c>
      <c r="C11" s="152"/>
    </row>
    <row r="12">
      <c r="A12" s="150" t="s">
        <v>178</v>
      </c>
      <c r="B12" s="151" t="str">
        <f t="shared" si="1"/>
        <v>plant-and-equipment</v>
      </c>
      <c r="C12" s="152"/>
    </row>
    <row r="13">
      <c r="A13" s="150" t="s">
        <v>112</v>
      </c>
      <c r="B13" s="151" t="str">
        <f t="shared" si="1"/>
        <v>power</v>
      </c>
      <c r="C13" s="152"/>
    </row>
    <row r="14">
      <c r="A14" s="150" t="s">
        <v>502</v>
      </c>
      <c r="B14" s="151" t="str">
        <f t="shared" si="1"/>
        <v>processing</v>
      </c>
      <c r="C14" s="152"/>
    </row>
    <row r="15">
      <c r="A15" s="150" t="s">
        <v>425</v>
      </c>
      <c r="B15" s="151" t="str">
        <f t="shared" si="1"/>
        <v>recycled-material</v>
      </c>
      <c r="C15" s="152"/>
    </row>
    <row r="16">
      <c r="A16" s="150" t="s">
        <v>149</v>
      </c>
      <c r="B16" s="151" t="str">
        <f t="shared" si="1"/>
        <v>regulator</v>
      </c>
      <c r="C16" s="152"/>
    </row>
    <row r="17">
      <c r="A17" s="150" t="s">
        <v>100</v>
      </c>
      <c r="B17" s="151" t="str">
        <f t="shared" si="1"/>
        <v>repairs-and-maintenance</v>
      </c>
      <c r="C17" s="152"/>
    </row>
    <row r="18">
      <c r="A18" s="150" t="s">
        <v>170</v>
      </c>
      <c r="B18" s="151" t="str">
        <f t="shared" si="1"/>
        <v>techonology</v>
      </c>
      <c r="C18" s="152"/>
    </row>
    <row r="19">
      <c r="A19" s="150" t="s">
        <v>327</v>
      </c>
      <c r="B19" s="151" t="str">
        <f t="shared" si="1"/>
        <v>telecommunications</v>
      </c>
      <c r="C19" s="152"/>
    </row>
    <row r="20">
      <c r="A20" s="150" t="s">
        <v>36</v>
      </c>
      <c r="B20" s="151" t="str">
        <f t="shared" si="1"/>
        <v>transport</v>
      </c>
      <c r="C20" s="152"/>
    </row>
    <row r="21">
      <c r="A21" s="150" t="s">
        <v>188</v>
      </c>
      <c r="B21" s="151" t="str">
        <f t="shared" si="1"/>
        <v>waste-collection</v>
      </c>
      <c r="C21" s="152"/>
    </row>
    <row r="22">
      <c r="A22" s="150" t="s">
        <v>692</v>
      </c>
      <c r="B22" s="151" t="str">
        <f t="shared" si="1"/>
        <v>waste-disposal</v>
      </c>
      <c r="C22" s="152"/>
    </row>
    <row r="23">
      <c r="A23" s="150" t="s">
        <v>253</v>
      </c>
      <c r="B23" s="151" t="str">
        <f t="shared" si="1"/>
        <v>waste-generation</v>
      </c>
      <c r="C23" s="152"/>
    </row>
    <row r="24">
      <c r="A24" s="150" t="s">
        <v>693</v>
      </c>
      <c r="B24" s="151" t="str">
        <f t="shared" si="1"/>
        <v>waste-processing</v>
      </c>
      <c r="C24" s="152"/>
    </row>
    <row r="25">
      <c r="A25" s="150" t="s">
        <v>109</v>
      </c>
      <c r="B25" s="151" t="str">
        <f t="shared" si="1"/>
        <v>water</v>
      </c>
      <c r="C25" s="152"/>
    </row>
    <row r="26">
      <c r="A26" s="153" t="s">
        <v>34</v>
      </c>
      <c r="B26" s="154" t="str">
        <f t="shared" si="1"/>
        <v>not-provided</v>
      </c>
      <c r="C26" s="15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1.5"/>
    <col customWidth="1" min="2" max="2" width="12.88"/>
    <col customWidth="1" min="3" max="3" width="23.63"/>
    <col customWidth="1" min="4" max="4" width="25.88"/>
  </cols>
  <sheetData>
    <row r="1" ht="16.5" customHeight="1">
      <c r="A1" s="97" t="s">
        <v>568</v>
      </c>
      <c r="B1" s="97" t="s">
        <v>663</v>
      </c>
      <c r="C1" s="97" t="s">
        <v>572</v>
      </c>
      <c r="D1" s="97" t="s">
        <v>626</v>
      </c>
    </row>
    <row r="2" ht="21.75" customHeight="1">
      <c r="A2" s="156" t="s">
        <v>576</v>
      </c>
      <c r="B2" s="66" t="s">
        <v>32</v>
      </c>
      <c r="C2" s="66" t="s">
        <v>32</v>
      </c>
      <c r="D2" s="157"/>
    </row>
    <row r="3" ht="21.75" customHeight="1">
      <c r="A3" s="158" t="s">
        <v>593</v>
      </c>
      <c r="B3" s="71" t="s">
        <v>31</v>
      </c>
      <c r="C3" s="71" t="s">
        <v>31</v>
      </c>
      <c r="D3" s="159"/>
    </row>
    <row r="4" ht="21.75" customHeight="1">
      <c r="A4" s="158" t="str">
        <f t="shared" ref="A4:A5" si="1">Substitute(SUBSTITUTE(substitute(substitute(substitute(substitute(substitute(substitute(substitute(lower(B4)," ","-"),"(",""),")",""),"&gt;",""),"&lt;",""),"---","-"),".","-"),"--","-"),"&amp;","-and-")</f>
        <v>partially</v>
      </c>
      <c r="B4" s="71" t="s">
        <v>216</v>
      </c>
      <c r="C4" s="71" t="s">
        <v>694</v>
      </c>
      <c r="D4" s="88" t="s">
        <v>695</v>
      </c>
    </row>
    <row r="5" ht="21.75" customHeight="1">
      <c r="A5" s="160" t="str">
        <f t="shared" si="1"/>
        <v>not-provided</v>
      </c>
      <c r="B5" s="90" t="s">
        <v>34</v>
      </c>
      <c r="C5" s="90" t="s">
        <v>696</v>
      </c>
      <c r="D5" s="16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2.0"/>
    <col customWidth="1" min="3" max="3" width="23.63"/>
    <col customWidth="1" min="4" max="4" width="9.25"/>
    <col customWidth="1" min="5" max="5" width="6.5"/>
    <col customWidth="1" min="6" max="6" width="15.5"/>
    <col customWidth="1" min="7" max="7" width="25.88"/>
  </cols>
  <sheetData>
    <row r="1" ht="29.25" customHeight="1">
      <c r="A1" s="82" t="s">
        <v>663</v>
      </c>
      <c r="B1" s="82" t="s">
        <v>568</v>
      </c>
      <c r="C1" s="82" t="s">
        <v>572</v>
      </c>
      <c r="D1" s="82" t="s">
        <v>697</v>
      </c>
      <c r="E1" s="82" t="s">
        <v>698</v>
      </c>
      <c r="F1" s="82" t="s">
        <v>699</v>
      </c>
      <c r="G1" s="82" t="s">
        <v>626</v>
      </c>
    </row>
    <row r="2" ht="22.5" customHeight="1">
      <c r="A2" s="64" t="s">
        <v>84</v>
      </c>
      <c r="B2" s="162" t="str">
        <f t="shared" ref="B2:B12" si="1">Substitute(SUBSTITUTE(substitute(substitute(substitute(substitute(substitute(substitute(substitute(lower(A2)," ","-"),"(",""),")",""),"&gt;",""),"&lt;",""),"---","-"),".","-"),"--","-"),"&amp;","-and-")</f>
        <v>daily</v>
      </c>
      <c r="C2" s="66" t="s">
        <v>700</v>
      </c>
      <c r="D2" s="163">
        <v>1.0</v>
      </c>
      <c r="E2" s="163" t="s">
        <v>701</v>
      </c>
      <c r="F2" s="164"/>
      <c r="G2" s="164"/>
    </row>
    <row r="3" ht="22.5" customHeight="1">
      <c r="A3" s="165" t="s">
        <v>184</v>
      </c>
      <c r="B3" s="166" t="str">
        <f t="shared" si="1"/>
        <v>weekly</v>
      </c>
      <c r="C3" s="71" t="s">
        <v>702</v>
      </c>
      <c r="D3" s="167">
        <v>1.0</v>
      </c>
      <c r="E3" s="167" t="s">
        <v>703</v>
      </c>
      <c r="F3" s="168"/>
      <c r="G3" s="168"/>
    </row>
    <row r="4" ht="22.5" customHeight="1">
      <c r="A4" s="69" t="s">
        <v>158</v>
      </c>
      <c r="B4" s="166" t="str">
        <f t="shared" si="1"/>
        <v>monthly</v>
      </c>
      <c r="C4" s="71" t="s">
        <v>704</v>
      </c>
      <c r="D4" s="167">
        <v>1.0</v>
      </c>
      <c r="E4" s="167" t="s">
        <v>705</v>
      </c>
      <c r="F4" s="168"/>
      <c r="G4" s="168"/>
    </row>
    <row r="5" ht="22.5" customHeight="1">
      <c r="A5" s="69" t="s">
        <v>162</v>
      </c>
      <c r="B5" s="166" t="str">
        <f t="shared" si="1"/>
        <v>quarterly</v>
      </c>
      <c r="C5" s="71" t="s">
        <v>706</v>
      </c>
      <c r="D5" s="69">
        <v>3.0</v>
      </c>
      <c r="E5" s="167" t="s">
        <v>705</v>
      </c>
      <c r="F5" s="168"/>
      <c r="G5" s="168"/>
    </row>
    <row r="6" ht="22.5" customHeight="1">
      <c r="A6" s="69" t="s">
        <v>152</v>
      </c>
      <c r="B6" s="166" t="str">
        <f t="shared" si="1"/>
        <v>triennial</v>
      </c>
      <c r="C6" s="71" t="s">
        <v>707</v>
      </c>
      <c r="D6" s="69">
        <v>4.0</v>
      </c>
      <c r="E6" s="167" t="s">
        <v>705</v>
      </c>
      <c r="F6" s="168"/>
      <c r="G6" s="168"/>
    </row>
    <row r="7" ht="22.5" customHeight="1">
      <c r="A7" s="69" t="s">
        <v>708</v>
      </c>
      <c r="B7" s="166" t="str">
        <f t="shared" si="1"/>
        <v>biannual</v>
      </c>
      <c r="C7" s="71" t="s">
        <v>709</v>
      </c>
      <c r="D7" s="69">
        <v>6.0</v>
      </c>
      <c r="E7" s="167" t="s">
        <v>705</v>
      </c>
      <c r="F7" s="168"/>
      <c r="G7" s="168"/>
    </row>
    <row r="8" ht="22.5" customHeight="1">
      <c r="A8" s="69" t="s">
        <v>143</v>
      </c>
      <c r="B8" s="166" t="str">
        <f t="shared" si="1"/>
        <v>annual</v>
      </c>
      <c r="C8" s="71" t="s">
        <v>710</v>
      </c>
      <c r="D8" s="69">
        <v>12.0</v>
      </c>
      <c r="E8" s="167" t="s">
        <v>705</v>
      </c>
      <c r="F8" s="168"/>
      <c r="G8" s="168"/>
    </row>
    <row r="9" ht="22.5" customHeight="1">
      <c r="A9" s="69" t="s">
        <v>711</v>
      </c>
      <c r="B9" s="166" t="str">
        <f t="shared" si="1"/>
        <v>ad-hoc</v>
      </c>
      <c r="C9" s="71" t="s">
        <v>712</v>
      </c>
      <c r="D9" s="169" t="s">
        <v>713</v>
      </c>
      <c r="E9" s="168"/>
      <c r="F9" s="168"/>
      <c r="G9" s="168"/>
    </row>
    <row r="10" ht="22.5" customHeight="1">
      <c r="A10" s="69" t="s">
        <v>714</v>
      </c>
      <c r="B10" s="166" t="str">
        <f t="shared" si="1"/>
        <v>unknown</v>
      </c>
      <c r="C10" s="71" t="s">
        <v>715</v>
      </c>
      <c r="D10" s="169" t="s">
        <v>713</v>
      </c>
      <c r="E10" s="168"/>
      <c r="F10" s="168"/>
      <c r="G10" s="168"/>
    </row>
    <row r="11" ht="22.5" customHeight="1">
      <c r="A11" s="167" t="s">
        <v>34</v>
      </c>
      <c r="B11" s="166" t="str">
        <f t="shared" si="1"/>
        <v>not-provided</v>
      </c>
      <c r="C11" s="71" t="s">
        <v>716</v>
      </c>
      <c r="D11" s="169" t="s">
        <v>713</v>
      </c>
      <c r="E11" s="168"/>
      <c r="F11" s="170"/>
      <c r="G11" s="171"/>
    </row>
    <row r="12" ht="22.5" customHeight="1">
      <c r="A12" s="81" t="s">
        <v>255</v>
      </c>
      <c r="B12" s="172" t="str">
        <f t="shared" si="1"/>
        <v>ceased</v>
      </c>
      <c r="C12" s="90" t="s">
        <v>717</v>
      </c>
      <c r="D12" s="173" t="s">
        <v>713</v>
      </c>
      <c r="E12" s="174"/>
      <c r="F12" s="174"/>
      <c r="G12" s="175" t="s">
        <v>718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0.13"/>
    <col customWidth="1" min="2" max="3" width="23.63"/>
    <col customWidth="1" min="4" max="4" width="25.88"/>
  </cols>
  <sheetData>
    <row r="1" ht="16.5" customHeight="1">
      <c r="A1" s="97" t="s">
        <v>568</v>
      </c>
      <c r="B1" s="97" t="s">
        <v>663</v>
      </c>
      <c r="C1" s="97" t="s">
        <v>572</v>
      </c>
      <c r="D1" s="97" t="s">
        <v>626</v>
      </c>
    </row>
    <row r="2">
      <c r="A2" s="176" t="str">
        <f t="shared" ref="A2:A7" si="1">Substitute(SUBSTITUTE(substitute(substitute(substitute(substitute(substitute(substitute(substitute(lower(B2)," ","-"),"(",""),")",""),"&gt;",""),"&lt;",""),"---","-"),".","-"),"--","-"),"&amp;","-and-")</f>
        <v>alternative-supplier</v>
      </c>
      <c r="B2" s="5" t="s">
        <v>33</v>
      </c>
      <c r="C2" s="5"/>
      <c r="D2" s="177"/>
    </row>
    <row r="3">
      <c r="A3" s="176" t="str">
        <f t="shared" si="1"/>
        <v>bc-strategy</v>
      </c>
      <c r="B3" s="5" t="s">
        <v>304</v>
      </c>
      <c r="C3" s="5"/>
      <c r="D3" s="177" t="s">
        <v>719</v>
      </c>
    </row>
    <row r="4">
      <c r="A4" s="176" t="str">
        <f t="shared" si="1"/>
        <v>generator</v>
      </c>
      <c r="B4" s="5" t="s">
        <v>360</v>
      </c>
      <c r="C4" s="5"/>
      <c r="D4" s="178"/>
    </row>
    <row r="5">
      <c r="A5" s="176" t="str">
        <f t="shared" si="1"/>
        <v>manual-processes</v>
      </c>
      <c r="B5" s="5" t="s">
        <v>173</v>
      </c>
      <c r="C5" s="5"/>
      <c r="D5" s="178"/>
    </row>
    <row r="6">
      <c r="A6" s="176" t="str">
        <f t="shared" si="1"/>
        <v>stockpiling</v>
      </c>
      <c r="B6" s="5" t="s">
        <v>55</v>
      </c>
      <c r="D6" s="178"/>
    </row>
    <row r="7">
      <c r="A7" s="176" t="str">
        <f t="shared" si="1"/>
        <v>not-provided</v>
      </c>
      <c r="B7" s="5" t="s">
        <v>34</v>
      </c>
      <c r="C7" s="5"/>
      <c r="D7" s="17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3.63"/>
    <col customWidth="1" min="2" max="2" width="20.13"/>
    <col customWidth="1" min="3" max="3" width="23.63"/>
    <col customWidth="1" min="4" max="4" width="25.88"/>
  </cols>
  <sheetData>
    <row r="1" ht="16.5" customHeight="1">
      <c r="A1" s="97" t="s">
        <v>663</v>
      </c>
      <c r="B1" s="97" t="s">
        <v>568</v>
      </c>
      <c r="C1" s="97" t="s">
        <v>572</v>
      </c>
      <c r="D1" s="97" t="s">
        <v>626</v>
      </c>
    </row>
    <row r="2">
      <c r="A2" s="5" t="s">
        <v>422</v>
      </c>
      <c r="B2" s="176" t="str">
        <f t="shared" ref="B2:B5" si="1">Substitute(SUBSTITUTE(substitute(substitute(substitute(substitute(substitute(substitute(substitute(lower(A2)," ","-"),"(",""),")",""),"&gt;",""),"&lt;",""),"---","-"),".","-"),"--","-"),"&amp;","-and-")</f>
        <v>same-region</v>
      </c>
      <c r="C2" s="5"/>
      <c r="D2" s="177" t="s">
        <v>720</v>
      </c>
    </row>
    <row r="3">
      <c r="A3" s="5" t="s">
        <v>469</v>
      </c>
      <c r="B3" s="176" t="str">
        <f t="shared" si="1"/>
        <v>spread-across-multiple-regions</v>
      </c>
      <c r="C3" s="5"/>
      <c r="D3" s="178"/>
    </row>
    <row r="4">
      <c r="A4" s="5" t="s">
        <v>439</v>
      </c>
      <c r="B4" s="176" t="str">
        <f t="shared" si="1"/>
        <v>statewide</v>
      </c>
      <c r="C4" s="5"/>
      <c r="D4" s="178"/>
    </row>
    <row r="5">
      <c r="A5" s="5" t="s">
        <v>34</v>
      </c>
      <c r="B5" s="176" t="str">
        <f t="shared" si="1"/>
        <v>not-provided</v>
      </c>
      <c r="C5" s="5"/>
      <c r="D5" s="17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21.75"/>
    <col customWidth="1" min="3" max="3" width="46.13"/>
    <col customWidth="1" min="5" max="5" width="34.5"/>
  </cols>
  <sheetData>
    <row r="1">
      <c r="A1" s="8"/>
      <c r="B1" s="8"/>
      <c r="C1" s="8"/>
      <c r="D1" s="8"/>
      <c r="E1" s="8"/>
      <c r="F1" s="8"/>
    </row>
    <row r="2">
      <c r="A2" s="8"/>
      <c r="B2" s="9" t="s">
        <v>721</v>
      </c>
      <c r="C2" s="8"/>
      <c r="D2" s="8"/>
      <c r="E2" s="8"/>
      <c r="F2" s="8"/>
    </row>
    <row r="3">
      <c r="A3" s="8"/>
      <c r="B3" s="8"/>
      <c r="C3" s="8"/>
      <c r="D3" s="8"/>
      <c r="E3" s="8"/>
      <c r="F3" s="8"/>
    </row>
    <row r="4" ht="75.0" customHeight="1">
      <c r="A4" s="8"/>
      <c r="B4" s="179" t="s">
        <v>722</v>
      </c>
      <c r="D4" s="8"/>
      <c r="E4" s="8"/>
      <c r="F4" s="8"/>
    </row>
    <row r="5">
      <c r="A5" s="8"/>
      <c r="B5" s="8"/>
      <c r="C5" s="8"/>
      <c r="D5" s="8"/>
      <c r="E5" s="8"/>
      <c r="F5" s="8"/>
    </row>
    <row r="6" ht="24.0" customHeight="1">
      <c r="A6" s="56"/>
      <c r="B6" s="57" t="s">
        <v>537</v>
      </c>
      <c r="C6" s="57" t="s">
        <v>538</v>
      </c>
      <c r="D6" s="57" t="s">
        <v>539</v>
      </c>
      <c r="E6" s="57" t="s">
        <v>541</v>
      </c>
      <c r="F6" s="56"/>
    </row>
    <row r="7" ht="64.5" customHeight="1">
      <c r="A7" s="8"/>
      <c r="B7" s="58" t="s">
        <v>723</v>
      </c>
      <c r="C7" s="58"/>
      <c r="D7" s="58"/>
      <c r="E7" s="58"/>
      <c r="F7" s="8"/>
    </row>
    <row r="8" ht="61.5" customHeight="1">
      <c r="A8" s="8"/>
      <c r="B8" s="59" t="s">
        <v>724</v>
      </c>
      <c r="C8" s="59"/>
      <c r="D8" s="59"/>
      <c r="E8" s="59"/>
      <c r="F8" s="8"/>
    </row>
    <row r="9" ht="61.5" customHeight="1">
      <c r="A9" s="8"/>
      <c r="B9" s="59" t="s">
        <v>725</v>
      </c>
      <c r="C9" s="59"/>
      <c r="D9" s="59"/>
      <c r="E9" s="59"/>
      <c r="F9" s="8"/>
    </row>
    <row r="10" ht="76.5" customHeight="1">
      <c r="A10" s="8"/>
      <c r="B10" s="59" t="s">
        <v>726</v>
      </c>
      <c r="C10" s="59"/>
      <c r="D10" s="59"/>
      <c r="E10" s="59"/>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sheetData>
  <mergeCells count="1">
    <mergeCell ref="B4:C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3" max="3" width="3.5"/>
    <col customWidth="1" min="5" max="5" width="5.13"/>
    <col customWidth="1" min="7" max="7" width="2.13"/>
    <col customWidth="1" min="9" max="9" width="3.88"/>
    <col customWidth="1" min="11" max="11" width="3.0"/>
    <col customWidth="1" min="13" max="13" width="4.25"/>
    <col customWidth="1" min="14" max="14" width="13.88"/>
  </cols>
  <sheetData>
    <row r="1">
      <c r="A1" s="180" t="s">
        <v>727</v>
      </c>
      <c r="B1" s="93"/>
      <c r="C1" s="181"/>
      <c r="D1" s="1"/>
    </row>
    <row r="2" ht="49.5" customHeight="1">
      <c r="A2" s="182" t="s">
        <v>728</v>
      </c>
    </row>
    <row r="3">
      <c r="A3" s="183"/>
    </row>
    <row r="4">
      <c r="A4" s="183"/>
      <c r="B4" s="93" t="s">
        <v>729</v>
      </c>
      <c r="C4" s="181"/>
      <c r="D4" s="1"/>
      <c r="F4" s="93" t="s">
        <v>730</v>
      </c>
      <c r="J4" s="93" t="s">
        <v>731</v>
      </c>
      <c r="N4" s="93" t="s">
        <v>732</v>
      </c>
    </row>
    <row r="5" ht="14.25" customHeight="1">
      <c r="A5" s="184"/>
      <c r="B5" s="185" t="s">
        <v>393</v>
      </c>
      <c r="C5" s="186" t="s">
        <v>733</v>
      </c>
      <c r="D5" s="187" t="str">
        <f>'schema-frequency'!$B$5</f>
        <v>quarterly</v>
      </c>
      <c r="E5" s="188"/>
      <c r="F5" s="189" t="str">
        <f>'schema-yn'!B2</f>
        <v>Yes</v>
      </c>
      <c r="G5" s="186" t="s">
        <v>733</v>
      </c>
      <c r="H5" s="187" t="str">
        <f>'schema-yn'!A2</f>
        <v>yes</v>
      </c>
      <c r="I5" s="188"/>
      <c r="J5" s="189" t="str">
        <f>'schema-resilience-options'!B2</f>
        <v>Alternative supplier</v>
      </c>
      <c r="K5" s="186" t="s">
        <v>733</v>
      </c>
      <c r="L5" s="187" t="str">
        <f>'schema-resilience-options'!A2</f>
        <v>alternative-supplier</v>
      </c>
      <c r="M5" s="188"/>
      <c r="N5" s="190" t="s">
        <v>219</v>
      </c>
      <c r="O5" s="186" t="s">
        <v>733</v>
      </c>
      <c r="P5" s="187" t="str">
        <f>'schema-resilience-options'!E2</f>
        <v/>
      </c>
      <c r="Q5" s="188"/>
      <c r="R5" s="188"/>
      <c r="S5" s="188"/>
      <c r="T5" s="188"/>
      <c r="U5" s="188"/>
      <c r="V5" s="188"/>
      <c r="W5" s="188"/>
      <c r="X5" s="188"/>
      <c r="Y5" s="188"/>
      <c r="Z5" s="188"/>
      <c r="AA5" s="188"/>
      <c r="AB5" s="188"/>
      <c r="AC5" s="188"/>
    </row>
    <row r="6">
      <c r="A6" s="191"/>
      <c r="B6" s="192" t="s">
        <v>390</v>
      </c>
      <c r="C6" s="193" t="s">
        <v>733</v>
      </c>
      <c r="D6" s="194" t="str">
        <f>'schema-frequency'!$B$7</f>
        <v>biannual</v>
      </c>
      <c r="E6" s="188"/>
      <c r="F6" s="195" t="str">
        <f>'schema-yn'!B3</f>
        <v>No</v>
      </c>
      <c r="G6" s="193" t="s">
        <v>733</v>
      </c>
      <c r="H6" s="194" t="str">
        <f>'schema-yn'!A3</f>
        <v>no</v>
      </c>
      <c r="I6" s="188"/>
      <c r="J6" s="195" t="str">
        <f>'schema-resilience-options'!B3</f>
        <v>BC Strategy</v>
      </c>
      <c r="K6" s="193" t="s">
        <v>733</v>
      </c>
      <c r="L6" s="194" t="str">
        <f>'schema-resilience-options'!A3</f>
        <v>bc-strategy</v>
      </c>
      <c r="M6" s="188"/>
      <c r="N6" s="196" t="s">
        <v>34</v>
      </c>
      <c r="O6" s="193" t="s">
        <v>733</v>
      </c>
      <c r="P6" s="194" t="str">
        <f>'schema-resilience-options'!E3</f>
        <v/>
      </c>
      <c r="Q6" s="188"/>
      <c r="R6" s="188"/>
      <c r="S6" s="188"/>
      <c r="T6" s="188"/>
      <c r="U6" s="188"/>
      <c r="V6" s="188"/>
      <c r="W6" s="188"/>
      <c r="X6" s="188"/>
      <c r="Y6" s="188"/>
      <c r="Z6" s="188"/>
      <c r="AA6" s="188"/>
      <c r="AB6" s="188"/>
      <c r="AC6" s="188"/>
    </row>
    <row r="7">
      <c r="A7" s="184"/>
      <c r="B7" s="192" t="s">
        <v>403</v>
      </c>
      <c r="C7" s="193" t="s">
        <v>733</v>
      </c>
      <c r="D7" s="194" t="str">
        <f>'schema-frequency'!$B$7</f>
        <v>biannual</v>
      </c>
      <c r="E7" s="188"/>
      <c r="F7" s="195" t="str">
        <f>'schema-yn'!B4</f>
        <v>Partially</v>
      </c>
      <c r="G7" s="193" t="s">
        <v>733</v>
      </c>
      <c r="H7" s="194" t="str">
        <f>'schema-yn'!A4</f>
        <v>partially</v>
      </c>
      <c r="I7" s="188"/>
      <c r="J7" s="195" t="str">
        <f>'schema-resilience-options'!B4</f>
        <v>Generator</v>
      </c>
      <c r="K7" s="193" t="s">
        <v>733</v>
      </c>
      <c r="L7" s="194" t="str">
        <f>'schema-resilience-options'!A4</f>
        <v>generator</v>
      </c>
      <c r="M7" s="188"/>
      <c r="N7" s="197"/>
      <c r="O7" s="193" t="s">
        <v>733</v>
      </c>
      <c r="P7" s="194" t="str">
        <f>'schema-resilience-options'!E4</f>
        <v/>
      </c>
      <c r="Q7" s="188"/>
      <c r="R7" s="188"/>
      <c r="S7" s="188"/>
      <c r="T7" s="188"/>
      <c r="U7" s="188"/>
      <c r="V7" s="188"/>
      <c r="W7" s="188"/>
      <c r="X7" s="188"/>
      <c r="Y7" s="188"/>
      <c r="Z7" s="188"/>
      <c r="AA7" s="188"/>
      <c r="AB7" s="188"/>
      <c r="AC7" s="188"/>
    </row>
    <row r="8">
      <c r="A8" s="184"/>
      <c r="B8" s="192" t="s">
        <v>165</v>
      </c>
      <c r="C8" s="193" t="s">
        <v>733</v>
      </c>
      <c r="D8" s="194" t="str">
        <f>'schema-frequency'!$B$9</f>
        <v>ad-hoc</v>
      </c>
      <c r="E8" s="188"/>
      <c r="F8" s="195" t="str">
        <f>'schema-yn'!B5</f>
        <v>Not provided</v>
      </c>
      <c r="G8" s="193" t="s">
        <v>733</v>
      </c>
      <c r="H8" s="194" t="str">
        <f>'schema-yn'!A5</f>
        <v>not-provided</v>
      </c>
      <c r="I8" s="188"/>
      <c r="J8" s="195" t="str">
        <f>'schema-resilience-options'!B5</f>
        <v>Manual processes</v>
      </c>
      <c r="K8" s="193" t="s">
        <v>733</v>
      </c>
      <c r="L8" s="194" t="str">
        <f>'schema-resilience-options'!A5</f>
        <v>manual-processes</v>
      </c>
      <c r="M8" s="188"/>
      <c r="N8" s="197"/>
      <c r="O8" s="193" t="s">
        <v>733</v>
      </c>
      <c r="P8" s="194" t="str">
        <f>'schema-resilience-options'!E5</f>
        <v/>
      </c>
      <c r="Q8" s="188"/>
      <c r="R8" s="188"/>
      <c r="S8" s="188"/>
      <c r="T8" s="188"/>
      <c r="U8" s="188"/>
      <c r="V8" s="188"/>
      <c r="W8" s="188"/>
      <c r="X8" s="188"/>
      <c r="Y8" s="188"/>
      <c r="Z8" s="188"/>
      <c r="AA8" s="188"/>
      <c r="AB8" s="188"/>
      <c r="AC8" s="188"/>
    </row>
    <row r="9">
      <c r="A9" s="198"/>
      <c r="B9" s="192" t="s">
        <v>143</v>
      </c>
      <c r="C9" s="193" t="s">
        <v>733</v>
      </c>
      <c r="D9" s="194" t="str">
        <f>'schema-frequency'!$B$8</f>
        <v>annual</v>
      </c>
      <c r="E9" s="188"/>
      <c r="F9" s="195"/>
      <c r="G9" s="193"/>
      <c r="H9" s="194"/>
      <c r="I9" s="188"/>
      <c r="J9" s="195" t="str">
        <f>'schema-resilience-options'!B6</f>
        <v>Stockpiling</v>
      </c>
      <c r="K9" s="193" t="s">
        <v>733</v>
      </c>
      <c r="L9" s="194" t="str">
        <f>'schema-resilience-options'!A6</f>
        <v>stockpiling</v>
      </c>
      <c r="M9" s="188"/>
      <c r="N9" s="196"/>
      <c r="O9" s="193" t="s">
        <v>733</v>
      </c>
      <c r="P9" s="194" t="str">
        <f>'schema-resilience-options'!E6</f>
        <v/>
      </c>
      <c r="Q9" s="188"/>
      <c r="R9" s="188"/>
      <c r="S9" s="188"/>
      <c r="T9" s="188"/>
      <c r="U9" s="188"/>
      <c r="V9" s="188"/>
      <c r="W9" s="188"/>
      <c r="X9" s="188"/>
      <c r="Y9" s="188"/>
      <c r="Z9" s="188"/>
      <c r="AA9" s="188"/>
      <c r="AB9" s="188"/>
      <c r="AC9" s="188"/>
    </row>
    <row r="10">
      <c r="A10" s="184"/>
      <c r="B10" s="192" t="s">
        <v>92</v>
      </c>
      <c r="C10" s="193" t="s">
        <v>733</v>
      </c>
      <c r="D10" s="194" t="str">
        <f>'schema-frequency'!$B$9</f>
        <v>ad-hoc</v>
      </c>
      <c r="E10" s="188"/>
      <c r="F10" s="199"/>
      <c r="G10" s="200"/>
      <c r="H10" s="201"/>
      <c r="I10" s="188"/>
      <c r="J10" s="199" t="str">
        <f>'schema-resilience-options'!B7</f>
        <v>Not provided</v>
      </c>
      <c r="K10" s="200" t="s">
        <v>733</v>
      </c>
      <c r="L10" s="201" t="str">
        <f>'schema-resilience-options'!A7</f>
        <v>not-provided</v>
      </c>
      <c r="M10" s="188"/>
      <c r="N10" s="202"/>
      <c r="O10" s="200" t="s">
        <v>733</v>
      </c>
      <c r="P10" s="201" t="str">
        <f>'schema-resilience-options'!E7</f>
        <v/>
      </c>
      <c r="Q10" s="188"/>
      <c r="R10" s="188"/>
      <c r="S10" s="188"/>
      <c r="T10" s="188"/>
      <c r="U10" s="188"/>
      <c r="V10" s="188"/>
      <c r="W10" s="188"/>
      <c r="X10" s="188"/>
      <c r="Y10" s="188"/>
      <c r="Z10" s="188"/>
      <c r="AA10" s="188"/>
      <c r="AB10" s="188"/>
      <c r="AC10" s="188"/>
    </row>
    <row r="11">
      <c r="A11" s="184"/>
      <c r="B11" s="203" t="s">
        <v>420</v>
      </c>
      <c r="C11" s="193" t="s">
        <v>733</v>
      </c>
      <c r="D11" s="194" t="str">
        <f>'schema-frequency'!$B$9</f>
        <v>ad-hoc</v>
      </c>
      <c r="E11" s="188"/>
      <c r="F11" s="18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row>
    <row r="12">
      <c r="A12" s="198"/>
      <c r="B12" s="192" t="s">
        <v>255</v>
      </c>
      <c r="C12" s="193" t="s">
        <v>733</v>
      </c>
      <c r="D12" s="194" t="str">
        <f>'schema-frequency'!$B$12</f>
        <v>ceased</v>
      </c>
      <c r="E12" s="188"/>
      <c r="F12" s="188"/>
      <c r="G12" s="188"/>
      <c r="H12" s="188"/>
      <c r="I12" s="188"/>
      <c r="J12" s="188"/>
      <c r="K12" s="188"/>
      <c r="L12" s="188"/>
      <c r="M12" s="188"/>
      <c r="N12" s="188"/>
      <c r="O12" s="188"/>
      <c r="P12" s="188"/>
      <c r="Q12" s="188"/>
      <c r="R12" s="188"/>
      <c r="S12" s="188"/>
      <c r="T12" s="188"/>
      <c r="U12" s="188"/>
      <c r="V12" s="188"/>
      <c r="W12" s="188"/>
      <c r="X12" s="188"/>
      <c r="Y12" s="188"/>
      <c r="Z12" s="188"/>
      <c r="AA12" s="188"/>
      <c r="AB12" s="188"/>
      <c r="AC12" s="188"/>
    </row>
    <row r="13">
      <c r="A13" s="184"/>
      <c r="B13" s="204" t="s">
        <v>84</v>
      </c>
      <c r="C13" s="193" t="s">
        <v>733</v>
      </c>
      <c r="D13" s="194" t="str">
        <f>'schema-frequency'!$B$2</f>
        <v>daily</v>
      </c>
      <c r="E13" s="188"/>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row>
    <row r="14">
      <c r="A14" s="198"/>
      <c r="B14" s="192" t="s">
        <v>158</v>
      </c>
      <c r="C14" s="193" t="s">
        <v>733</v>
      </c>
      <c r="D14" s="194" t="str">
        <f>'schema-frequency'!$B$4</f>
        <v>monthly</v>
      </c>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88"/>
      <c r="AC14" s="188"/>
    </row>
    <row r="15">
      <c r="A15" s="184"/>
      <c r="B15" s="192" t="s">
        <v>386</v>
      </c>
      <c r="C15" s="193" t="s">
        <v>733</v>
      </c>
      <c r="D15" s="194" t="str">
        <f>'schema-frequency'!$B$4</f>
        <v>monthly</v>
      </c>
      <c r="E15" s="188"/>
      <c r="F15" s="188"/>
      <c r="G15" s="188"/>
      <c r="H15" s="188"/>
      <c r="I15" s="188"/>
      <c r="J15" s="188"/>
      <c r="K15" s="188"/>
      <c r="L15" s="188"/>
      <c r="M15" s="188"/>
      <c r="N15" s="188"/>
      <c r="O15" s="188"/>
      <c r="P15" s="188"/>
      <c r="Q15" s="188"/>
      <c r="R15" s="188"/>
      <c r="S15" s="188"/>
      <c r="T15" s="188"/>
      <c r="U15" s="188"/>
      <c r="V15" s="188"/>
      <c r="W15" s="188"/>
      <c r="X15" s="188"/>
      <c r="Y15" s="188"/>
      <c r="Z15" s="188"/>
      <c r="AA15" s="188"/>
      <c r="AB15" s="188"/>
      <c r="AC15" s="188"/>
    </row>
    <row r="16">
      <c r="A16" s="205"/>
      <c r="B16" s="204" t="s">
        <v>117</v>
      </c>
      <c r="C16" s="193" t="s">
        <v>733</v>
      </c>
      <c r="D16" s="194" t="str">
        <f>'schema-frequency'!$B$10</f>
        <v>unknown</v>
      </c>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row>
    <row r="17">
      <c r="A17" s="184"/>
      <c r="B17" s="204" t="s">
        <v>29</v>
      </c>
      <c r="C17" s="193" t="s">
        <v>733</v>
      </c>
      <c r="D17" s="194" t="str">
        <f>'schema-frequency'!$B$11</f>
        <v>not-provided</v>
      </c>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row>
    <row r="18">
      <c r="A18" s="188"/>
      <c r="B18" s="192" t="s">
        <v>162</v>
      </c>
      <c r="C18" s="193" t="s">
        <v>733</v>
      </c>
      <c r="D18" s="194" t="str">
        <f>'schema-frequency'!$B$5</f>
        <v>quarterly</v>
      </c>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row>
    <row r="19">
      <c r="A19" s="188"/>
      <c r="B19" s="204" t="s">
        <v>69</v>
      </c>
      <c r="C19" s="193" t="s">
        <v>733</v>
      </c>
      <c r="D19" s="194" t="str">
        <f>'schema-frequency'!$B$11</f>
        <v>not-provided</v>
      </c>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row>
    <row r="20">
      <c r="A20" s="188"/>
      <c r="B20" s="192" t="s">
        <v>152</v>
      </c>
      <c r="C20" s="193" t="s">
        <v>733</v>
      </c>
      <c r="D20" s="194" t="str">
        <f>'schema-frequency'!$B$6</f>
        <v>triennial</v>
      </c>
      <c r="E20" s="188"/>
      <c r="F20" s="188"/>
      <c r="G20" s="188"/>
      <c r="H20" s="188"/>
      <c r="I20" s="188"/>
      <c r="J20" s="188"/>
      <c r="K20" s="188"/>
      <c r="L20" s="188"/>
      <c r="M20" s="188"/>
      <c r="N20" s="188"/>
      <c r="O20" s="188"/>
      <c r="P20" s="188"/>
      <c r="Q20" s="188"/>
      <c r="R20" s="188"/>
      <c r="S20" s="188"/>
      <c r="T20" s="188"/>
      <c r="U20" s="188"/>
      <c r="V20" s="188"/>
      <c r="W20" s="188"/>
      <c r="X20" s="188"/>
      <c r="Y20" s="188"/>
      <c r="Z20" s="188"/>
      <c r="AA20" s="188"/>
      <c r="AB20" s="188"/>
      <c r="AC20" s="188"/>
    </row>
    <row r="21">
      <c r="A21" s="188"/>
      <c r="B21" s="206" t="s">
        <v>184</v>
      </c>
      <c r="C21" s="193" t="s">
        <v>733</v>
      </c>
      <c r="D21" s="194" t="str">
        <f>'schema-frequency'!$B$3</f>
        <v>weekly</v>
      </c>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row>
    <row r="22">
      <c r="A22" s="188"/>
      <c r="B22" s="207" t="s">
        <v>396</v>
      </c>
      <c r="C22" s="200" t="s">
        <v>733</v>
      </c>
      <c r="D22" s="201" t="str">
        <f>'schema-frequency'!$B$3</f>
        <v>weekly</v>
      </c>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row>
    <row r="23">
      <c r="A23" s="188"/>
      <c r="B23" s="188"/>
      <c r="C23" s="188"/>
      <c r="D23" s="188"/>
      <c r="E23" s="188"/>
      <c r="F23" s="188"/>
      <c r="G23" s="188"/>
      <c r="H23" s="188"/>
      <c r="I23" s="188"/>
      <c r="J23" s="188"/>
      <c r="K23" s="188"/>
      <c r="L23" s="188"/>
      <c r="M23" s="188"/>
      <c r="N23" s="188"/>
      <c r="O23" s="188"/>
      <c r="P23" s="188"/>
      <c r="Q23" s="188"/>
      <c r="R23" s="188"/>
      <c r="S23" s="188"/>
      <c r="T23" s="188"/>
      <c r="U23" s="188"/>
      <c r="V23" s="188"/>
      <c r="W23" s="188"/>
      <c r="X23" s="188"/>
      <c r="Y23" s="188"/>
      <c r="Z23" s="188"/>
      <c r="AA23" s="188"/>
      <c r="AB23" s="188"/>
      <c r="AC23" s="188"/>
    </row>
  </sheetData>
  <mergeCells count="1">
    <mergeCell ref="A2: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2.25"/>
    <col customWidth="1" min="2" max="2" width="19.5"/>
    <col customWidth="1" min="3" max="3" width="9.0"/>
    <col customWidth="1" min="4" max="4" width="5.88"/>
    <col customWidth="1" min="5" max="5" width="17.75"/>
    <col customWidth="1" min="6" max="6" width="17.25"/>
    <col customWidth="1" min="7" max="7" width="21.63"/>
    <col customWidth="1" min="8" max="8" width="7.25"/>
    <col customWidth="1" min="9" max="9" width="10.13"/>
    <col customWidth="1" min="10" max="10" width="18.5"/>
    <col customWidth="1" min="11" max="11" width="8.0"/>
    <col customWidth="1" min="12" max="12" width="3.0"/>
    <col customWidth="1" min="13" max="13" width="16.88"/>
    <col customWidth="1" min="14" max="14" width="8.13"/>
  </cols>
  <sheetData>
    <row r="1">
      <c r="A1" s="208" t="s">
        <v>734</v>
      </c>
      <c r="B1" s="93"/>
      <c r="C1" s="93"/>
      <c r="D1" s="93"/>
      <c r="E1" s="93"/>
      <c r="F1" s="93"/>
      <c r="G1" s="93"/>
    </row>
    <row r="2" ht="61.5" customHeight="1">
      <c r="A2" s="5" t="s">
        <v>735</v>
      </c>
      <c r="F2" s="93"/>
      <c r="G2" s="93"/>
    </row>
    <row r="3">
      <c r="A3" s="60" t="str">
        <f>"Non-responsible entities ("&amp;COUNTA(A4:A237)&amp;")"</f>
        <v>Non-responsible entities (218)</v>
      </c>
      <c r="B3" s="209" t="str">
        <f>"All link entities ("&amp;COUNTA(B4:B237)&amp;")"</f>
        <v>All link entities (234)</v>
      </c>
      <c r="C3" s="209" t="str">
        <f>"Is RE? ("&amp;COUNTIF(C4:C237 ,"YES")&amp;")"</f>
        <v>Is RE? (16)</v>
      </c>
      <c r="D3" s="209"/>
      <c r="E3" s="209" t="str">
        <f>"All Upstream ("&amp;COUNTA(E4:E182)&amp;")"</f>
        <v>All Upstream (179)</v>
      </c>
      <c r="F3" s="209" t="str">
        <f>"Downstream ("&amp;COUNTA(F4:F71)&amp;")"</f>
        <v>Downstream (68)</v>
      </c>
      <c r="G3" s="209" t="str">
        <f>"Upstream and downstream ("&amp;COUNTA(G4:G16)&amp;")"</f>
        <v>Upstream and downstream (13)</v>
      </c>
      <c r="H3" s="209" t="str">
        <f>"Is RE? ("&amp;COUNTIF(H4:H237 ,"YES")&amp;")"</f>
        <v>Is RE? (7)</v>
      </c>
      <c r="I3" s="209"/>
      <c r="J3" s="209" t="str">
        <f>"Upstream only ("&amp;COUNTA(J4:J169)&amp;")"</f>
        <v>Upstream only (166)</v>
      </c>
      <c r="K3" s="209" t="str">
        <f>"Is RE? ("&amp;COUNTIF(K4:K237 ,"YES")&amp;")"</f>
        <v>Is RE? (5)</v>
      </c>
      <c r="L3" s="209"/>
      <c r="M3" s="209" t="str">
        <f>"Downstream only ("&amp;COUNTA(M4:M169)&amp;")"</f>
        <v>Downstream only (55)</v>
      </c>
      <c r="N3" s="209" t="str">
        <f>"Is RE? ("&amp;COUNTIF(N4:N237 ,"YES")&amp;")"</f>
        <v>Is RE? (4)</v>
      </c>
    </row>
    <row r="4">
      <c r="A4" s="210" t="s">
        <v>325</v>
      </c>
      <c r="B4" s="211" t="s">
        <v>325</v>
      </c>
      <c r="C4" s="211" t="str">
        <f>if(isError(vlookup(B4,'node-RE'!$C:$C, 1, FALSE)), "NO", "YES")</f>
        <v>NO</v>
      </c>
      <c r="D4" s="212"/>
      <c r="E4" s="212" t="s">
        <v>325</v>
      </c>
      <c r="F4" s="213" t="s">
        <v>454</v>
      </c>
      <c r="G4" s="211" t="s">
        <v>40</v>
      </c>
      <c r="H4" s="211" t="str">
        <f>if(isError(vlookup(G4,'node-RE'!$C:$C, 1, FALSE)), "NO", "YES")</f>
        <v>NO</v>
      </c>
      <c r="I4" s="212"/>
      <c r="J4" s="212" t="s">
        <v>325</v>
      </c>
      <c r="K4" s="211" t="str">
        <f>if(isError(vlookup(J4,'node-RE'!$C:$C, 1, FALSE)), "NO", "YES")</f>
        <v>NO</v>
      </c>
      <c r="L4" s="213"/>
      <c r="M4" s="213" t="s">
        <v>454</v>
      </c>
      <c r="N4" s="211" t="str">
        <f>if(isError(vlookup(M4,'node-RE'!$C:$C, 1, FALSE)), "NO", "YES")</f>
        <v>NO</v>
      </c>
    </row>
    <row r="5">
      <c r="A5" s="210" t="s">
        <v>454</v>
      </c>
      <c r="B5" s="211" t="s">
        <v>454</v>
      </c>
      <c r="C5" s="211" t="str">
        <f>if(isError(vlookup(B5,'node-RE'!C:C, 1, FALSE)), "NO", "YES")</f>
        <v>NO</v>
      </c>
      <c r="D5" s="214"/>
      <c r="E5" s="214" t="s">
        <v>28</v>
      </c>
      <c r="F5" s="213" t="s">
        <v>428</v>
      </c>
      <c r="G5" s="211" t="s">
        <v>53</v>
      </c>
      <c r="H5" s="211" t="str">
        <f>if(isError(vlookup(G5,'node-RE'!$C:$C, 1, FALSE)), "NO", "YES")</f>
        <v>YES</v>
      </c>
      <c r="I5" s="214"/>
      <c r="J5" s="214" t="s">
        <v>28</v>
      </c>
      <c r="K5" s="211" t="str">
        <f>if(isError(vlookup(J5,'node-RE'!$C:$C, 1, FALSE)), "NO", "YES")</f>
        <v>NO</v>
      </c>
      <c r="L5" s="213"/>
      <c r="M5" s="213" t="s">
        <v>428</v>
      </c>
      <c r="N5" s="211" t="str">
        <f>if(isError(vlookup(M5,'node-RE'!$C:$C, 1, FALSE)), "NO", "YES")</f>
        <v>NO</v>
      </c>
    </row>
    <row r="6">
      <c r="A6" s="210" t="s">
        <v>28</v>
      </c>
      <c r="B6" s="211" t="s">
        <v>28</v>
      </c>
      <c r="C6" s="211" t="str">
        <f>if(isError(vlookup(B6,'node-RE'!C:C, 1, FALSE)), "NO", "YES")</f>
        <v>NO</v>
      </c>
      <c r="D6" s="214"/>
      <c r="E6" s="214" t="s">
        <v>193</v>
      </c>
      <c r="F6" s="213" t="s">
        <v>27</v>
      </c>
      <c r="G6" s="211" t="s">
        <v>201</v>
      </c>
      <c r="H6" s="211" t="str">
        <f>if(isError(vlookup(G6,'node-RE'!$C:$C, 1, FALSE)), "NO", "YES")</f>
        <v>NO</v>
      </c>
      <c r="I6" s="214"/>
      <c r="J6" s="214" t="s">
        <v>193</v>
      </c>
      <c r="K6" s="211" t="str">
        <f>if(isError(vlookup(J6,'node-RE'!$C:$C, 1, FALSE)), "NO", "YES")</f>
        <v>NO</v>
      </c>
      <c r="L6" s="213"/>
      <c r="M6" s="213" t="s">
        <v>27</v>
      </c>
      <c r="N6" s="211" t="str">
        <f>if(isError(vlookup(M6,'node-RE'!$C:$C, 1, FALSE)), "NO", "YES")</f>
        <v>YES</v>
      </c>
    </row>
    <row r="7">
      <c r="A7" s="210" t="s">
        <v>193</v>
      </c>
      <c r="B7" s="211" t="s">
        <v>193</v>
      </c>
      <c r="C7" s="211" t="str">
        <f>if(isError(vlookup(B7,'node-RE'!C:C, 1, FALSE)), "NO", "YES")</f>
        <v>NO</v>
      </c>
      <c r="D7" s="214"/>
      <c r="E7" s="214" t="s">
        <v>273</v>
      </c>
      <c r="F7" s="213" t="s">
        <v>478</v>
      </c>
      <c r="G7" s="211" t="s">
        <v>47</v>
      </c>
      <c r="H7" s="211" t="str">
        <f>if(isError(vlookup(G7,'node-RE'!$C:$C, 1, FALSE)), "NO", "YES")</f>
        <v>YES</v>
      </c>
      <c r="I7" s="214"/>
      <c r="J7" s="214" t="s">
        <v>273</v>
      </c>
      <c r="K7" s="211" t="str">
        <f>if(isError(vlookup(J7,'node-RE'!$C:$C, 1, FALSE)), "NO", "YES")</f>
        <v>NO</v>
      </c>
      <c r="L7" s="213"/>
      <c r="M7" s="213" t="s">
        <v>478</v>
      </c>
      <c r="N7" s="211" t="str">
        <f>if(isError(vlookup(M7,'node-RE'!$C:$C, 1, FALSE)), "NO", "YES")</f>
        <v>NO</v>
      </c>
    </row>
    <row r="8">
      <c r="A8" s="210" t="s">
        <v>273</v>
      </c>
      <c r="B8" s="211" t="s">
        <v>273</v>
      </c>
      <c r="C8" s="211" t="str">
        <f>if(isError(vlookup(B8,'node-RE'!C:C, 1, FALSE)), "NO", "YES")</f>
        <v>NO</v>
      </c>
      <c r="D8" s="214"/>
      <c r="E8" s="214" t="s">
        <v>164</v>
      </c>
      <c r="F8" s="213" t="s">
        <v>494</v>
      </c>
      <c r="G8" s="211" t="s">
        <v>89</v>
      </c>
      <c r="H8" s="211" t="str">
        <f>if(isError(vlookup(G8,'node-RE'!$C:$C, 1, FALSE)), "NO", "YES")</f>
        <v>NO</v>
      </c>
      <c r="I8" s="214"/>
      <c r="J8" s="214" t="s">
        <v>164</v>
      </c>
      <c r="K8" s="211" t="str">
        <f>if(isError(vlookup(J8,'node-RE'!$C:$C, 1, FALSE)), "NO", "YES")</f>
        <v>NO</v>
      </c>
      <c r="L8" s="213"/>
      <c r="M8" s="213" t="s">
        <v>494</v>
      </c>
      <c r="N8" s="211" t="str">
        <f>if(isError(vlookup(M8,'node-RE'!$C:$C, 1, FALSE)), "NO", "YES")</f>
        <v>NO</v>
      </c>
    </row>
    <row r="9">
      <c r="A9" s="210" t="s">
        <v>428</v>
      </c>
      <c r="B9" s="211" t="s">
        <v>428</v>
      </c>
      <c r="C9" s="211" t="str">
        <f>if(isError(vlookup(B9,'node-RE'!C:C, 1, FALSE)), "NO", "YES")</f>
        <v>NO</v>
      </c>
      <c r="D9" s="214"/>
      <c r="E9" s="214" t="s">
        <v>127</v>
      </c>
      <c r="F9" s="213" t="s">
        <v>496</v>
      </c>
      <c r="G9" s="211" t="s">
        <v>200</v>
      </c>
      <c r="H9" s="211" t="str">
        <f>if(isError(vlookup(G9,'node-RE'!$C:$C, 1, FALSE)), "NO", "YES")</f>
        <v>YES</v>
      </c>
      <c r="I9" s="214"/>
      <c r="J9" s="214" t="s">
        <v>127</v>
      </c>
      <c r="K9" s="211" t="str">
        <f>if(isError(vlookup(J9,'node-RE'!$C:$C, 1, FALSE)), "NO", "YES")</f>
        <v>NO</v>
      </c>
      <c r="L9" s="213"/>
      <c r="M9" s="213" t="s">
        <v>496</v>
      </c>
      <c r="N9" s="211" t="str">
        <f>if(isError(vlookup(M9,'node-RE'!$C:$C, 1, FALSE)), "NO", "YES")</f>
        <v>NO</v>
      </c>
    </row>
    <row r="10">
      <c r="A10" s="210" t="s">
        <v>164</v>
      </c>
      <c r="B10" s="211" t="s">
        <v>164</v>
      </c>
      <c r="C10" s="211" t="str">
        <f>if(isError(vlookup(B10,'node-RE'!C:C, 1, FALSE)), "NO", "YES")</f>
        <v>NO</v>
      </c>
      <c r="D10" s="214"/>
      <c r="E10" s="214" t="s">
        <v>195</v>
      </c>
      <c r="F10" s="213" t="s">
        <v>507</v>
      </c>
      <c r="G10" s="211" t="s">
        <v>212</v>
      </c>
      <c r="H10" s="211" t="str">
        <f>if(isError(vlookup(G10,'node-RE'!$C:$C, 1, FALSE)), "NO", "YES")</f>
        <v>YES</v>
      </c>
      <c r="I10" s="214"/>
      <c r="J10" s="214" t="s">
        <v>195</v>
      </c>
      <c r="K10" s="211" t="str">
        <f>if(isError(vlookup(J10,'node-RE'!$C:$C, 1, FALSE)), "NO", "YES")</f>
        <v>NO</v>
      </c>
      <c r="L10" s="213"/>
      <c r="M10" s="213" t="s">
        <v>507</v>
      </c>
      <c r="N10" s="211" t="str">
        <f>if(isError(vlookup(M10,'node-RE'!$C:$C, 1, FALSE)), "NO", "YES")</f>
        <v>NO</v>
      </c>
    </row>
    <row r="11">
      <c r="A11" s="210" t="s">
        <v>127</v>
      </c>
      <c r="B11" s="211" t="s">
        <v>127</v>
      </c>
      <c r="C11" s="211" t="str">
        <f>if(isError(vlookup(B11,'node-RE'!C:C, 1, FALSE)), "NO", "YES")</f>
        <v>NO</v>
      </c>
      <c r="D11" s="214"/>
      <c r="E11" s="214" t="s">
        <v>181</v>
      </c>
      <c r="F11" s="213" t="s">
        <v>40</v>
      </c>
      <c r="G11" s="211" t="s">
        <v>211</v>
      </c>
      <c r="H11" s="211" t="str">
        <f>if(isError(vlookup(G11,'node-RE'!$C:$C, 1, FALSE)), "NO", "YES")</f>
        <v>YES</v>
      </c>
      <c r="I11" s="214"/>
      <c r="J11" s="214" t="s">
        <v>181</v>
      </c>
      <c r="K11" s="211" t="str">
        <f>if(isError(vlookup(J11,'node-RE'!$C:$C, 1, FALSE)), "NO", "YES")</f>
        <v>NO</v>
      </c>
      <c r="L11" s="213"/>
      <c r="M11" s="213" t="s">
        <v>430</v>
      </c>
      <c r="N11" s="211" t="str">
        <f>if(isError(vlookup(M11,'node-RE'!$C:$C, 1, FALSE)), "NO", "YES")</f>
        <v>NO</v>
      </c>
    </row>
    <row r="12">
      <c r="A12" s="210" t="s">
        <v>195</v>
      </c>
      <c r="B12" s="211" t="s">
        <v>27</v>
      </c>
      <c r="C12" s="211" t="str">
        <f>if(isError(vlookup(B12,'node-RE'!C:C, 1, FALSE)), "NO", "YES")</f>
        <v>YES</v>
      </c>
      <c r="D12" s="214"/>
      <c r="E12" s="214" t="s">
        <v>247</v>
      </c>
      <c r="F12" s="213" t="s">
        <v>53</v>
      </c>
      <c r="G12" s="211" t="s">
        <v>278</v>
      </c>
      <c r="H12" s="211" t="str">
        <f>if(isError(vlookup(G12,'node-RE'!$C:$C, 1, FALSE)), "NO", "YES")</f>
        <v>NO</v>
      </c>
      <c r="I12" s="214"/>
      <c r="J12" s="214" t="s">
        <v>247</v>
      </c>
      <c r="K12" s="211" t="str">
        <f>if(isError(vlookup(J12,'node-RE'!$C:$C, 1, FALSE)), "NO", "YES")</f>
        <v>NO</v>
      </c>
      <c r="L12" s="213"/>
      <c r="M12" s="213" t="s">
        <v>447</v>
      </c>
      <c r="N12" s="211" t="str">
        <f>if(isError(vlookup(M12,'node-RE'!$C:$C, 1, FALSE)), "NO", "YES")</f>
        <v>NO</v>
      </c>
    </row>
    <row r="13">
      <c r="A13" s="210" t="s">
        <v>181</v>
      </c>
      <c r="B13" s="211" t="s">
        <v>195</v>
      </c>
      <c r="C13" s="211" t="str">
        <f>if(isError(vlookup(B13,'node-RE'!C:C, 1, FALSE)), "NO", "YES")</f>
        <v>NO</v>
      </c>
      <c r="D13" s="214"/>
      <c r="E13" s="214" t="s">
        <v>262</v>
      </c>
      <c r="F13" s="213" t="s">
        <v>430</v>
      </c>
      <c r="G13" s="211" t="s">
        <v>37</v>
      </c>
      <c r="H13" s="211" t="str">
        <f>if(isError(vlookup(G13,'node-RE'!$C:$C, 1, FALSE)), "NO", "YES")</f>
        <v>NO</v>
      </c>
      <c r="I13" s="214"/>
      <c r="J13" s="214" t="s">
        <v>262</v>
      </c>
      <c r="K13" s="211" t="str">
        <f>if(isError(vlookup(J13,'node-RE'!$C:$C, 1, FALSE)), "NO", "YES")</f>
        <v>NO</v>
      </c>
      <c r="L13" s="213"/>
      <c r="M13" s="213" t="s">
        <v>427</v>
      </c>
      <c r="N13" s="211" t="str">
        <f>if(isError(vlookup(M13,'node-RE'!$C:$C, 1, FALSE)), "NO", "YES")</f>
        <v>NO</v>
      </c>
    </row>
    <row r="14">
      <c r="A14" s="210" t="s">
        <v>247</v>
      </c>
      <c r="B14" s="211" t="s">
        <v>181</v>
      </c>
      <c r="C14" s="211" t="str">
        <f>if(isError(vlookup(B14,'node-RE'!C:C, 1, FALSE)), "NO", "YES")</f>
        <v>NO</v>
      </c>
      <c r="D14" s="214"/>
      <c r="E14" s="214" t="s">
        <v>294</v>
      </c>
      <c r="F14" s="213" t="s">
        <v>201</v>
      </c>
      <c r="G14" s="211" t="s">
        <v>277</v>
      </c>
      <c r="H14" s="211" t="str">
        <f>if(isError(vlookup(G14,'node-RE'!$C:$C, 1, FALSE)), "NO", "YES")</f>
        <v>NO</v>
      </c>
      <c r="I14" s="214"/>
      <c r="J14" s="214" t="s">
        <v>294</v>
      </c>
      <c r="K14" s="211" t="str">
        <f>if(isError(vlookup(J14,'node-RE'!$C:$C, 1, FALSE)), "NO", "YES")</f>
        <v>NO</v>
      </c>
      <c r="L14" s="213"/>
      <c r="M14" s="213" t="s">
        <v>492</v>
      </c>
      <c r="N14" s="211" t="str">
        <f>if(isError(vlookup(M14,'node-RE'!$C:$C, 1, FALSE)), "NO", "YES")</f>
        <v>NO</v>
      </c>
    </row>
    <row r="15">
      <c r="A15" s="210" t="s">
        <v>262</v>
      </c>
      <c r="B15" s="211" t="s">
        <v>247</v>
      </c>
      <c r="C15" s="211" t="str">
        <f>if(isError(vlookup(B15,'node-RE'!C:C, 1, FALSE)), "NO", "YES")</f>
        <v>NO</v>
      </c>
      <c r="D15" s="214"/>
      <c r="E15" s="214" t="s">
        <v>272</v>
      </c>
      <c r="F15" s="213" t="s">
        <v>447</v>
      </c>
      <c r="G15" s="211" t="s">
        <v>231</v>
      </c>
      <c r="H15" s="211" t="str">
        <f>if(isError(vlookup(G15,'node-RE'!$C:$C, 1, FALSE)), "NO", "YES")</f>
        <v>YES</v>
      </c>
      <c r="I15" s="214"/>
      <c r="J15" s="214" t="s">
        <v>272</v>
      </c>
      <c r="K15" s="211" t="str">
        <f>if(isError(vlookup(J15,'node-RE'!$C:$C, 1, FALSE)), "NO", "YES")</f>
        <v>NO</v>
      </c>
      <c r="L15" s="213"/>
      <c r="M15" s="213" t="s">
        <v>449</v>
      </c>
      <c r="N15" s="211" t="str">
        <f>if(isError(vlookup(M15,'node-RE'!$C:$C, 1, FALSE)), "NO", "YES")</f>
        <v>NO</v>
      </c>
    </row>
    <row r="16">
      <c r="A16" s="210" t="s">
        <v>294</v>
      </c>
      <c r="B16" s="211" t="s">
        <v>262</v>
      </c>
      <c r="C16" s="211" t="str">
        <f>if(isError(vlookup(B16,'node-RE'!C:C, 1, FALSE)), "NO", "YES")</f>
        <v>NO</v>
      </c>
      <c r="D16" s="214"/>
      <c r="E16" s="214" t="s">
        <v>223</v>
      </c>
      <c r="F16" s="213" t="s">
        <v>427</v>
      </c>
      <c r="G16" s="211" t="s">
        <v>44</v>
      </c>
      <c r="H16" s="211" t="str">
        <f>if(isError(vlookup(G16,'node-RE'!$C:$C, 1, FALSE)), "NO", "YES")</f>
        <v>YES</v>
      </c>
      <c r="I16" s="214"/>
      <c r="J16" s="214" t="s">
        <v>223</v>
      </c>
      <c r="K16" s="211" t="str">
        <f>if(isError(vlookup(J16,'node-RE'!$C:$C, 1, FALSE)), "NO", "YES")</f>
        <v>NO</v>
      </c>
      <c r="L16" s="213"/>
      <c r="M16" s="213" t="s">
        <v>451</v>
      </c>
      <c r="N16" s="211" t="str">
        <f>if(isError(vlookup(M16,'node-RE'!$C:$C, 1, FALSE)), "NO", "YES")</f>
        <v>NO</v>
      </c>
    </row>
    <row r="17">
      <c r="A17" s="210" t="s">
        <v>272</v>
      </c>
      <c r="B17" s="211" t="s">
        <v>294</v>
      </c>
      <c r="C17" s="211" t="str">
        <f>if(isError(vlookup(B17,'node-RE'!C:C, 1, FALSE)), "NO", "YES")</f>
        <v>NO</v>
      </c>
      <c r="D17" s="214"/>
      <c r="E17" s="214" t="s">
        <v>267</v>
      </c>
      <c r="F17" s="213" t="s">
        <v>47</v>
      </c>
      <c r="G17" s="215" t="s">
        <v>736</v>
      </c>
      <c r="H17" s="214"/>
      <c r="I17" s="214"/>
      <c r="J17" s="214" t="s">
        <v>267</v>
      </c>
      <c r="K17" s="211" t="str">
        <f>if(isError(vlookup(J17,'node-RE'!$C:$C, 1, FALSE)), "NO", "YES")</f>
        <v>NO</v>
      </c>
      <c r="L17" s="213"/>
      <c r="M17" s="213" t="s">
        <v>435</v>
      </c>
      <c r="N17" s="211" t="str">
        <f>if(isError(vlookup(M17,'node-RE'!$C:$C, 1, FALSE)), "NO", "YES")</f>
        <v>NO</v>
      </c>
    </row>
    <row r="18">
      <c r="A18" s="210" t="s">
        <v>478</v>
      </c>
      <c r="B18" s="211" t="s">
        <v>272</v>
      </c>
      <c r="C18" s="211" t="str">
        <f>if(isError(vlookup(B18,'node-RE'!C:C, 1, FALSE)), "NO", "YES")</f>
        <v>NO</v>
      </c>
      <c r="D18" s="214"/>
      <c r="E18" s="214" t="s">
        <v>274</v>
      </c>
      <c r="F18" s="213" t="s">
        <v>492</v>
      </c>
      <c r="G18" s="215" t="s">
        <v>736</v>
      </c>
      <c r="H18" s="214"/>
      <c r="I18" s="214"/>
      <c r="J18" s="214" t="s">
        <v>274</v>
      </c>
      <c r="K18" s="211" t="str">
        <f>if(isError(vlookup(J18,'node-RE'!$C:$C, 1, FALSE)), "NO", "YES")</f>
        <v>NO</v>
      </c>
      <c r="L18" s="213"/>
      <c r="M18" s="213" t="s">
        <v>118</v>
      </c>
      <c r="N18" s="211" t="str">
        <f>if(isError(vlookup(M18,'node-RE'!$C:$C, 1, FALSE)), "NO", "YES")</f>
        <v>YES</v>
      </c>
    </row>
    <row r="19">
      <c r="A19" s="210" t="s">
        <v>223</v>
      </c>
      <c r="B19" s="211" t="s">
        <v>478</v>
      </c>
      <c r="C19" s="211" t="str">
        <f>if(isError(vlookup(B19,'node-RE'!C:C, 1, FALSE)), "NO", "YES")</f>
        <v>NO</v>
      </c>
      <c r="D19" s="214"/>
      <c r="E19" s="214" t="s">
        <v>368</v>
      </c>
      <c r="F19" s="213" t="s">
        <v>449</v>
      </c>
      <c r="G19" s="215" t="s">
        <v>736</v>
      </c>
      <c r="H19" s="214"/>
      <c r="I19" s="214"/>
      <c r="J19" s="214" t="s">
        <v>368</v>
      </c>
      <c r="K19" s="211" t="str">
        <f>if(isError(vlookup(J19,'node-RE'!$C:$C, 1, FALSE)), "NO", "YES")</f>
        <v>NO</v>
      </c>
      <c r="L19" s="213"/>
      <c r="M19" s="213" t="s">
        <v>434</v>
      </c>
      <c r="N19" s="211" t="str">
        <f>if(isError(vlookup(M19,'node-RE'!$C:$C, 1, FALSE)), "NO", "YES")</f>
        <v>NO</v>
      </c>
    </row>
    <row r="20">
      <c r="A20" s="210" t="s">
        <v>494</v>
      </c>
      <c r="B20" s="211" t="s">
        <v>223</v>
      </c>
      <c r="C20" s="211" t="str">
        <f>if(isError(vlookup(B20,'node-RE'!C:C, 1, FALSE)), "NO", "YES")</f>
        <v>NO</v>
      </c>
      <c r="D20" s="214"/>
      <c r="E20" s="214" t="s">
        <v>157</v>
      </c>
      <c r="F20" s="213" t="s">
        <v>451</v>
      </c>
      <c r="G20" s="215" t="s">
        <v>736</v>
      </c>
      <c r="H20" s="214"/>
      <c r="I20" s="214"/>
      <c r="J20" s="214" t="s">
        <v>157</v>
      </c>
      <c r="K20" s="211" t="str">
        <f>if(isError(vlookup(J20,'node-RE'!$C:$C, 1, FALSE)), "NO", "YES")</f>
        <v>NO</v>
      </c>
      <c r="L20" s="213"/>
      <c r="M20" s="213" t="s">
        <v>455</v>
      </c>
      <c r="N20" s="211" t="str">
        <f>if(isError(vlookup(M20,'node-RE'!$C:$C, 1, FALSE)), "NO", "YES")</f>
        <v>NO</v>
      </c>
    </row>
    <row r="21">
      <c r="A21" s="210" t="s">
        <v>496</v>
      </c>
      <c r="B21" s="211" t="s">
        <v>494</v>
      </c>
      <c r="C21" s="211" t="str">
        <f>if(isError(vlookup(B21,'node-RE'!C:C, 1, FALSE)), "NO", "YES")</f>
        <v>NO</v>
      </c>
      <c r="D21" s="214"/>
      <c r="E21" s="214" t="s">
        <v>198</v>
      </c>
      <c r="F21" s="213" t="s">
        <v>435</v>
      </c>
      <c r="G21" s="215" t="s">
        <v>736</v>
      </c>
      <c r="H21" s="214"/>
      <c r="I21" s="214"/>
      <c r="J21" s="214" t="s">
        <v>198</v>
      </c>
      <c r="K21" s="211" t="str">
        <f>if(isError(vlookup(J21,'node-RE'!$C:$C, 1, FALSE)), "NO", "YES")</f>
        <v>NO</v>
      </c>
      <c r="L21" s="213"/>
      <c r="M21" s="213" t="s">
        <v>467</v>
      </c>
      <c r="N21" s="211" t="str">
        <f>if(isError(vlookup(M21,'node-RE'!$C:$C, 1, FALSE)), "NO", "YES")</f>
        <v>NO</v>
      </c>
    </row>
    <row r="22">
      <c r="A22" s="210" t="s">
        <v>267</v>
      </c>
      <c r="B22" s="211" t="s">
        <v>496</v>
      </c>
      <c r="C22" s="211" t="str">
        <f>if(isError(vlookup(B22,'node-RE'!C:C, 1, FALSE)), "NO", "YES")</f>
        <v>NO</v>
      </c>
      <c r="D22" s="214"/>
      <c r="E22" s="214" t="s">
        <v>128</v>
      </c>
      <c r="F22" s="213" t="s">
        <v>118</v>
      </c>
      <c r="G22" s="215" t="s">
        <v>736</v>
      </c>
      <c r="H22" s="214"/>
      <c r="I22" s="214"/>
      <c r="J22" s="214" t="s">
        <v>128</v>
      </c>
      <c r="K22" s="211" t="str">
        <f>if(isError(vlookup(J22,'node-RE'!$C:$C, 1, FALSE)), "NO", "YES")</f>
        <v>NO</v>
      </c>
      <c r="L22" s="213"/>
      <c r="M22" s="213" t="s">
        <v>437</v>
      </c>
      <c r="N22" s="211" t="str">
        <f>if(isError(vlookup(M22,'node-RE'!$C:$C, 1, FALSE)), "NO", "YES")</f>
        <v>NO</v>
      </c>
    </row>
    <row r="23">
      <c r="A23" s="210" t="s">
        <v>274</v>
      </c>
      <c r="B23" s="211" t="s">
        <v>267</v>
      </c>
      <c r="C23" s="211" t="str">
        <f>if(isError(vlookup(B23,'node-RE'!C:C, 1, FALSE)), "NO", "YES")</f>
        <v>NO</v>
      </c>
      <c r="D23" s="214"/>
      <c r="E23" s="214" t="s">
        <v>406</v>
      </c>
      <c r="F23" s="213" t="s">
        <v>434</v>
      </c>
      <c r="G23" s="215" t="s">
        <v>736</v>
      </c>
      <c r="H23" s="214"/>
      <c r="I23" s="214"/>
      <c r="J23" s="214" t="s">
        <v>406</v>
      </c>
      <c r="K23" s="211" t="str">
        <f>if(isError(vlookup(J23,'node-RE'!$C:$C, 1, FALSE)), "NO", "YES")</f>
        <v>NO</v>
      </c>
      <c r="L23" s="213"/>
      <c r="M23" s="213" t="s">
        <v>529</v>
      </c>
      <c r="N23" s="211" t="str">
        <f>if(isError(vlookup(M23,'node-RE'!$C:$C, 1, FALSE)), "NO", "YES")</f>
        <v>NO</v>
      </c>
    </row>
    <row r="24">
      <c r="A24" s="210" t="s">
        <v>368</v>
      </c>
      <c r="B24" s="211" t="s">
        <v>274</v>
      </c>
      <c r="C24" s="211" t="str">
        <f>if(isError(vlookup(B24,'node-RE'!C:C, 1, FALSE)), "NO", "YES")</f>
        <v>NO</v>
      </c>
      <c r="D24" s="214"/>
      <c r="E24" s="214" t="s">
        <v>40</v>
      </c>
      <c r="F24" s="213" t="s">
        <v>455</v>
      </c>
      <c r="G24" s="215" t="s">
        <v>736</v>
      </c>
      <c r="H24" s="214"/>
      <c r="I24" s="214"/>
      <c r="J24" s="214" t="s">
        <v>349</v>
      </c>
      <c r="K24" s="211" t="str">
        <f>if(isError(vlookup(J24,'node-RE'!$C:$C, 1, FALSE)), "NO", "YES")</f>
        <v>NO</v>
      </c>
      <c r="L24" s="213"/>
      <c r="M24" s="213" t="s">
        <v>453</v>
      </c>
      <c r="N24" s="211" t="str">
        <f>if(isError(vlookup(M24,'node-RE'!$C:$C, 1, FALSE)), "NO", "YES")</f>
        <v>NO</v>
      </c>
    </row>
    <row r="25">
      <c r="A25" s="210" t="s">
        <v>157</v>
      </c>
      <c r="B25" s="211" t="s">
        <v>368</v>
      </c>
      <c r="C25" s="211" t="str">
        <f>if(isError(vlookup(B25,'node-RE'!C:C, 1, FALSE)), "NO", "YES")</f>
        <v>NO</v>
      </c>
      <c r="D25" s="214"/>
      <c r="E25" s="214" t="s">
        <v>53</v>
      </c>
      <c r="F25" s="213" t="s">
        <v>467</v>
      </c>
      <c r="G25" s="215" t="s">
        <v>736</v>
      </c>
      <c r="H25" s="214"/>
      <c r="I25" s="214"/>
      <c r="J25" s="214" t="s">
        <v>322</v>
      </c>
      <c r="K25" s="211" t="str">
        <f>if(isError(vlookup(J25,'node-RE'!$C:$C, 1, FALSE)), "NO", "YES")</f>
        <v>NO</v>
      </c>
      <c r="L25" s="213"/>
      <c r="M25" s="213" t="s">
        <v>446</v>
      </c>
      <c r="N25" s="211" t="str">
        <f>if(isError(vlookup(M25,'node-RE'!$C:$C, 1, FALSE)), "NO", "YES")</f>
        <v>NO</v>
      </c>
    </row>
    <row r="26">
      <c r="A26" s="210" t="s">
        <v>198</v>
      </c>
      <c r="B26" s="211" t="s">
        <v>157</v>
      </c>
      <c r="C26" s="211" t="str">
        <f>if(isError(vlookup(B26,'node-RE'!C:C, 1, FALSE)), "NO", "YES")</f>
        <v>NO</v>
      </c>
      <c r="D26" s="214"/>
      <c r="E26" s="214" t="s">
        <v>349</v>
      </c>
      <c r="F26" s="213" t="s">
        <v>437</v>
      </c>
      <c r="G26" s="215" t="s">
        <v>736</v>
      </c>
      <c r="H26" s="214"/>
      <c r="I26" s="214"/>
      <c r="J26" s="214" t="s">
        <v>270</v>
      </c>
      <c r="K26" s="211" t="str">
        <f>if(isError(vlookup(J26,'node-RE'!$C:$C, 1, FALSE)), "NO", "YES")</f>
        <v>NO</v>
      </c>
      <c r="L26" s="213"/>
      <c r="M26" s="213" t="s">
        <v>480</v>
      </c>
      <c r="N26" s="211" t="str">
        <f>if(isError(vlookup(M26,'node-RE'!$C:$C, 1, FALSE)), "NO", "YES")</f>
        <v>NO</v>
      </c>
    </row>
    <row r="27">
      <c r="A27" s="210" t="s">
        <v>507</v>
      </c>
      <c r="B27" s="211" t="s">
        <v>198</v>
      </c>
      <c r="C27" s="211" t="str">
        <f>if(isError(vlookup(B27,'node-RE'!C:C, 1, FALSE)), "NO", "YES")</f>
        <v>NO</v>
      </c>
      <c r="D27" s="214"/>
      <c r="E27" s="214" t="s">
        <v>322</v>
      </c>
      <c r="F27" s="213" t="s">
        <v>529</v>
      </c>
      <c r="G27" s="215" t="s">
        <v>736</v>
      </c>
      <c r="H27" s="214"/>
      <c r="I27" s="214"/>
      <c r="J27" s="214" t="s">
        <v>323</v>
      </c>
      <c r="K27" s="211" t="str">
        <f>if(isError(vlookup(J27,'node-RE'!$C:$C, 1, FALSE)), "NO", "YES")</f>
        <v>NO</v>
      </c>
      <c r="L27" s="213"/>
      <c r="M27" s="213" t="s">
        <v>531</v>
      </c>
      <c r="N27" s="211" t="str">
        <f>if(isError(vlookup(M27,'node-RE'!$C:$C, 1, FALSE)), "NO", "YES")</f>
        <v>NO</v>
      </c>
    </row>
    <row r="28">
      <c r="A28" s="210" t="s">
        <v>128</v>
      </c>
      <c r="B28" s="211" t="s">
        <v>507</v>
      </c>
      <c r="C28" s="211" t="str">
        <f>if(isError(vlookup(B28,'node-RE'!C:C, 1, FALSE)), "NO", "YES")</f>
        <v>NO</v>
      </c>
      <c r="D28" s="214"/>
      <c r="E28" s="214" t="s">
        <v>270</v>
      </c>
      <c r="F28" s="213" t="s">
        <v>453</v>
      </c>
      <c r="G28" s="215" t="s">
        <v>736</v>
      </c>
      <c r="H28" s="214"/>
      <c r="I28" s="214"/>
      <c r="J28" s="214" t="s">
        <v>124</v>
      </c>
      <c r="K28" s="211" t="str">
        <f>if(isError(vlookup(J28,'node-RE'!$C:$C, 1, FALSE)), "NO", "YES")</f>
        <v>NO</v>
      </c>
      <c r="L28" s="213"/>
      <c r="M28" s="213" t="s">
        <v>495</v>
      </c>
      <c r="N28" s="211" t="str">
        <f>if(isError(vlookup(M28,'node-RE'!$C:$C, 1, FALSE)), "NO", "YES")</f>
        <v>NO</v>
      </c>
    </row>
    <row r="29">
      <c r="A29" s="210" t="s">
        <v>406</v>
      </c>
      <c r="B29" s="211" t="s">
        <v>128</v>
      </c>
      <c r="C29" s="211" t="str">
        <f>if(isError(vlookup(B29,'node-RE'!C:C, 1, FALSE)), "NO", "YES")</f>
        <v>NO</v>
      </c>
      <c r="D29" s="214"/>
      <c r="E29" s="214" t="s">
        <v>323</v>
      </c>
      <c r="F29" s="213" t="s">
        <v>89</v>
      </c>
      <c r="G29" s="215" t="s">
        <v>736</v>
      </c>
      <c r="H29" s="214"/>
      <c r="I29" s="214"/>
      <c r="J29" s="214" t="s">
        <v>54</v>
      </c>
      <c r="K29" s="211" t="str">
        <f>if(isError(vlookup(J29,'node-RE'!$C:$C, 1, FALSE)), "NO", "YES")</f>
        <v>NO</v>
      </c>
      <c r="L29" s="213"/>
      <c r="M29" s="213" t="s">
        <v>245</v>
      </c>
      <c r="N29" s="211" t="str">
        <f>if(isError(vlookup(M29,'node-RE'!$C:$C, 1, FALSE)), "NO", "YES")</f>
        <v>YES</v>
      </c>
    </row>
    <row r="30">
      <c r="A30" s="210" t="s">
        <v>40</v>
      </c>
      <c r="B30" s="211" t="s">
        <v>406</v>
      </c>
      <c r="C30" s="211" t="str">
        <f>if(isError(vlookup(B30,'node-RE'!C:C, 1, FALSE)), "NO", "YES")</f>
        <v>NO</v>
      </c>
      <c r="D30" s="214"/>
      <c r="E30" s="214" t="s">
        <v>124</v>
      </c>
      <c r="F30" s="213" t="s">
        <v>446</v>
      </c>
      <c r="G30" s="215" t="s">
        <v>736</v>
      </c>
      <c r="H30" s="214"/>
      <c r="I30" s="214"/>
      <c r="J30" s="214" t="s">
        <v>80</v>
      </c>
      <c r="K30" s="211" t="str">
        <f>if(isError(vlookup(J30,'node-RE'!$C:$C, 1, FALSE)), "NO", "YES")</f>
        <v>NO</v>
      </c>
      <c r="L30" s="213"/>
      <c r="M30" s="213" t="s">
        <v>432</v>
      </c>
      <c r="N30" s="211" t="str">
        <f>if(isError(vlookup(M30,'node-RE'!$C:$C, 1, FALSE)), "NO", "YES")</f>
        <v>NO</v>
      </c>
    </row>
    <row r="31">
      <c r="A31" s="210" t="s">
        <v>430</v>
      </c>
      <c r="B31" s="211" t="s">
        <v>40</v>
      </c>
      <c r="C31" s="211" t="str">
        <f>if(isError(vlookup(B31,'node-RE'!C:C, 1, FALSE)), "NO", "YES")</f>
        <v>NO</v>
      </c>
      <c r="D31" s="214"/>
      <c r="E31" s="214" t="s">
        <v>54</v>
      </c>
      <c r="F31" s="213" t="s">
        <v>200</v>
      </c>
      <c r="G31" s="215" t="s">
        <v>736</v>
      </c>
      <c r="H31" s="214"/>
      <c r="I31" s="214"/>
      <c r="J31" s="214" t="s">
        <v>38</v>
      </c>
      <c r="K31" s="211" t="str">
        <f>if(isError(vlookup(J31,'node-RE'!$C:$C, 1, FALSE)), "NO", "YES")</f>
        <v>NO</v>
      </c>
      <c r="L31" s="213"/>
      <c r="M31" s="213" t="s">
        <v>497</v>
      </c>
      <c r="N31" s="211" t="str">
        <f>if(isError(vlookup(M31,'node-RE'!$C:$C, 1, FALSE)), "NO", "YES")</f>
        <v>NO</v>
      </c>
    </row>
    <row r="32">
      <c r="A32" s="210" t="s">
        <v>349</v>
      </c>
      <c r="B32" s="211" t="s">
        <v>53</v>
      </c>
      <c r="C32" s="211" t="str">
        <f>if(isError(vlookup(B32,'node-RE'!C:C, 1, FALSE)), "NO", "YES")</f>
        <v>YES</v>
      </c>
      <c r="D32" s="214"/>
      <c r="E32" s="214" t="s">
        <v>201</v>
      </c>
      <c r="F32" s="213" t="s">
        <v>480</v>
      </c>
      <c r="G32" s="215" t="s">
        <v>736</v>
      </c>
      <c r="H32" s="214"/>
      <c r="I32" s="214"/>
      <c r="J32" s="214" t="s">
        <v>81</v>
      </c>
      <c r="K32" s="211" t="str">
        <f>if(isError(vlookup(J32,'node-RE'!$C:$C, 1, FALSE)), "NO", "YES")</f>
        <v>NO</v>
      </c>
      <c r="L32" s="213"/>
      <c r="M32" s="213" t="s">
        <v>474</v>
      </c>
      <c r="N32" s="211" t="str">
        <f>if(isError(vlookup(M32,'node-RE'!$C:$C, 1, FALSE)), "NO", "YES")</f>
        <v>NO</v>
      </c>
    </row>
    <row r="33">
      <c r="A33" s="210" t="s">
        <v>322</v>
      </c>
      <c r="B33" s="211" t="s">
        <v>430</v>
      </c>
      <c r="C33" s="211" t="str">
        <f>if(isError(vlookup(B33,'node-RE'!C:C, 1, FALSE)), "NO", "YES")</f>
        <v>NO</v>
      </c>
      <c r="D33" s="214"/>
      <c r="E33" s="214" t="s">
        <v>80</v>
      </c>
      <c r="F33" s="213" t="s">
        <v>212</v>
      </c>
      <c r="G33" s="215" t="s">
        <v>736</v>
      </c>
      <c r="H33" s="214"/>
      <c r="I33" s="214"/>
      <c r="J33" s="214" t="s">
        <v>258</v>
      </c>
      <c r="K33" s="211" t="str">
        <f>if(isError(vlookup(J33,'node-RE'!$C:$C, 1, FALSE)), "NO", "YES")</f>
        <v>NO</v>
      </c>
      <c r="L33" s="213"/>
      <c r="M33" s="213" t="s">
        <v>493</v>
      </c>
      <c r="N33" s="211" t="str">
        <f>if(isError(vlookup(M33,'node-RE'!$C:$C, 1, FALSE)), "NO", "YES")</f>
        <v>NO</v>
      </c>
    </row>
    <row r="34">
      <c r="A34" s="210" t="s">
        <v>270</v>
      </c>
      <c r="B34" s="211" t="s">
        <v>349</v>
      </c>
      <c r="C34" s="211" t="str">
        <f>if(isError(vlookup(B34,'node-RE'!C:C, 1, FALSE)), "NO", "YES")</f>
        <v>NO</v>
      </c>
      <c r="D34" s="214"/>
      <c r="E34" s="214" t="s">
        <v>38</v>
      </c>
      <c r="F34" s="213" t="s">
        <v>531</v>
      </c>
      <c r="G34" s="215" t="s">
        <v>736</v>
      </c>
      <c r="H34" s="214"/>
      <c r="I34" s="214"/>
      <c r="J34" s="214" t="s">
        <v>114</v>
      </c>
      <c r="K34" s="211" t="str">
        <f>if(isError(vlookup(J34,'node-RE'!$C:$C, 1, FALSE)), "NO", "YES")</f>
        <v>NO</v>
      </c>
      <c r="L34" s="213"/>
      <c r="M34" s="213" t="s">
        <v>458</v>
      </c>
      <c r="N34" s="211" t="str">
        <f>if(isError(vlookup(M34,'node-RE'!$C:$C, 1, FALSE)), "NO", "YES")</f>
        <v>NO</v>
      </c>
    </row>
    <row r="35">
      <c r="A35" s="210" t="s">
        <v>323</v>
      </c>
      <c r="B35" s="211" t="s">
        <v>322</v>
      </c>
      <c r="C35" s="211" t="str">
        <f>if(isError(vlookup(B35,'node-RE'!C:C, 1, FALSE)), "NO", "YES")</f>
        <v>NO</v>
      </c>
      <c r="D35" s="214"/>
      <c r="E35" s="214" t="s">
        <v>81</v>
      </c>
      <c r="F35" s="213" t="s">
        <v>495</v>
      </c>
      <c r="G35" s="215" t="s">
        <v>736</v>
      </c>
      <c r="H35" s="214"/>
      <c r="I35" s="214"/>
      <c r="J35" s="214" t="s">
        <v>276</v>
      </c>
      <c r="K35" s="211" t="str">
        <f>if(isError(vlookup(J35,'node-RE'!$C:$C, 1, FALSE)), "NO", "YES")</f>
        <v>NO</v>
      </c>
      <c r="L35" s="213"/>
      <c r="M35" s="213" t="s">
        <v>463</v>
      </c>
      <c r="N35" s="211" t="str">
        <f>if(isError(vlookup(M35,'node-RE'!$C:$C, 1, FALSE)), "NO", "YES")</f>
        <v>NO</v>
      </c>
    </row>
    <row r="36">
      <c r="A36" s="210" t="s">
        <v>124</v>
      </c>
      <c r="B36" s="211" t="s">
        <v>270</v>
      </c>
      <c r="C36" s="211" t="str">
        <f>if(isError(vlookup(B36,'node-RE'!C:C, 1, FALSE)), "NO", "YES")</f>
        <v>NO</v>
      </c>
      <c r="D36" s="214"/>
      <c r="E36" s="214" t="s">
        <v>258</v>
      </c>
      <c r="F36" s="213" t="s">
        <v>245</v>
      </c>
      <c r="G36" s="215" t="s">
        <v>736</v>
      </c>
      <c r="H36" s="214"/>
      <c r="I36" s="214"/>
      <c r="J36" s="214" t="s">
        <v>57</v>
      </c>
      <c r="K36" s="211" t="str">
        <f>if(isError(vlookup(J36,'node-RE'!$C:$C, 1, FALSE)), "NO", "YES")</f>
        <v>NO</v>
      </c>
      <c r="L36" s="213"/>
      <c r="M36" s="213" t="s">
        <v>464</v>
      </c>
      <c r="N36" s="211" t="str">
        <f>if(isError(vlookup(M36,'node-RE'!$C:$C, 1, FALSE)), "NO", "YES")</f>
        <v>NO</v>
      </c>
    </row>
    <row r="37">
      <c r="A37" s="210" t="s">
        <v>54</v>
      </c>
      <c r="B37" s="211" t="s">
        <v>323</v>
      </c>
      <c r="C37" s="211" t="str">
        <f>if(isError(vlookup(B37,'node-RE'!C:C, 1, FALSE)), "NO", "YES")</f>
        <v>NO</v>
      </c>
      <c r="D37" s="214"/>
      <c r="E37" s="214" t="s">
        <v>114</v>
      </c>
      <c r="F37" s="213" t="s">
        <v>432</v>
      </c>
      <c r="G37" s="215" t="s">
        <v>736</v>
      </c>
      <c r="H37" s="214"/>
      <c r="I37" s="214"/>
      <c r="J37" s="214" t="s">
        <v>252</v>
      </c>
      <c r="K37" s="211" t="str">
        <f>if(isError(vlookup(J37,'node-RE'!$C:$C, 1, FALSE)), "NO", "YES")</f>
        <v>NO</v>
      </c>
      <c r="L37" s="213"/>
      <c r="M37" s="213" t="s">
        <v>488</v>
      </c>
      <c r="N37" s="211" t="str">
        <f>if(isError(vlookup(M37,'node-RE'!$C:$C, 1, FALSE)), "NO", "YES")</f>
        <v>NO</v>
      </c>
    </row>
    <row r="38">
      <c r="A38" s="210" t="s">
        <v>201</v>
      </c>
      <c r="B38" s="211" t="s">
        <v>124</v>
      </c>
      <c r="C38" s="211" t="str">
        <f>if(isError(vlookup(B38,'node-RE'!C:C, 1, FALSE)), "NO", "YES")</f>
        <v>NO</v>
      </c>
      <c r="D38" s="214"/>
      <c r="E38" s="214" t="s">
        <v>276</v>
      </c>
      <c r="F38" s="213" t="s">
        <v>497</v>
      </c>
      <c r="G38" s="215" t="s">
        <v>736</v>
      </c>
      <c r="H38" s="214"/>
      <c r="I38" s="214"/>
      <c r="J38" s="214" t="s">
        <v>122</v>
      </c>
      <c r="K38" s="211" t="str">
        <f>if(isError(vlookup(J38,'node-RE'!$C:$C, 1, FALSE)), "NO", "YES")</f>
        <v>NO</v>
      </c>
      <c r="L38" s="213"/>
      <c r="M38" s="213" t="s">
        <v>509</v>
      </c>
      <c r="N38" s="211" t="str">
        <f>if(isError(vlookup(M38,'node-RE'!$C:$C, 1, FALSE)), "NO", "YES")</f>
        <v>NO</v>
      </c>
    </row>
    <row r="39">
      <c r="A39" s="210" t="s">
        <v>80</v>
      </c>
      <c r="B39" s="211" t="s">
        <v>54</v>
      </c>
      <c r="C39" s="211" t="str">
        <f>if(isError(vlookup(B39,'node-RE'!C:C, 1, FALSE)), "NO", "YES")</f>
        <v>NO</v>
      </c>
      <c r="D39" s="214"/>
      <c r="E39" s="214" t="s">
        <v>57</v>
      </c>
      <c r="F39" s="213" t="s">
        <v>474</v>
      </c>
      <c r="G39" s="215" t="s">
        <v>736</v>
      </c>
      <c r="H39" s="214"/>
      <c r="I39" s="214"/>
      <c r="J39" s="214" t="s">
        <v>279</v>
      </c>
      <c r="K39" s="211" t="str">
        <f>if(isError(vlookup(J39,'node-RE'!$C:$C, 1, FALSE)), "NO", "YES")</f>
        <v>NO</v>
      </c>
      <c r="L39" s="213"/>
      <c r="M39" s="213" t="s">
        <v>510</v>
      </c>
      <c r="N39" s="211" t="str">
        <f>if(isError(vlookup(M39,'node-RE'!$C:$C, 1, FALSE)), "NO", "YES")</f>
        <v>NO</v>
      </c>
    </row>
    <row r="40">
      <c r="A40" s="210" t="s">
        <v>38</v>
      </c>
      <c r="B40" s="211" t="s">
        <v>201</v>
      </c>
      <c r="C40" s="211" t="str">
        <f>if(isError(vlookup(B40,'node-RE'!C:C, 1, FALSE)), "NO", "YES")</f>
        <v>NO</v>
      </c>
      <c r="D40" s="214"/>
      <c r="E40" s="214" t="s">
        <v>47</v>
      </c>
      <c r="F40" s="213" t="s">
        <v>493</v>
      </c>
      <c r="G40" s="215" t="s">
        <v>736</v>
      </c>
      <c r="H40" s="214"/>
      <c r="I40" s="214"/>
      <c r="J40" s="214" t="s">
        <v>285</v>
      </c>
      <c r="K40" s="211" t="str">
        <f>if(isError(vlookup(J40,'node-RE'!$C:$C, 1, FALSE)), "NO", "YES")</f>
        <v>NO</v>
      </c>
      <c r="L40" s="213"/>
      <c r="M40" s="213" t="s">
        <v>511</v>
      </c>
      <c r="N40" s="211" t="str">
        <f>if(isError(vlookup(M40,'node-RE'!$C:$C, 1, FALSE)), "NO", "YES")</f>
        <v>NO</v>
      </c>
    </row>
    <row r="41">
      <c r="A41" s="210" t="s">
        <v>81</v>
      </c>
      <c r="B41" s="211" t="s">
        <v>80</v>
      </c>
      <c r="C41" s="211" t="str">
        <f>if(isError(vlookup(B41,'node-RE'!C:C, 1, FALSE)), "NO", "YES")</f>
        <v>NO</v>
      </c>
      <c r="D41" s="214"/>
      <c r="E41" s="214" t="s">
        <v>252</v>
      </c>
      <c r="F41" s="213" t="s">
        <v>458</v>
      </c>
      <c r="G41" s="215" t="s">
        <v>736</v>
      </c>
      <c r="H41" s="214"/>
      <c r="I41" s="214"/>
      <c r="J41" s="214" t="s">
        <v>161</v>
      </c>
      <c r="K41" s="211" t="str">
        <f>if(isError(vlookup(J41,'node-RE'!$C:$C, 1, FALSE)), "NO", "YES")</f>
        <v>NO</v>
      </c>
      <c r="L41" s="213"/>
      <c r="M41" s="213" t="s">
        <v>515</v>
      </c>
      <c r="N41" s="211" t="str">
        <f>if(isError(vlookup(M41,'node-RE'!$C:$C, 1, FALSE)), "NO", "YES")</f>
        <v>NO</v>
      </c>
    </row>
    <row r="42">
      <c r="A42" s="210" t="s">
        <v>258</v>
      </c>
      <c r="B42" s="211" t="s">
        <v>38</v>
      </c>
      <c r="C42" s="211" t="str">
        <f>if(isError(vlookup(B42,'node-RE'!C:C, 1, FALSE)), "NO", "YES")</f>
        <v>NO</v>
      </c>
      <c r="D42" s="214"/>
      <c r="E42" s="214" t="s">
        <v>122</v>
      </c>
      <c r="F42" s="213" t="s">
        <v>463</v>
      </c>
      <c r="G42" s="215" t="s">
        <v>736</v>
      </c>
      <c r="H42" s="214"/>
      <c r="I42" s="214"/>
      <c r="J42" s="214" t="s">
        <v>315</v>
      </c>
      <c r="K42" s="211" t="str">
        <f>if(isError(vlookup(J42,'node-RE'!$C:$C, 1, FALSE)), "NO", "YES")</f>
        <v>NO</v>
      </c>
      <c r="L42" s="213"/>
      <c r="M42" s="213" t="s">
        <v>517</v>
      </c>
      <c r="N42" s="211" t="str">
        <f>if(isError(vlookup(M42,'node-RE'!$C:$C, 1, FALSE)), "NO", "YES")</f>
        <v>NO</v>
      </c>
    </row>
    <row r="43">
      <c r="A43" s="210" t="s">
        <v>447</v>
      </c>
      <c r="B43" s="211" t="s">
        <v>81</v>
      </c>
      <c r="C43" s="211" t="str">
        <f>if(isError(vlookup(B43,'node-RE'!C:C, 1, FALSE)), "NO", "YES")</f>
        <v>NO</v>
      </c>
      <c r="D43" s="214"/>
      <c r="E43" s="214" t="s">
        <v>279</v>
      </c>
      <c r="F43" s="213" t="s">
        <v>464</v>
      </c>
      <c r="G43" s="215" t="s">
        <v>736</v>
      </c>
      <c r="H43" s="214"/>
      <c r="I43" s="214"/>
      <c r="J43" s="214" t="s">
        <v>326</v>
      </c>
      <c r="K43" s="211" t="str">
        <f>if(isError(vlookup(J43,'node-RE'!$C:$C, 1, FALSE)), "NO", "YES")</f>
        <v>NO</v>
      </c>
      <c r="L43" s="213"/>
      <c r="M43" s="213" t="s">
        <v>518</v>
      </c>
      <c r="N43" s="211" t="str">
        <f>if(isError(vlookup(M43,'node-RE'!$C:$C, 1, FALSE)), "NO", "YES")</f>
        <v>NO</v>
      </c>
    </row>
    <row r="44">
      <c r="A44" s="210" t="s">
        <v>114</v>
      </c>
      <c r="B44" s="211" t="s">
        <v>258</v>
      </c>
      <c r="C44" s="211" t="str">
        <f>if(isError(vlookup(B44,'node-RE'!C:C, 1, FALSE)), "NO", "YES")</f>
        <v>NO</v>
      </c>
      <c r="D44" s="214"/>
      <c r="E44" s="214" t="s">
        <v>285</v>
      </c>
      <c r="F44" s="213" t="s">
        <v>488</v>
      </c>
      <c r="G44" s="215" t="s">
        <v>736</v>
      </c>
      <c r="H44" s="214"/>
      <c r="I44" s="214"/>
      <c r="J44" s="214" t="s">
        <v>346</v>
      </c>
      <c r="K44" s="211" t="str">
        <f>if(isError(vlookup(J44,'node-RE'!$C:$C, 1, FALSE)), "NO", "YES")</f>
        <v>NO</v>
      </c>
      <c r="L44" s="213"/>
      <c r="M44" s="213" t="s">
        <v>456</v>
      </c>
      <c r="N44" s="211" t="str">
        <f>if(isError(vlookup(M44,'node-RE'!$C:$C, 1, FALSE)), "NO", "YES")</f>
        <v>NO</v>
      </c>
    </row>
    <row r="45">
      <c r="A45" s="210" t="s">
        <v>276</v>
      </c>
      <c r="B45" s="211" t="s">
        <v>447</v>
      </c>
      <c r="C45" s="211" t="str">
        <f>if(isError(vlookup(B45,'node-RE'!C:C, 1, FALSE)), "NO", "YES")</f>
        <v>NO</v>
      </c>
      <c r="D45" s="214"/>
      <c r="E45" s="214" t="s">
        <v>161</v>
      </c>
      <c r="F45" s="213" t="s">
        <v>509</v>
      </c>
      <c r="G45" s="215" t="s">
        <v>736</v>
      </c>
      <c r="H45" s="214"/>
      <c r="I45" s="214"/>
      <c r="J45" s="214" t="s">
        <v>61</v>
      </c>
      <c r="K45" s="211" t="str">
        <f>if(isError(vlookup(J45,'node-RE'!$C:$C, 1, FALSE)), "NO", "YES")</f>
        <v>NO</v>
      </c>
      <c r="L45" s="213"/>
      <c r="M45" s="213" t="s">
        <v>450</v>
      </c>
      <c r="N45" s="211" t="str">
        <f>if(isError(vlookup(M45,'node-RE'!$C:$C, 1, FALSE)), "NO", "YES")</f>
        <v>NO</v>
      </c>
    </row>
    <row r="46">
      <c r="A46" s="210" t="s">
        <v>427</v>
      </c>
      <c r="B46" s="211" t="s">
        <v>114</v>
      </c>
      <c r="C46" s="211" t="str">
        <f>if(isError(vlookup(B46,'node-RE'!C:C, 1, FALSE)), "NO", "YES")</f>
        <v>NO</v>
      </c>
      <c r="D46" s="214"/>
      <c r="E46" s="214" t="s">
        <v>315</v>
      </c>
      <c r="F46" s="213" t="s">
        <v>510</v>
      </c>
      <c r="G46" s="215" t="s">
        <v>736</v>
      </c>
      <c r="H46" s="214"/>
      <c r="I46" s="214"/>
      <c r="J46" s="214" t="s">
        <v>328</v>
      </c>
      <c r="K46" s="211" t="str">
        <f>if(isError(vlookup(J46,'node-RE'!$C:$C, 1, FALSE)), "NO", "YES")</f>
        <v>NO</v>
      </c>
      <c r="L46" s="213"/>
      <c r="M46" s="213" t="s">
        <v>506</v>
      </c>
      <c r="N46" s="211" t="str">
        <f>if(isError(vlookup(M46,'node-RE'!$C:$C, 1, FALSE)), "NO", "YES")</f>
        <v>NO</v>
      </c>
    </row>
    <row r="47">
      <c r="A47" s="210" t="s">
        <v>57</v>
      </c>
      <c r="B47" s="211" t="s">
        <v>276</v>
      </c>
      <c r="C47" s="211" t="str">
        <f>if(isError(vlookup(B47,'node-RE'!C:C, 1, FALSE)), "NO", "YES")</f>
        <v>NO</v>
      </c>
      <c r="D47" s="214"/>
      <c r="E47" s="214" t="s">
        <v>326</v>
      </c>
      <c r="F47" s="213" t="s">
        <v>511</v>
      </c>
      <c r="G47" s="215" t="s">
        <v>736</v>
      </c>
      <c r="H47" s="214"/>
      <c r="I47" s="214"/>
      <c r="J47" s="214" t="s">
        <v>50</v>
      </c>
      <c r="K47" s="211" t="str">
        <f>if(isError(vlookup(J47,'node-RE'!$C:$C, 1, FALSE)), "NO", "YES")</f>
        <v>NO</v>
      </c>
      <c r="L47" s="213"/>
      <c r="M47" s="213" t="s">
        <v>443</v>
      </c>
      <c r="N47" s="211" t="str">
        <f>if(isError(vlookup(M47,'node-RE'!$C:$C, 1, FALSE)), "NO", "YES")</f>
        <v>NO</v>
      </c>
    </row>
    <row r="48">
      <c r="A48" s="210" t="s">
        <v>252</v>
      </c>
      <c r="B48" s="211" t="s">
        <v>427</v>
      </c>
      <c r="C48" s="211" t="str">
        <f>if(isError(vlookup(B48,'node-RE'!C:C, 1, FALSE)), "NO", "YES")</f>
        <v>NO</v>
      </c>
      <c r="D48" s="214"/>
      <c r="E48" s="214" t="s">
        <v>346</v>
      </c>
      <c r="F48" s="213" t="s">
        <v>515</v>
      </c>
      <c r="G48" s="215" t="s">
        <v>736</v>
      </c>
      <c r="H48" s="214"/>
      <c r="I48" s="214"/>
      <c r="J48" s="214" t="s">
        <v>101</v>
      </c>
      <c r="K48" s="211" t="str">
        <f>if(isError(vlookup(J48,'node-RE'!$C:$C, 1, FALSE)), "NO", "YES")</f>
        <v>NO</v>
      </c>
      <c r="L48" s="213"/>
      <c r="M48" s="213" t="s">
        <v>477</v>
      </c>
      <c r="N48" s="211" t="str">
        <f>if(isError(vlookup(M48,'node-RE'!$C:$C, 1, FALSE)), "NO", "YES")</f>
        <v>NO</v>
      </c>
    </row>
    <row r="49">
      <c r="A49" s="210" t="s">
        <v>122</v>
      </c>
      <c r="B49" s="211" t="s">
        <v>57</v>
      </c>
      <c r="C49" s="211" t="str">
        <f>if(isError(vlookup(B49,'node-RE'!C:C, 1, FALSE)), "NO", "YES")</f>
        <v>NO</v>
      </c>
      <c r="D49" s="214"/>
      <c r="E49" s="214" t="s">
        <v>61</v>
      </c>
      <c r="F49" s="213" t="s">
        <v>517</v>
      </c>
      <c r="G49" s="215" t="s">
        <v>736</v>
      </c>
      <c r="H49" s="214"/>
      <c r="I49" s="214"/>
      <c r="J49" s="214" t="s">
        <v>199</v>
      </c>
      <c r="K49" s="211" t="str">
        <f>if(isError(vlookup(J49,'node-RE'!$C:$C, 1, FALSE)), "NO", "YES")</f>
        <v>NO</v>
      </c>
      <c r="L49" s="213"/>
      <c r="M49" s="213" t="s">
        <v>448</v>
      </c>
      <c r="N49" s="211" t="str">
        <f>if(isError(vlookup(M49,'node-RE'!$C:$C, 1, FALSE)), "NO", "YES")</f>
        <v>NO</v>
      </c>
    </row>
    <row r="50">
      <c r="A50" s="210" t="s">
        <v>279</v>
      </c>
      <c r="B50" s="211" t="s">
        <v>47</v>
      </c>
      <c r="C50" s="211" t="str">
        <f>if(isError(vlookup(B50,'node-RE'!C:C, 1, FALSE)), "NO", "YES")</f>
        <v>YES</v>
      </c>
      <c r="D50" s="214"/>
      <c r="E50" s="214" t="s">
        <v>328</v>
      </c>
      <c r="F50" s="213" t="s">
        <v>518</v>
      </c>
      <c r="G50" s="215" t="s">
        <v>736</v>
      </c>
      <c r="H50" s="214"/>
      <c r="I50" s="214"/>
      <c r="J50" s="214" t="s">
        <v>269</v>
      </c>
      <c r="K50" s="211" t="str">
        <f>if(isError(vlookup(J50,'node-RE'!$C:$C, 1, FALSE)), "NO", "YES")</f>
        <v>NO</v>
      </c>
      <c r="L50" s="213"/>
      <c r="M50" s="213" t="s">
        <v>504</v>
      </c>
      <c r="N50" s="211" t="str">
        <f>if(isError(vlookup(M50,'node-RE'!$C:$C, 1, FALSE)), "NO", "YES")</f>
        <v>NO</v>
      </c>
    </row>
    <row r="51">
      <c r="A51" s="210" t="s">
        <v>285</v>
      </c>
      <c r="B51" s="211" t="s">
        <v>252</v>
      </c>
      <c r="C51" s="211" t="str">
        <f>if(isError(vlookup(B51,'node-RE'!C:C, 1, FALSE)), "NO", "YES")</f>
        <v>NO</v>
      </c>
      <c r="D51" s="214"/>
      <c r="E51" s="214" t="s">
        <v>50</v>
      </c>
      <c r="F51" s="213" t="s">
        <v>211</v>
      </c>
      <c r="G51" s="215" t="s">
        <v>736</v>
      </c>
      <c r="H51" s="214"/>
      <c r="I51" s="214"/>
      <c r="J51" s="214" t="s">
        <v>151</v>
      </c>
      <c r="K51" s="211" t="str">
        <f>if(isError(vlookup(J51,'node-RE'!$C:$C, 1, FALSE)), "NO", "YES")</f>
        <v>NO</v>
      </c>
      <c r="L51" s="213"/>
      <c r="M51" s="213" t="s">
        <v>462</v>
      </c>
      <c r="N51" s="211" t="str">
        <f>if(isError(vlookup(M51,'node-RE'!$C:$C, 1, FALSE)), "NO", "YES")</f>
        <v>NO</v>
      </c>
    </row>
    <row r="52">
      <c r="A52" s="210" t="s">
        <v>161</v>
      </c>
      <c r="B52" s="211" t="s">
        <v>122</v>
      </c>
      <c r="C52" s="211" t="str">
        <f>if(isError(vlookup(B52,'node-RE'!C:C, 1, FALSE)), "NO", "YES")</f>
        <v>NO</v>
      </c>
      <c r="D52" s="214"/>
      <c r="E52" s="214" t="s">
        <v>101</v>
      </c>
      <c r="F52" s="213" t="s">
        <v>456</v>
      </c>
      <c r="G52" s="215" t="s">
        <v>736</v>
      </c>
      <c r="H52" s="214"/>
      <c r="I52" s="214"/>
      <c r="J52" s="214" t="s">
        <v>356</v>
      </c>
      <c r="K52" s="211" t="str">
        <f>if(isError(vlookup(J52,'node-RE'!$C:$C, 1, FALSE)), "NO", "YES")</f>
        <v>NO</v>
      </c>
      <c r="L52" s="213"/>
      <c r="M52" s="213" t="s">
        <v>508</v>
      </c>
      <c r="N52" s="211" t="str">
        <f>if(isError(vlookup(M52,'node-RE'!$C:$C, 1, FALSE)), "NO", "YES")</f>
        <v>NO</v>
      </c>
    </row>
    <row r="53">
      <c r="A53" s="210" t="s">
        <v>315</v>
      </c>
      <c r="B53" s="211" t="s">
        <v>279</v>
      </c>
      <c r="C53" s="211" t="str">
        <f>if(isError(vlookup(B53,'node-RE'!C:C, 1, FALSE)), "NO", "YES")</f>
        <v>NO</v>
      </c>
      <c r="D53" s="214"/>
      <c r="E53" s="214" t="s">
        <v>199</v>
      </c>
      <c r="F53" s="213" t="s">
        <v>450</v>
      </c>
      <c r="G53" s="215" t="s">
        <v>736</v>
      </c>
      <c r="H53" s="214"/>
      <c r="I53" s="214"/>
      <c r="J53" s="214" t="s">
        <v>194</v>
      </c>
      <c r="K53" s="211" t="str">
        <f>if(isError(vlookup(J53,'node-RE'!$C:$C, 1, FALSE)), "NO", "YES")</f>
        <v>NO</v>
      </c>
      <c r="L53" s="213"/>
      <c r="M53" s="213" t="s">
        <v>426</v>
      </c>
      <c r="N53" s="211" t="str">
        <f>if(isError(vlookup(M53,'node-RE'!$C:$C, 1, FALSE)), "NO", "YES")</f>
        <v>NO</v>
      </c>
    </row>
    <row r="54">
      <c r="A54" s="210" t="s">
        <v>326</v>
      </c>
      <c r="B54" s="211" t="s">
        <v>285</v>
      </c>
      <c r="C54" s="211" t="str">
        <f>if(isError(vlookup(B54,'node-RE'!C:C, 1, FALSE)), "NO", "YES")</f>
        <v>NO</v>
      </c>
      <c r="D54" s="214"/>
      <c r="E54" s="214" t="s">
        <v>269</v>
      </c>
      <c r="F54" s="213" t="s">
        <v>506</v>
      </c>
      <c r="G54" s="215" t="s">
        <v>736</v>
      </c>
      <c r="H54" s="214"/>
      <c r="I54" s="214"/>
      <c r="J54" s="214" t="s">
        <v>204</v>
      </c>
      <c r="K54" s="211" t="str">
        <f>if(isError(vlookup(J54,'node-RE'!$C:$C, 1, FALSE)), "NO", "YES")</f>
        <v>NO</v>
      </c>
      <c r="L54" s="213"/>
      <c r="M54" s="213" t="s">
        <v>444</v>
      </c>
      <c r="N54" s="211" t="str">
        <f>if(isError(vlookup(M54,'node-RE'!$C:$C, 1, FALSE)), "NO", "YES")</f>
        <v>NO</v>
      </c>
    </row>
    <row r="55">
      <c r="A55" s="210" t="s">
        <v>492</v>
      </c>
      <c r="B55" s="211" t="s">
        <v>161</v>
      </c>
      <c r="C55" s="211" t="str">
        <f>if(isError(vlookup(B55,'node-RE'!C:C, 1, FALSE)), "NO", "YES")</f>
        <v>NO</v>
      </c>
      <c r="D55" s="214"/>
      <c r="E55" s="214" t="s">
        <v>151</v>
      </c>
      <c r="F55" s="213" t="s">
        <v>443</v>
      </c>
      <c r="G55" s="215" t="s">
        <v>736</v>
      </c>
      <c r="H55" s="214"/>
      <c r="I55" s="214"/>
      <c r="J55" s="214" t="s">
        <v>133</v>
      </c>
      <c r="K55" s="211" t="str">
        <f>if(isError(vlookup(J55,'node-RE'!$C:$C, 1, FALSE)), "NO", "YES")</f>
        <v>NO</v>
      </c>
      <c r="L55" s="213"/>
      <c r="M55" s="213" t="s">
        <v>445</v>
      </c>
      <c r="N55" s="211" t="str">
        <f>if(isError(vlookup(M55,'node-RE'!$C:$C, 1, FALSE)), "NO", "YES")</f>
        <v>NO</v>
      </c>
    </row>
    <row r="56">
      <c r="A56" s="210" t="s">
        <v>449</v>
      </c>
      <c r="B56" s="211" t="s">
        <v>315</v>
      </c>
      <c r="C56" s="211" t="str">
        <f>if(isError(vlookup(B56,'node-RE'!C:C, 1, FALSE)), "NO", "YES")</f>
        <v>NO</v>
      </c>
      <c r="D56" s="214"/>
      <c r="E56" s="214" t="s">
        <v>356</v>
      </c>
      <c r="F56" s="213" t="s">
        <v>477</v>
      </c>
      <c r="G56" s="215" t="s">
        <v>736</v>
      </c>
      <c r="H56" s="214"/>
      <c r="I56" s="214"/>
      <c r="J56" s="214" t="s">
        <v>297</v>
      </c>
      <c r="K56" s="211" t="str">
        <f>if(isError(vlookup(J56,'node-RE'!$C:$C, 1, FALSE)), "NO", "YES")</f>
        <v>NO</v>
      </c>
      <c r="L56" s="213"/>
      <c r="M56" s="213" t="s">
        <v>436</v>
      </c>
      <c r="N56" s="211" t="str">
        <f>if(isError(vlookup(M56,'node-RE'!$C:$C, 1, FALSE)), "NO", "YES")</f>
        <v>NO</v>
      </c>
    </row>
    <row r="57">
      <c r="A57" s="210" t="s">
        <v>346</v>
      </c>
      <c r="B57" s="211" t="s">
        <v>326</v>
      </c>
      <c r="C57" s="211" t="str">
        <f>if(isError(vlookup(B57,'node-RE'!C:C, 1, FALSE)), "NO", "YES")</f>
        <v>NO</v>
      </c>
      <c r="D57" s="214"/>
      <c r="E57" s="214" t="s">
        <v>194</v>
      </c>
      <c r="F57" s="213" t="s">
        <v>278</v>
      </c>
      <c r="G57" s="215" t="s">
        <v>736</v>
      </c>
      <c r="H57" s="214"/>
      <c r="I57" s="214"/>
      <c r="J57" s="214" t="s">
        <v>217</v>
      </c>
      <c r="K57" s="211" t="str">
        <f>if(isError(vlookup(J57,'node-RE'!$C:$C, 1, FALSE)), "NO", "YES")</f>
        <v>NO</v>
      </c>
      <c r="L57" s="213"/>
      <c r="M57" s="213" t="s">
        <v>351</v>
      </c>
      <c r="N57" s="211" t="str">
        <f>if(isError(vlookup(M57,'node-RE'!$C:$C, 1, FALSE)), "NO", "YES")</f>
        <v>YES</v>
      </c>
    </row>
    <row r="58">
      <c r="A58" s="210" t="s">
        <v>61</v>
      </c>
      <c r="B58" s="211" t="s">
        <v>492</v>
      </c>
      <c r="C58" s="211" t="str">
        <f>if(isError(vlookup(B58,'node-RE'!C:C, 1, FALSE)), "NO", "YES")</f>
        <v>NO</v>
      </c>
      <c r="D58" s="214"/>
      <c r="E58" s="214" t="s">
        <v>204</v>
      </c>
      <c r="F58" s="213" t="s">
        <v>448</v>
      </c>
      <c r="G58" s="215" t="s">
        <v>736</v>
      </c>
      <c r="H58" s="214"/>
      <c r="I58" s="214"/>
      <c r="J58" s="214" t="s">
        <v>344</v>
      </c>
      <c r="K58" s="211" t="str">
        <f>if(isError(vlookup(J58,'node-RE'!$C:$C, 1, FALSE)), "NO", "YES")</f>
        <v>NO</v>
      </c>
      <c r="L58" s="213"/>
      <c r="M58" s="213" t="s">
        <v>479</v>
      </c>
      <c r="N58" s="211" t="str">
        <f>if(isError(vlookup(M58,'node-RE'!$C:$C, 1, FALSE)), "NO", "YES")</f>
        <v>NO</v>
      </c>
    </row>
    <row r="59">
      <c r="A59" s="210" t="s">
        <v>328</v>
      </c>
      <c r="B59" s="211" t="s">
        <v>449</v>
      </c>
      <c r="C59" s="211" t="str">
        <f>if(isError(vlookup(B59,'node-RE'!C:C, 1, FALSE)), "NO", "YES")</f>
        <v>NO</v>
      </c>
      <c r="D59" s="214"/>
      <c r="E59" s="214" t="s">
        <v>133</v>
      </c>
      <c r="F59" s="213" t="s">
        <v>504</v>
      </c>
      <c r="H59" s="214"/>
      <c r="I59" s="214"/>
      <c r="J59" s="214" t="s">
        <v>365</v>
      </c>
      <c r="K59" s="211" t="str">
        <f>if(isError(vlookup(J59,'node-RE'!$C:$C, 1, FALSE)), "NO", "YES")</f>
        <v>NO</v>
      </c>
      <c r="L59" s="214"/>
      <c r="M59" s="214"/>
      <c r="N59" s="214"/>
    </row>
    <row r="60">
      <c r="A60" s="210" t="s">
        <v>50</v>
      </c>
      <c r="B60" s="211" t="s">
        <v>346</v>
      </c>
      <c r="C60" s="211" t="str">
        <f>if(isError(vlookup(B60,'node-RE'!C:C, 1, FALSE)), "NO", "YES")</f>
        <v>NO</v>
      </c>
      <c r="D60" s="214"/>
      <c r="E60" s="214" t="s">
        <v>297</v>
      </c>
      <c r="F60" s="213" t="s">
        <v>462</v>
      </c>
      <c r="H60" s="214"/>
      <c r="I60" s="214"/>
      <c r="J60" s="214" t="s">
        <v>167</v>
      </c>
      <c r="K60" s="211" t="str">
        <f>if(isError(vlookup(J60,'node-RE'!$C:$C, 1, FALSE)), "NO", "YES")</f>
        <v>NO</v>
      </c>
      <c r="L60" s="214"/>
      <c r="M60" s="214"/>
      <c r="N60" s="214"/>
    </row>
    <row r="61">
      <c r="A61" s="210" t="s">
        <v>101</v>
      </c>
      <c r="B61" s="211" t="s">
        <v>61</v>
      </c>
      <c r="C61" s="211" t="str">
        <f>if(isError(vlookup(B61,'node-RE'!C:C, 1, FALSE)), "NO", "YES")</f>
        <v>NO</v>
      </c>
      <c r="D61" s="214"/>
      <c r="E61" s="214" t="s">
        <v>217</v>
      </c>
      <c r="F61" s="213" t="s">
        <v>508</v>
      </c>
      <c r="H61" s="214"/>
      <c r="I61" s="214"/>
      <c r="J61" s="214" t="s">
        <v>377</v>
      </c>
      <c r="K61" s="211" t="str">
        <f>if(isError(vlookup(J61,'node-RE'!$C:$C, 1, FALSE)), "NO", "YES")</f>
        <v>NO</v>
      </c>
      <c r="L61" s="214"/>
      <c r="M61" s="214"/>
      <c r="N61" s="214"/>
    </row>
    <row r="62">
      <c r="A62" s="210" t="s">
        <v>451</v>
      </c>
      <c r="B62" s="211" t="s">
        <v>328</v>
      </c>
      <c r="C62" s="211" t="str">
        <f>if(isError(vlookup(B62,'node-RE'!C:C, 1, FALSE)), "NO", "YES")</f>
        <v>NO</v>
      </c>
      <c r="D62" s="214"/>
      <c r="E62" s="214" t="s">
        <v>344</v>
      </c>
      <c r="F62" s="213" t="s">
        <v>426</v>
      </c>
      <c r="H62" s="214"/>
      <c r="I62" s="214"/>
      <c r="J62" s="214" t="s">
        <v>146</v>
      </c>
      <c r="K62" s="211" t="str">
        <f>if(isError(vlookup(J62,'node-RE'!$C:$C, 1, FALSE)), "NO", "YES")</f>
        <v>NO</v>
      </c>
      <c r="L62" s="213"/>
      <c r="M62" s="213"/>
      <c r="N62" s="213"/>
    </row>
    <row r="63">
      <c r="A63" s="210" t="s">
        <v>199</v>
      </c>
      <c r="B63" s="211" t="s">
        <v>50</v>
      </c>
      <c r="C63" s="211" t="str">
        <f>if(isError(vlookup(B63,'node-RE'!C:C, 1, FALSE)), "NO", "YES")</f>
        <v>NO</v>
      </c>
      <c r="D63" s="214"/>
      <c r="E63" s="214" t="s">
        <v>365</v>
      </c>
      <c r="F63" s="213" t="s">
        <v>444</v>
      </c>
      <c r="H63" s="214"/>
      <c r="I63" s="214"/>
      <c r="J63" s="214" t="s">
        <v>378</v>
      </c>
      <c r="K63" s="211" t="str">
        <f>if(isError(vlookup(J63,'node-RE'!$C:$C, 1, FALSE)), "NO", "YES")</f>
        <v>NO</v>
      </c>
      <c r="L63" s="213"/>
      <c r="M63" s="213"/>
      <c r="N63" s="213"/>
    </row>
    <row r="64">
      <c r="A64" s="210" t="s">
        <v>435</v>
      </c>
      <c r="B64" s="211" t="s">
        <v>101</v>
      </c>
      <c r="C64" s="211" t="str">
        <f>if(isError(vlookup(B64,'node-RE'!C:C, 1, FALSE)), "NO", "YES")</f>
        <v>NO</v>
      </c>
      <c r="D64" s="214"/>
      <c r="E64" s="214" t="s">
        <v>167</v>
      </c>
      <c r="F64" s="213" t="s">
        <v>445</v>
      </c>
      <c r="H64" s="214"/>
      <c r="I64" s="214"/>
      <c r="J64" s="214" t="s">
        <v>77</v>
      </c>
      <c r="K64" s="211" t="str">
        <f>if(isError(vlookup(J64,'node-RE'!$C:$C, 1, FALSE)), "NO", "YES")</f>
        <v>NO</v>
      </c>
      <c r="L64" s="214"/>
      <c r="M64" s="214"/>
      <c r="N64" s="214"/>
    </row>
    <row r="65">
      <c r="A65" s="210" t="s">
        <v>269</v>
      </c>
      <c r="B65" s="211" t="s">
        <v>451</v>
      </c>
      <c r="C65" s="211" t="str">
        <f>if(isError(vlookup(B65,'node-RE'!C:C, 1, FALSE)), "NO", "YES")</f>
        <v>NO</v>
      </c>
      <c r="D65" s="214"/>
      <c r="E65" s="214" t="s">
        <v>377</v>
      </c>
      <c r="F65" s="213" t="s">
        <v>436</v>
      </c>
      <c r="H65" s="214"/>
      <c r="I65" s="214"/>
      <c r="J65" s="214" t="s">
        <v>76</v>
      </c>
      <c r="K65" s="211" t="str">
        <f>if(isError(vlookup(J65,'node-RE'!$C:$C, 1, FALSE)), "NO", "YES")</f>
        <v>NO</v>
      </c>
      <c r="L65" s="214"/>
      <c r="M65" s="214"/>
      <c r="N65" s="214"/>
    </row>
    <row r="66">
      <c r="A66" s="210" t="s">
        <v>151</v>
      </c>
      <c r="B66" s="211" t="s">
        <v>199</v>
      </c>
      <c r="C66" s="211" t="str">
        <f>if(isError(vlookup(B66,'node-RE'!C:C, 1, FALSE)), "NO", "YES")</f>
        <v>NO</v>
      </c>
      <c r="D66" s="214"/>
      <c r="E66" s="214" t="s">
        <v>146</v>
      </c>
      <c r="F66" s="213" t="s">
        <v>37</v>
      </c>
      <c r="H66" s="214"/>
      <c r="I66" s="214"/>
      <c r="J66" s="214" t="s">
        <v>268</v>
      </c>
      <c r="K66" s="211" t="str">
        <f>if(isError(vlookup(J66,'node-RE'!$C:$C, 1, FALSE)), "NO", "YES")</f>
        <v>NO</v>
      </c>
      <c r="L66" s="214"/>
      <c r="M66" s="214"/>
      <c r="N66" s="214"/>
    </row>
    <row r="67">
      <c r="A67" s="210" t="s">
        <v>356</v>
      </c>
      <c r="B67" s="211" t="s">
        <v>435</v>
      </c>
      <c r="C67" s="211" t="str">
        <f>if(isError(vlookup(B67,'node-RE'!C:C, 1, FALSE)), "NO", "YES")</f>
        <v>NO</v>
      </c>
      <c r="D67" s="214"/>
      <c r="E67" s="214" t="s">
        <v>378</v>
      </c>
      <c r="F67" s="213" t="s">
        <v>277</v>
      </c>
      <c r="H67" s="214"/>
      <c r="I67" s="214"/>
      <c r="J67" s="214" t="s">
        <v>190</v>
      </c>
      <c r="K67" s="211" t="str">
        <f>if(isError(vlookup(J67,'node-RE'!$C:$C, 1, FALSE)), "NO", "YES")</f>
        <v>NO</v>
      </c>
      <c r="L67" s="214"/>
      <c r="M67" s="214"/>
      <c r="N67" s="214"/>
    </row>
    <row r="68">
      <c r="A68" s="210" t="s">
        <v>194</v>
      </c>
      <c r="B68" s="211" t="s">
        <v>269</v>
      </c>
      <c r="C68" s="211" t="str">
        <f>if(isError(vlookup(B68,'node-RE'!C:C, 1, FALSE)), "NO", "YES")</f>
        <v>NO</v>
      </c>
      <c r="D68" s="214"/>
      <c r="E68" s="214" t="s">
        <v>77</v>
      </c>
      <c r="F68" s="213" t="s">
        <v>351</v>
      </c>
      <c r="H68" s="214"/>
      <c r="I68" s="214"/>
      <c r="J68" s="214" t="s">
        <v>379</v>
      </c>
      <c r="K68" s="211" t="str">
        <f>if(isError(vlookup(J68,'node-RE'!$C:$C, 1, FALSE)), "NO", "YES")</f>
        <v>NO</v>
      </c>
      <c r="L68" s="214"/>
      <c r="M68" s="214"/>
      <c r="N68" s="214"/>
    </row>
    <row r="69">
      <c r="A69" s="210" t="s">
        <v>204</v>
      </c>
      <c r="B69" s="211" t="s">
        <v>151</v>
      </c>
      <c r="C69" s="211" t="str">
        <f>if(isError(vlookup(B69,'node-RE'!C:C, 1, FALSE)), "NO", "YES")</f>
        <v>NO</v>
      </c>
      <c r="D69" s="214"/>
      <c r="E69" s="214" t="s">
        <v>76</v>
      </c>
      <c r="F69" s="213" t="s">
        <v>231</v>
      </c>
      <c r="H69" s="214"/>
      <c r="I69" s="214"/>
      <c r="J69" s="214" t="s">
        <v>375</v>
      </c>
      <c r="K69" s="211" t="str">
        <f>if(isError(vlookup(J69,'node-RE'!$C:$C, 1, FALSE)), "NO", "YES")</f>
        <v>NO</v>
      </c>
      <c r="L69" s="213"/>
      <c r="M69" s="213"/>
      <c r="N69" s="213"/>
    </row>
    <row r="70">
      <c r="A70" s="210" t="s">
        <v>133</v>
      </c>
      <c r="B70" s="211" t="s">
        <v>356</v>
      </c>
      <c r="C70" s="211" t="str">
        <f>if(isError(vlookup(B70,'node-RE'!C:C, 1, FALSE)), "NO", "YES")</f>
        <v>NO</v>
      </c>
      <c r="D70" s="214"/>
      <c r="E70" s="214" t="s">
        <v>268</v>
      </c>
      <c r="F70" s="213" t="s">
        <v>44</v>
      </c>
      <c r="H70" s="214"/>
      <c r="I70" s="214"/>
      <c r="J70" s="214" t="s">
        <v>308</v>
      </c>
      <c r="K70" s="211" t="str">
        <f>if(isError(vlookup(J70,'node-RE'!$C:$C, 1, FALSE)), "NO", "YES")</f>
        <v>NO</v>
      </c>
      <c r="L70" s="214"/>
      <c r="M70" s="214"/>
      <c r="N70" s="214"/>
    </row>
    <row r="71">
      <c r="A71" s="210" t="s">
        <v>297</v>
      </c>
      <c r="B71" s="211" t="s">
        <v>194</v>
      </c>
      <c r="C71" s="211" t="str">
        <f>if(isError(vlookup(B71,'node-RE'!C:C, 1, FALSE)), "NO", "YES")</f>
        <v>NO</v>
      </c>
      <c r="D71" s="214"/>
      <c r="E71" s="214" t="s">
        <v>190</v>
      </c>
      <c r="F71" s="213" t="s">
        <v>479</v>
      </c>
      <c r="H71" s="214"/>
      <c r="I71" s="214"/>
      <c r="J71" s="214" t="s">
        <v>282</v>
      </c>
      <c r="K71" s="211" t="str">
        <f>if(isError(vlookup(J71,'node-RE'!$C:$C, 1, FALSE)), "NO", "YES")</f>
        <v>NO</v>
      </c>
      <c r="L71" s="213"/>
      <c r="M71" s="213"/>
      <c r="N71" s="213"/>
    </row>
    <row r="72">
      <c r="A72" s="210" t="s">
        <v>217</v>
      </c>
      <c r="B72" s="211" t="s">
        <v>204</v>
      </c>
      <c r="C72" s="211" t="str">
        <f>if(isError(vlookup(B72,'node-RE'!C:C, 1, FALSE)), "NO", "YES")</f>
        <v>NO</v>
      </c>
      <c r="D72" s="214"/>
      <c r="E72" s="214" t="s">
        <v>379</v>
      </c>
      <c r="F72" s="1"/>
      <c r="H72" s="214"/>
      <c r="I72" s="214"/>
      <c r="J72" s="214" t="s">
        <v>62</v>
      </c>
      <c r="K72" s="211" t="str">
        <f>if(isError(vlookup(J72,'node-RE'!$C:$C, 1, FALSE)), "NO", "YES")</f>
        <v>NO</v>
      </c>
      <c r="L72" s="214"/>
      <c r="M72" s="214"/>
      <c r="N72" s="214"/>
    </row>
    <row r="73">
      <c r="A73" s="210" t="s">
        <v>344</v>
      </c>
      <c r="B73" s="211" t="s">
        <v>133</v>
      </c>
      <c r="C73" s="211" t="str">
        <f>if(isError(vlookup(B73,'node-RE'!C:C, 1, FALSE)), "NO", "YES")</f>
        <v>NO</v>
      </c>
      <c r="D73" s="214"/>
      <c r="E73" s="214" t="s">
        <v>375</v>
      </c>
      <c r="F73" s="1"/>
      <c r="H73" s="214"/>
      <c r="I73" s="214"/>
      <c r="J73" s="214" t="s">
        <v>66</v>
      </c>
      <c r="K73" s="211" t="str">
        <f>if(isError(vlookup(J73,'node-RE'!$C:$C, 1, FALSE)), "NO", "YES")</f>
        <v>NO</v>
      </c>
      <c r="L73" s="214"/>
      <c r="M73" s="214"/>
      <c r="N73" s="214"/>
    </row>
    <row r="74">
      <c r="A74" s="210" t="s">
        <v>365</v>
      </c>
      <c r="B74" s="211" t="s">
        <v>297</v>
      </c>
      <c r="C74" s="211" t="str">
        <f>if(isError(vlookup(B74,'node-RE'!C:C, 1, FALSE)), "NO", "YES")</f>
        <v>NO</v>
      </c>
      <c r="D74" s="214"/>
      <c r="E74" s="214" t="s">
        <v>308</v>
      </c>
      <c r="F74" s="1"/>
      <c r="H74" s="214"/>
      <c r="I74" s="214"/>
      <c r="J74" s="214" t="s">
        <v>67</v>
      </c>
      <c r="K74" s="211" t="str">
        <f>if(isError(vlookup(J74,'node-RE'!$C:$C, 1, FALSE)), "NO", "YES")</f>
        <v>NO</v>
      </c>
      <c r="L74" s="214"/>
      <c r="M74" s="214"/>
      <c r="N74" s="214"/>
    </row>
    <row r="75">
      <c r="A75" s="210" t="s">
        <v>167</v>
      </c>
      <c r="B75" s="211" t="s">
        <v>217</v>
      </c>
      <c r="C75" s="211" t="str">
        <f>if(isError(vlookup(B75,'node-RE'!C:C, 1, FALSE)), "NO", "YES")</f>
        <v>NO</v>
      </c>
      <c r="D75" s="214"/>
      <c r="E75" s="214" t="s">
        <v>282</v>
      </c>
      <c r="F75" s="1"/>
      <c r="H75" s="214"/>
      <c r="I75" s="214"/>
      <c r="J75" s="214" t="s">
        <v>107</v>
      </c>
      <c r="K75" s="211" t="str">
        <f>if(isError(vlookup(J75,'node-RE'!$C:$C, 1, FALSE)), "NO", "YES")</f>
        <v>NO</v>
      </c>
      <c r="L75" s="214"/>
      <c r="M75" s="214"/>
      <c r="N75" s="214"/>
    </row>
    <row r="76">
      <c r="A76" s="210" t="s">
        <v>377</v>
      </c>
      <c r="B76" s="211" t="s">
        <v>118</v>
      </c>
      <c r="C76" s="211" t="str">
        <f>if(isError(vlookup(B76,'node-RE'!C:C, 1, FALSE)), "NO", "YES")</f>
        <v>YES</v>
      </c>
      <c r="D76" s="214"/>
      <c r="E76" s="214" t="s">
        <v>62</v>
      </c>
      <c r="F76" s="1"/>
      <c r="H76" s="214"/>
      <c r="I76" s="214"/>
      <c r="J76" s="214" t="s">
        <v>137</v>
      </c>
      <c r="K76" s="211" t="str">
        <f>if(isError(vlookup(J76,'node-RE'!$C:$C, 1, FALSE)), "NO", "YES")</f>
        <v>NO</v>
      </c>
      <c r="L76" s="214"/>
      <c r="M76" s="214"/>
      <c r="N76" s="214"/>
    </row>
    <row r="77">
      <c r="A77" s="210" t="s">
        <v>146</v>
      </c>
      <c r="B77" s="211" t="s">
        <v>344</v>
      </c>
      <c r="C77" s="211" t="str">
        <f>if(isError(vlookup(B77,'node-RE'!C:C, 1, FALSE)), "NO", "YES")</f>
        <v>NO</v>
      </c>
      <c r="D77" s="214"/>
      <c r="E77" s="214" t="s">
        <v>66</v>
      </c>
      <c r="F77" s="1"/>
      <c r="H77" s="214"/>
      <c r="I77" s="214"/>
      <c r="J77" s="214" t="s">
        <v>275</v>
      </c>
      <c r="K77" s="211" t="str">
        <f>if(isError(vlookup(J77,'node-RE'!$C:$C, 1, FALSE)), "NO", "YES")</f>
        <v>NO</v>
      </c>
      <c r="L77" s="214"/>
      <c r="M77" s="214"/>
      <c r="N77" s="214"/>
    </row>
    <row r="78">
      <c r="A78" s="210" t="s">
        <v>434</v>
      </c>
      <c r="B78" s="211" t="s">
        <v>365</v>
      </c>
      <c r="C78" s="211" t="str">
        <f>if(isError(vlookup(B78,'node-RE'!C:C, 1, FALSE)), "NO", "YES")</f>
        <v>NO</v>
      </c>
      <c r="D78" s="214"/>
      <c r="E78" s="214" t="s">
        <v>67</v>
      </c>
      <c r="F78" s="1"/>
      <c r="H78" s="214"/>
      <c r="I78" s="214"/>
      <c r="J78" s="214" t="s">
        <v>242</v>
      </c>
      <c r="K78" s="211" t="str">
        <f>if(isError(vlookup(J78,'node-RE'!$C:$C, 1, FALSE)), "NO", "YES")</f>
        <v>NO</v>
      </c>
      <c r="L78" s="214"/>
      <c r="M78" s="214"/>
      <c r="N78" s="214"/>
    </row>
    <row r="79">
      <c r="A79" s="210" t="s">
        <v>455</v>
      </c>
      <c r="B79" s="211" t="s">
        <v>167</v>
      </c>
      <c r="C79" s="211" t="str">
        <f>if(isError(vlookup(B79,'node-RE'!C:C, 1, FALSE)), "NO", "YES")</f>
        <v>NO</v>
      </c>
      <c r="D79" s="214"/>
      <c r="E79" s="214" t="s">
        <v>107</v>
      </c>
      <c r="F79" s="1"/>
      <c r="H79" s="214"/>
      <c r="I79" s="214"/>
      <c r="J79" s="214" t="s">
        <v>63</v>
      </c>
      <c r="K79" s="211" t="str">
        <f>if(isError(vlookup(J79,'node-RE'!$C:$C, 1, FALSE)), "NO", "YES")</f>
        <v>NO</v>
      </c>
      <c r="L79" s="214"/>
      <c r="M79" s="214"/>
      <c r="N79" s="214"/>
    </row>
    <row r="80">
      <c r="A80" s="210" t="s">
        <v>378</v>
      </c>
      <c r="B80" s="211" t="s">
        <v>377</v>
      </c>
      <c r="C80" s="211" t="str">
        <f>if(isError(vlookup(B80,'node-RE'!C:C, 1, FALSE)), "NO", "YES")</f>
        <v>NO</v>
      </c>
      <c r="D80" s="214"/>
      <c r="E80" s="214" t="s">
        <v>89</v>
      </c>
      <c r="F80" s="1"/>
      <c r="H80" s="214"/>
      <c r="I80" s="214"/>
      <c r="J80" s="214" t="s">
        <v>330</v>
      </c>
      <c r="K80" s="211" t="str">
        <f>if(isError(vlookup(J80,'node-RE'!$C:$C, 1, FALSE)), "NO", "YES")</f>
        <v>NO</v>
      </c>
      <c r="L80" s="213"/>
      <c r="M80" s="213"/>
      <c r="N80" s="213"/>
    </row>
    <row r="81">
      <c r="A81" s="210" t="s">
        <v>77</v>
      </c>
      <c r="B81" s="211" t="s">
        <v>146</v>
      </c>
      <c r="C81" s="211" t="str">
        <f>if(isError(vlookup(B81,'node-RE'!C:C, 1, FALSE)), "NO", "YES")</f>
        <v>NO</v>
      </c>
      <c r="D81" s="214"/>
      <c r="E81" s="214" t="s">
        <v>137</v>
      </c>
      <c r="F81" s="1"/>
      <c r="H81" s="214"/>
      <c r="I81" s="214"/>
      <c r="J81" s="214" t="s">
        <v>58</v>
      </c>
      <c r="K81" s="211" t="str">
        <f>if(isError(vlookup(J81,'node-RE'!$C:$C, 1, FALSE)), "NO", "YES")</f>
        <v>NO</v>
      </c>
      <c r="L81" s="214"/>
      <c r="M81" s="214"/>
      <c r="N81" s="214"/>
    </row>
    <row r="82">
      <c r="A82" s="210" t="s">
        <v>467</v>
      </c>
      <c r="B82" s="211" t="s">
        <v>434</v>
      </c>
      <c r="C82" s="211" t="str">
        <f>if(isError(vlookup(B82,'node-RE'!C:C, 1, FALSE)), "NO", "YES")</f>
        <v>NO</v>
      </c>
      <c r="D82" s="214"/>
      <c r="E82" s="214" t="s">
        <v>275</v>
      </c>
      <c r="F82" s="1"/>
      <c r="H82" s="214"/>
      <c r="I82" s="214"/>
      <c r="J82" s="214" t="s">
        <v>74</v>
      </c>
      <c r="K82" s="211" t="str">
        <f>if(isError(vlookup(J82,'node-RE'!$C:$C, 1, FALSE)), "NO", "YES")</f>
        <v>NO</v>
      </c>
      <c r="L82" s="214"/>
      <c r="M82" s="214"/>
      <c r="N82" s="214"/>
    </row>
    <row r="83">
      <c r="A83" s="210" t="s">
        <v>76</v>
      </c>
      <c r="B83" s="211" t="s">
        <v>455</v>
      </c>
      <c r="C83" s="211" t="str">
        <f>if(isError(vlookup(B83,'node-RE'!C:C, 1, FALSE)), "NO", "YES")</f>
        <v>NO</v>
      </c>
      <c r="D83" s="214"/>
      <c r="E83" s="214" t="s">
        <v>242</v>
      </c>
      <c r="F83" s="1"/>
      <c r="H83" s="214"/>
      <c r="I83" s="214"/>
      <c r="J83" s="214" t="s">
        <v>123</v>
      </c>
      <c r="K83" s="211" t="str">
        <f>if(isError(vlookup(J83,'node-RE'!$C:$C, 1, FALSE)), "NO", "YES")</f>
        <v>NO</v>
      </c>
      <c r="L83" s="214"/>
      <c r="M83" s="214"/>
      <c r="N83" s="214"/>
    </row>
    <row r="84">
      <c r="A84" s="210" t="s">
        <v>268</v>
      </c>
      <c r="B84" s="211" t="s">
        <v>378</v>
      </c>
      <c r="C84" s="211" t="str">
        <f>if(isError(vlookup(B84,'node-RE'!C:C, 1, FALSE)), "NO", "YES")</f>
        <v>NO</v>
      </c>
      <c r="D84" s="214"/>
      <c r="E84" s="214" t="s">
        <v>63</v>
      </c>
      <c r="F84" s="1"/>
      <c r="H84" s="214"/>
      <c r="I84" s="214"/>
      <c r="J84" s="214" t="s">
        <v>79</v>
      </c>
      <c r="K84" s="211" t="str">
        <f>if(isError(vlookup(J84,'node-RE'!$C:$C, 1, FALSE)), "NO", "YES")</f>
        <v>NO</v>
      </c>
      <c r="L84" s="214"/>
      <c r="M84" s="214"/>
      <c r="N84" s="214"/>
    </row>
    <row r="85">
      <c r="A85" s="210" t="s">
        <v>190</v>
      </c>
      <c r="B85" s="211" t="s">
        <v>77</v>
      </c>
      <c r="C85" s="211" t="str">
        <f>if(isError(vlookup(B85,'node-RE'!C:C, 1, FALSE)), "NO", "YES")</f>
        <v>NO</v>
      </c>
      <c r="D85" s="214"/>
      <c r="E85" s="214" t="s">
        <v>330</v>
      </c>
      <c r="F85" s="1"/>
      <c r="H85" s="214"/>
      <c r="I85" s="214"/>
      <c r="J85" s="214" t="s">
        <v>324</v>
      </c>
      <c r="K85" s="211" t="str">
        <f>if(isError(vlookup(J85,'node-RE'!$C:$C, 1, FALSE)), "NO", "YES")</f>
        <v>NO</v>
      </c>
      <c r="L85" s="214"/>
      <c r="M85" s="214"/>
      <c r="N85" s="214"/>
    </row>
    <row r="86">
      <c r="A86" s="210" t="s">
        <v>437</v>
      </c>
      <c r="B86" s="211" t="s">
        <v>467</v>
      </c>
      <c r="C86" s="211" t="str">
        <f>if(isError(vlookup(B86,'node-RE'!C:C, 1, FALSE)), "NO", "YES")</f>
        <v>NO</v>
      </c>
      <c r="D86" s="214"/>
      <c r="E86" s="214" t="s">
        <v>58</v>
      </c>
      <c r="F86" s="1"/>
      <c r="H86" s="214"/>
      <c r="I86" s="214"/>
      <c r="J86" s="214" t="s">
        <v>288</v>
      </c>
      <c r="K86" s="211" t="str">
        <f>if(isError(vlookup(J86,'node-RE'!$C:$C, 1, FALSE)), "NO", "YES")</f>
        <v>NO</v>
      </c>
      <c r="L86" s="213"/>
      <c r="M86" s="213"/>
      <c r="N86" s="213"/>
    </row>
    <row r="87">
      <c r="A87" s="210" t="s">
        <v>379</v>
      </c>
      <c r="B87" s="211" t="s">
        <v>76</v>
      </c>
      <c r="C87" s="211" t="str">
        <f>if(isError(vlookup(B87,'node-RE'!C:C, 1, FALSE)), "NO", "YES")</f>
        <v>NO</v>
      </c>
      <c r="D87" s="214"/>
      <c r="E87" s="214" t="s">
        <v>74</v>
      </c>
      <c r="F87" s="1"/>
      <c r="H87" s="214"/>
      <c r="I87" s="214"/>
      <c r="J87" s="214" t="s">
        <v>350</v>
      </c>
      <c r="K87" s="211" t="str">
        <f>if(isError(vlookup(J87,'node-RE'!$C:$C, 1, FALSE)), "NO", "YES")</f>
        <v>NO</v>
      </c>
      <c r="L87" s="213"/>
      <c r="M87" s="213"/>
      <c r="N87" s="213"/>
    </row>
    <row r="88">
      <c r="A88" s="210" t="s">
        <v>375</v>
      </c>
      <c r="B88" s="211" t="s">
        <v>268</v>
      </c>
      <c r="C88" s="211" t="str">
        <f>if(isError(vlookup(B88,'node-RE'!C:C, 1, FALSE)), "NO", "YES")</f>
        <v>NO</v>
      </c>
      <c r="D88" s="214"/>
      <c r="E88" s="214" t="s">
        <v>123</v>
      </c>
      <c r="F88" s="1"/>
      <c r="H88" s="214"/>
      <c r="I88" s="214"/>
      <c r="J88" s="214" t="s">
        <v>126</v>
      </c>
      <c r="K88" s="211" t="str">
        <f>if(isError(vlookup(J88,'node-RE'!$C:$C, 1, FALSE)), "NO", "YES")</f>
        <v>NO</v>
      </c>
      <c r="L88" s="214"/>
      <c r="M88" s="214"/>
      <c r="N88" s="214"/>
    </row>
    <row r="89">
      <c r="A89" s="210" t="s">
        <v>308</v>
      </c>
      <c r="B89" s="211" t="s">
        <v>190</v>
      </c>
      <c r="C89" s="211" t="str">
        <f>if(isError(vlookup(B89,'node-RE'!C:C, 1, FALSE)), "NO", "YES")</f>
        <v>NO</v>
      </c>
      <c r="D89" s="214"/>
      <c r="E89" s="214" t="s">
        <v>79</v>
      </c>
      <c r="F89" s="1"/>
      <c r="H89" s="214"/>
      <c r="I89" s="214"/>
      <c r="J89" s="214" t="s">
        <v>303</v>
      </c>
      <c r="K89" s="211" t="str">
        <f>if(isError(vlookup(J89,'node-RE'!$C:$C, 1, FALSE)), "NO", "YES")</f>
        <v>NO</v>
      </c>
      <c r="L89" s="214"/>
      <c r="M89" s="214"/>
      <c r="N89" s="214"/>
    </row>
    <row r="90">
      <c r="A90" s="210" t="s">
        <v>529</v>
      </c>
      <c r="B90" s="211" t="s">
        <v>437</v>
      </c>
      <c r="C90" s="211" t="str">
        <f>if(isError(vlookup(B90,'node-RE'!C:C, 1, FALSE)), "NO", "YES")</f>
        <v>NO</v>
      </c>
      <c r="D90" s="214"/>
      <c r="E90" s="214" t="s">
        <v>200</v>
      </c>
      <c r="F90" s="1"/>
      <c r="H90" s="214"/>
      <c r="I90" s="214"/>
      <c r="J90" s="214" t="s">
        <v>402</v>
      </c>
      <c r="K90" s="211" t="str">
        <f>if(isError(vlookup(J90,'node-RE'!$C:$C, 1, FALSE)), "NO", "YES")</f>
        <v>NO</v>
      </c>
      <c r="L90" s="213"/>
      <c r="M90" s="213"/>
      <c r="N90" s="213"/>
    </row>
    <row r="91">
      <c r="A91" s="210" t="s">
        <v>282</v>
      </c>
      <c r="B91" s="211" t="s">
        <v>379</v>
      </c>
      <c r="C91" s="211" t="str">
        <f>if(isError(vlookup(B91,'node-RE'!C:C, 1, FALSE)), "NO", "YES")</f>
        <v>NO</v>
      </c>
      <c r="D91" s="214"/>
      <c r="E91" s="214" t="s">
        <v>324</v>
      </c>
      <c r="F91" s="1"/>
      <c r="H91" s="214"/>
      <c r="I91" s="214"/>
      <c r="J91" s="214" t="s">
        <v>189</v>
      </c>
      <c r="K91" s="211" t="str">
        <f>if(isError(vlookup(J91,'node-RE'!$C:$C, 1, FALSE)), "NO", "YES")</f>
        <v>NO</v>
      </c>
      <c r="L91" s="214"/>
      <c r="M91" s="214"/>
      <c r="N91" s="214"/>
    </row>
    <row r="92">
      <c r="A92" s="210" t="s">
        <v>453</v>
      </c>
      <c r="B92" s="211" t="s">
        <v>375</v>
      </c>
      <c r="C92" s="211" t="str">
        <f>if(isError(vlookup(B92,'node-RE'!C:C, 1, FALSE)), "NO", "YES")</f>
        <v>NO</v>
      </c>
      <c r="D92" s="214"/>
      <c r="E92" s="214" t="s">
        <v>288</v>
      </c>
      <c r="F92" s="1"/>
      <c r="H92" s="214"/>
      <c r="I92" s="214"/>
      <c r="J92" s="214" t="s">
        <v>179</v>
      </c>
      <c r="K92" s="211" t="str">
        <f>if(isError(vlookup(J92,'node-RE'!$C:$C, 1, FALSE)), "NO", "YES")</f>
        <v>NO</v>
      </c>
      <c r="L92" s="214"/>
      <c r="M92" s="214"/>
      <c r="N92" s="214"/>
    </row>
    <row r="93">
      <c r="A93" s="210" t="s">
        <v>62</v>
      </c>
      <c r="B93" s="211" t="s">
        <v>308</v>
      </c>
      <c r="C93" s="211" t="str">
        <f>if(isError(vlookup(B93,'node-RE'!C:C, 1, FALSE)), "NO", "YES")</f>
        <v>NO</v>
      </c>
      <c r="D93" s="214"/>
      <c r="E93" s="214" t="s">
        <v>350</v>
      </c>
      <c r="F93" s="1"/>
      <c r="H93" s="214"/>
      <c r="I93" s="214"/>
      <c r="J93" s="214" t="s">
        <v>362</v>
      </c>
      <c r="K93" s="211" t="str">
        <f>if(isError(vlookup(J93,'node-RE'!$C:$C, 1, FALSE)), "NO", "YES")</f>
        <v>NO</v>
      </c>
      <c r="L93" s="214"/>
      <c r="M93" s="214"/>
      <c r="N93" s="214"/>
    </row>
    <row r="94">
      <c r="A94" s="210" t="s">
        <v>66</v>
      </c>
      <c r="B94" s="211" t="s">
        <v>529</v>
      </c>
      <c r="C94" s="211" t="str">
        <f>if(isError(vlookup(B94,'node-RE'!C:C, 1, FALSE)), "NO", "YES")</f>
        <v>NO</v>
      </c>
      <c r="D94" s="214"/>
      <c r="E94" s="214" t="s">
        <v>126</v>
      </c>
      <c r="F94" s="1"/>
      <c r="H94" s="214"/>
      <c r="I94" s="214"/>
      <c r="J94" s="214" t="s">
        <v>191</v>
      </c>
      <c r="K94" s="211" t="str">
        <f>if(isError(vlookup(J94,'node-RE'!$C:$C, 1, FALSE)), "NO", "YES")</f>
        <v>NO</v>
      </c>
      <c r="L94" s="213"/>
      <c r="M94" s="213"/>
      <c r="N94" s="213"/>
    </row>
    <row r="95">
      <c r="A95" s="210" t="s">
        <v>67</v>
      </c>
      <c r="B95" s="211" t="s">
        <v>282</v>
      </c>
      <c r="C95" s="211" t="str">
        <f>if(isError(vlookup(B95,'node-RE'!C:C, 1, FALSE)), "NO", "YES")</f>
        <v>NO</v>
      </c>
      <c r="D95" s="214"/>
      <c r="E95" s="214" t="s">
        <v>303</v>
      </c>
      <c r="F95" s="1"/>
      <c r="H95" s="214"/>
      <c r="I95" s="214"/>
      <c r="J95" s="214" t="s">
        <v>341</v>
      </c>
      <c r="K95" s="211" t="str">
        <f>if(isError(vlookup(J95,'node-RE'!$C:$C, 1, FALSE)), "NO", "YES")</f>
        <v>NO</v>
      </c>
      <c r="L95" s="214"/>
      <c r="M95" s="214"/>
      <c r="N95" s="214"/>
    </row>
    <row r="96">
      <c r="A96" s="210" t="s">
        <v>107</v>
      </c>
      <c r="B96" s="211" t="s">
        <v>453</v>
      </c>
      <c r="C96" s="211" t="str">
        <f>if(isError(vlookup(B96,'node-RE'!C:C, 1, FALSE)), "NO", "YES")</f>
        <v>NO</v>
      </c>
      <c r="D96" s="214"/>
      <c r="E96" s="214" t="s">
        <v>212</v>
      </c>
      <c r="F96" s="1"/>
      <c r="H96" s="214"/>
      <c r="I96" s="214"/>
      <c r="J96" s="214" t="s">
        <v>82</v>
      </c>
      <c r="K96" s="211" t="str">
        <f>if(isError(vlookup(J96,'node-RE'!$C:$C, 1, FALSE)), "NO", "YES")</f>
        <v>NO</v>
      </c>
      <c r="L96" s="214"/>
      <c r="M96" s="214"/>
      <c r="N96" s="214"/>
    </row>
    <row r="97">
      <c r="A97" s="210" t="s">
        <v>89</v>
      </c>
      <c r="B97" s="211" t="s">
        <v>62</v>
      </c>
      <c r="C97" s="211" t="str">
        <f>if(isError(vlookup(B97,'node-RE'!C:C, 1, FALSE)), "NO", "YES")</f>
        <v>NO</v>
      </c>
      <c r="D97" s="214"/>
      <c r="E97" s="214" t="s">
        <v>402</v>
      </c>
      <c r="F97" s="1"/>
      <c r="H97" s="214"/>
      <c r="I97" s="214"/>
      <c r="J97" s="214" t="s">
        <v>264</v>
      </c>
      <c r="K97" s="211" t="str">
        <f>if(isError(vlookup(J97,'node-RE'!$C:$C, 1, FALSE)), "NO", "YES")</f>
        <v>NO</v>
      </c>
      <c r="L97" s="214"/>
      <c r="M97" s="214"/>
      <c r="N97" s="214"/>
    </row>
    <row r="98">
      <c r="A98" s="210" t="s">
        <v>137</v>
      </c>
      <c r="B98" s="211" t="s">
        <v>66</v>
      </c>
      <c r="C98" s="211" t="str">
        <f>if(isError(vlookup(B98,'node-RE'!C:C, 1, FALSE)), "NO", "YES")</f>
        <v>NO</v>
      </c>
      <c r="D98" s="214"/>
      <c r="E98" s="214" t="s">
        <v>189</v>
      </c>
      <c r="F98" s="1"/>
      <c r="H98" s="214"/>
      <c r="I98" s="214"/>
      <c r="J98" s="214" t="s">
        <v>213</v>
      </c>
      <c r="K98" s="211" t="str">
        <f>if(isError(vlookup(J98,'node-RE'!$C:$C, 1, FALSE)), "NO", "YES")</f>
        <v>NO</v>
      </c>
      <c r="L98" s="213"/>
      <c r="M98" s="213"/>
      <c r="N98" s="213"/>
    </row>
    <row r="99">
      <c r="A99" s="210" t="s">
        <v>275</v>
      </c>
      <c r="B99" s="211" t="s">
        <v>67</v>
      </c>
      <c r="C99" s="211" t="str">
        <f>if(isError(vlookup(B99,'node-RE'!C:C, 1, FALSE)), "NO", "YES")</f>
        <v>NO</v>
      </c>
      <c r="D99" s="214"/>
      <c r="E99" s="214" t="s">
        <v>179</v>
      </c>
      <c r="F99" s="1"/>
      <c r="H99" s="214"/>
      <c r="I99" s="214"/>
      <c r="J99" s="214" t="s">
        <v>83</v>
      </c>
      <c r="K99" s="211" t="str">
        <f>if(isError(vlookup(J99,'node-RE'!$C:$C, 1, FALSE)), "NO", "YES")</f>
        <v>NO</v>
      </c>
      <c r="L99" s="214"/>
      <c r="M99" s="214"/>
      <c r="N99" s="214"/>
    </row>
    <row r="100">
      <c r="A100" s="210" t="s">
        <v>242</v>
      </c>
      <c r="B100" s="211" t="s">
        <v>107</v>
      </c>
      <c r="C100" s="211" t="str">
        <f>if(isError(vlookup(B100,'node-RE'!C:C, 1, FALSE)), "NO", "YES")</f>
        <v>NO</v>
      </c>
      <c r="D100" s="214"/>
      <c r="E100" s="214" t="s">
        <v>362</v>
      </c>
      <c r="F100" s="1"/>
      <c r="H100" s="214"/>
      <c r="I100" s="214"/>
      <c r="J100" s="214" t="s">
        <v>64</v>
      </c>
      <c r="K100" s="211" t="str">
        <f>if(isError(vlookup(J100,'node-RE'!$C:$C, 1, FALSE)), "NO", "YES")</f>
        <v>NO</v>
      </c>
      <c r="L100" s="213"/>
      <c r="M100" s="213"/>
      <c r="N100" s="213"/>
    </row>
    <row r="101">
      <c r="A101" s="210" t="s">
        <v>63</v>
      </c>
      <c r="B101" s="211" t="s">
        <v>89</v>
      </c>
      <c r="C101" s="211" t="str">
        <f>if(isError(vlookup(B101,'node-RE'!C:C, 1, FALSE)), "NO", "YES")</f>
        <v>NO</v>
      </c>
      <c r="D101" s="214"/>
      <c r="E101" s="214" t="s">
        <v>191</v>
      </c>
      <c r="F101" s="1"/>
      <c r="H101" s="214"/>
      <c r="I101" s="214"/>
      <c r="J101" s="214" t="s">
        <v>171</v>
      </c>
      <c r="K101" s="211" t="str">
        <f>if(isError(vlookup(J101,'node-RE'!$C:$C, 1, FALSE)), "NO", "YES")</f>
        <v>NO</v>
      </c>
      <c r="L101" s="214"/>
      <c r="M101" s="214"/>
      <c r="N101" s="214"/>
    </row>
    <row r="102">
      <c r="A102" s="210" t="s">
        <v>330</v>
      </c>
      <c r="B102" s="211" t="s">
        <v>137</v>
      </c>
      <c r="C102" s="211" t="str">
        <f>if(isError(vlookup(B102,'node-RE'!C:C, 1, FALSE)), "NO", "YES")</f>
        <v>NO</v>
      </c>
      <c r="D102" s="214"/>
      <c r="E102" s="214" t="s">
        <v>341</v>
      </c>
      <c r="F102" s="1"/>
      <c r="H102" s="214"/>
      <c r="I102" s="214"/>
      <c r="J102" s="214" t="s">
        <v>39</v>
      </c>
      <c r="K102" s="211" t="str">
        <f>if(isError(vlookup(J102,'node-RE'!$C:$C, 1, FALSE)), "NO", "YES")</f>
        <v>NO</v>
      </c>
      <c r="L102" s="214"/>
      <c r="M102" s="214"/>
      <c r="N102" s="214"/>
    </row>
    <row r="103">
      <c r="A103" s="210" t="s">
        <v>58</v>
      </c>
      <c r="B103" s="211" t="s">
        <v>275</v>
      </c>
      <c r="C103" s="211" t="str">
        <f>if(isError(vlookup(B103,'node-RE'!C:C, 1, FALSE)), "NO", "YES")</f>
        <v>NO</v>
      </c>
      <c r="D103" s="214"/>
      <c r="E103" s="214" t="s">
        <v>82</v>
      </c>
      <c r="F103" s="1"/>
      <c r="H103" s="214"/>
      <c r="I103" s="214"/>
      <c r="J103" s="214" t="s">
        <v>91</v>
      </c>
      <c r="K103" s="211" t="str">
        <f>if(isError(vlookup(J103,'node-RE'!$C:$C, 1, FALSE)), "NO", "YES")</f>
        <v>NO</v>
      </c>
      <c r="L103" s="214"/>
      <c r="M103" s="214"/>
      <c r="N103" s="214"/>
    </row>
    <row r="104">
      <c r="A104" s="210" t="s">
        <v>446</v>
      </c>
      <c r="B104" s="211" t="s">
        <v>242</v>
      </c>
      <c r="C104" s="211" t="str">
        <f>if(isError(vlookup(B104,'node-RE'!C:C, 1, FALSE)), "NO", "YES")</f>
        <v>NO</v>
      </c>
      <c r="D104" s="214"/>
      <c r="E104" s="214" t="s">
        <v>264</v>
      </c>
      <c r="F104" s="1"/>
      <c r="H104" s="214"/>
      <c r="I104" s="214"/>
      <c r="J104" s="214" t="s">
        <v>41</v>
      </c>
      <c r="K104" s="211" t="str">
        <f>if(isError(vlookup(J104,'node-RE'!$C:$C, 1, FALSE)), "NO", "YES")</f>
        <v>NO</v>
      </c>
      <c r="L104" s="214"/>
      <c r="M104" s="214"/>
      <c r="N104" s="214"/>
    </row>
    <row r="105">
      <c r="A105" s="210" t="s">
        <v>74</v>
      </c>
      <c r="B105" s="211" t="s">
        <v>63</v>
      </c>
      <c r="C105" s="211" t="str">
        <f>if(isError(vlookup(B105,'node-RE'!C:C, 1, FALSE)), "NO", "YES")</f>
        <v>NO</v>
      </c>
      <c r="D105" s="214"/>
      <c r="E105" s="214" t="s">
        <v>213</v>
      </c>
      <c r="F105" s="1"/>
      <c r="H105" s="214"/>
      <c r="I105" s="214"/>
      <c r="J105" s="214" t="s">
        <v>105</v>
      </c>
      <c r="K105" s="211" t="str">
        <f>if(isError(vlookup(J105,'node-RE'!$C:$C, 1, FALSE)), "NO", "YES")</f>
        <v>NO</v>
      </c>
      <c r="L105" s="214"/>
      <c r="M105" s="214"/>
      <c r="N105" s="214"/>
    </row>
    <row r="106">
      <c r="A106" s="210" t="s">
        <v>123</v>
      </c>
      <c r="B106" s="211" t="s">
        <v>330</v>
      </c>
      <c r="C106" s="211" t="str">
        <f>if(isError(vlookup(B106,'node-RE'!C:C, 1, FALSE)), "NO", "YES")</f>
        <v>NO</v>
      </c>
      <c r="D106" s="214"/>
      <c r="E106" s="214" t="s">
        <v>83</v>
      </c>
      <c r="F106" s="1"/>
      <c r="H106" s="214"/>
      <c r="I106" s="214"/>
      <c r="J106" s="214" t="s">
        <v>343</v>
      </c>
      <c r="K106" s="211" t="str">
        <f>if(isError(vlookup(J106,'node-RE'!$C:$C, 1, FALSE)), "NO", "YES")</f>
        <v>NO</v>
      </c>
      <c r="L106" s="213"/>
      <c r="M106" s="213"/>
      <c r="N106" s="213"/>
    </row>
    <row r="107">
      <c r="A107" s="210" t="s">
        <v>79</v>
      </c>
      <c r="B107" s="211" t="s">
        <v>58</v>
      </c>
      <c r="C107" s="211" t="str">
        <f>if(isError(vlookup(B107,'node-RE'!C:C, 1, FALSE)), "NO", "YES")</f>
        <v>NO</v>
      </c>
      <c r="D107" s="214"/>
      <c r="E107" s="214" t="s">
        <v>64</v>
      </c>
      <c r="F107" s="1"/>
      <c r="H107" s="214"/>
      <c r="I107" s="214"/>
      <c r="J107" s="214" t="s">
        <v>142</v>
      </c>
      <c r="K107" s="211" t="str">
        <f>if(isError(vlookup(J107,'node-RE'!$C:$C, 1, FALSE)), "NO", "YES")</f>
        <v>NO</v>
      </c>
      <c r="L107" s="214"/>
      <c r="M107" s="214"/>
      <c r="N107" s="214"/>
    </row>
    <row r="108">
      <c r="A108" s="210" t="s">
        <v>480</v>
      </c>
      <c r="B108" s="211" t="s">
        <v>446</v>
      </c>
      <c r="C108" s="211" t="str">
        <f>if(isError(vlookup(B108,'node-RE'!C:C, 1, FALSE)), "NO", "YES")</f>
        <v>NO</v>
      </c>
      <c r="D108" s="214"/>
      <c r="E108" s="214" t="s">
        <v>171</v>
      </c>
      <c r="F108" s="1"/>
      <c r="H108" s="214"/>
      <c r="I108" s="214"/>
      <c r="J108" s="214" t="s">
        <v>60</v>
      </c>
      <c r="K108" s="211" t="str">
        <f>if(isError(vlookup(J108,'node-RE'!$C:$C, 1, FALSE)), "NO", "YES")</f>
        <v>NO</v>
      </c>
      <c r="L108" s="214"/>
      <c r="M108" s="214"/>
      <c r="N108" s="214"/>
    </row>
    <row r="109">
      <c r="A109" s="210" t="s">
        <v>324</v>
      </c>
      <c r="B109" s="211" t="s">
        <v>74</v>
      </c>
      <c r="C109" s="211" t="str">
        <f>if(isError(vlookup(B109,'node-RE'!C:C, 1, FALSE)), "NO", "YES")</f>
        <v>NO</v>
      </c>
      <c r="D109" s="214"/>
      <c r="E109" s="214" t="s">
        <v>39</v>
      </c>
      <c r="F109" s="1"/>
      <c r="H109" s="214"/>
      <c r="I109" s="214"/>
      <c r="J109" s="214" t="s">
        <v>347</v>
      </c>
      <c r="K109" s="211" t="str">
        <f>if(isError(vlookup(J109,'node-RE'!$C:$C, 1, FALSE)), "NO", "YES")</f>
        <v>NO</v>
      </c>
      <c r="L109" s="214"/>
      <c r="M109" s="214"/>
      <c r="N109" s="214"/>
    </row>
    <row r="110">
      <c r="A110" s="210" t="s">
        <v>288</v>
      </c>
      <c r="B110" s="211" t="s">
        <v>123</v>
      </c>
      <c r="C110" s="211" t="str">
        <f>if(isError(vlookup(B110,'node-RE'!C:C, 1, FALSE)), "NO", "YES")</f>
        <v>NO</v>
      </c>
      <c r="D110" s="214"/>
      <c r="E110" s="214" t="s">
        <v>91</v>
      </c>
      <c r="F110" s="1"/>
      <c r="H110" s="214"/>
      <c r="I110" s="214"/>
      <c r="J110" s="214" t="s">
        <v>302</v>
      </c>
      <c r="K110" s="211" t="str">
        <f>if(isError(vlookup(J110,'node-RE'!$C:$C, 1, FALSE)), "NO", "YES")</f>
        <v>NO</v>
      </c>
      <c r="L110" s="214"/>
      <c r="M110" s="214"/>
      <c r="N110" s="214"/>
    </row>
    <row r="111">
      <c r="A111" s="210" t="s">
        <v>350</v>
      </c>
      <c r="B111" s="211" t="s">
        <v>79</v>
      </c>
      <c r="C111" s="211" t="str">
        <f>if(isError(vlookup(B111,'node-RE'!C:C, 1, FALSE)), "NO", "YES")</f>
        <v>NO</v>
      </c>
      <c r="D111" s="214"/>
      <c r="E111" s="214" t="s">
        <v>41</v>
      </c>
      <c r="F111" s="1"/>
      <c r="H111" s="214"/>
      <c r="I111" s="214"/>
      <c r="J111" s="214" t="s">
        <v>42</v>
      </c>
      <c r="K111" s="211" t="str">
        <f>if(isError(vlookup(J111,'node-RE'!$C:$C, 1, FALSE)), "NO", "YES")</f>
        <v>NO</v>
      </c>
      <c r="L111" s="214"/>
      <c r="M111" s="214"/>
      <c r="N111" s="214"/>
    </row>
    <row r="112">
      <c r="A112" s="210" t="s">
        <v>126</v>
      </c>
      <c r="B112" s="211" t="s">
        <v>200</v>
      </c>
      <c r="C112" s="211" t="str">
        <f>if(isError(vlookup(B112,'node-RE'!C:C, 1, FALSE)), "NO", "YES")</f>
        <v>YES</v>
      </c>
      <c r="D112" s="214"/>
      <c r="E112" s="214" t="s">
        <v>105</v>
      </c>
      <c r="F112" s="1"/>
      <c r="H112" s="214"/>
      <c r="I112" s="214"/>
      <c r="J112" s="214" t="s">
        <v>98</v>
      </c>
      <c r="K112" s="211" t="str">
        <f>if(isError(vlookup(J112,'node-RE'!$C:$C, 1, FALSE)), "NO", "YES")</f>
        <v>NO</v>
      </c>
      <c r="L112" s="214"/>
      <c r="M112" s="214"/>
      <c r="N112" s="214"/>
    </row>
    <row r="113">
      <c r="A113" s="210" t="s">
        <v>303</v>
      </c>
      <c r="B113" s="211" t="s">
        <v>480</v>
      </c>
      <c r="C113" s="211" t="str">
        <f>if(isError(vlookup(B113,'node-RE'!C:C, 1, FALSE)), "NO", "YES")</f>
        <v>NO</v>
      </c>
      <c r="D113" s="214"/>
      <c r="E113" s="214" t="s">
        <v>343</v>
      </c>
      <c r="F113" s="1"/>
      <c r="H113" s="214"/>
      <c r="I113" s="214"/>
      <c r="J113" s="214" t="s">
        <v>116</v>
      </c>
      <c r="K113" s="211" t="str">
        <f>if(isError(vlookup(J113,'node-RE'!$C:$C, 1, FALSE)), "NO", "YES")</f>
        <v>NO</v>
      </c>
      <c r="L113" s="213"/>
      <c r="M113" s="213"/>
      <c r="N113" s="213"/>
    </row>
    <row r="114">
      <c r="A114" s="210" t="s">
        <v>402</v>
      </c>
      <c r="B114" s="211" t="s">
        <v>324</v>
      </c>
      <c r="C114" s="211" t="str">
        <f>if(isError(vlookup(B114,'node-RE'!C:C, 1, FALSE)), "NO", "YES")</f>
        <v>NO</v>
      </c>
      <c r="D114" s="214"/>
      <c r="E114" s="214" t="s">
        <v>142</v>
      </c>
      <c r="F114" s="1"/>
      <c r="H114" s="214"/>
      <c r="I114" s="214"/>
      <c r="J114" s="214" t="s">
        <v>97</v>
      </c>
      <c r="K114" s="211" t="str">
        <f>if(isError(vlookup(J114,'node-RE'!$C:$C, 1, FALSE)), "NO", "YES")</f>
        <v>NO</v>
      </c>
      <c r="L114" s="214"/>
      <c r="M114" s="214"/>
      <c r="N114" s="214"/>
    </row>
    <row r="115">
      <c r="A115" s="210" t="s">
        <v>531</v>
      </c>
      <c r="B115" s="211" t="s">
        <v>288</v>
      </c>
      <c r="C115" s="211" t="str">
        <f>if(isError(vlookup(B115,'node-RE'!C:C, 1, FALSE)), "NO", "YES")</f>
        <v>NO</v>
      </c>
      <c r="D115" s="214"/>
      <c r="E115" s="214" t="s">
        <v>60</v>
      </c>
      <c r="F115" s="1"/>
      <c r="H115" s="214"/>
      <c r="I115" s="214"/>
      <c r="J115" s="214" t="s">
        <v>271</v>
      </c>
      <c r="K115" s="211" t="str">
        <f>if(isError(vlookup(J115,'node-RE'!$C:$C, 1, FALSE)), "NO", "YES")</f>
        <v>NO</v>
      </c>
      <c r="L115" s="214"/>
      <c r="M115" s="214"/>
      <c r="N115" s="214"/>
    </row>
    <row r="116">
      <c r="A116" s="210" t="s">
        <v>189</v>
      </c>
      <c r="B116" s="211" t="s">
        <v>350</v>
      </c>
      <c r="C116" s="211" t="str">
        <f>if(isError(vlookup(B116,'node-RE'!C:C, 1, FALSE)), "NO", "YES")</f>
        <v>NO</v>
      </c>
      <c r="D116" s="214"/>
      <c r="E116" s="214" t="s">
        <v>347</v>
      </c>
      <c r="F116" s="1"/>
      <c r="H116" s="214"/>
      <c r="I116" s="214"/>
      <c r="J116" s="214" t="s">
        <v>110</v>
      </c>
      <c r="K116" s="211" t="str">
        <f>if(isError(vlookup(J116,'node-RE'!$C:$C, 1, FALSE)), "NO", "YES")</f>
        <v>NO</v>
      </c>
      <c r="L116" s="214"/>
      <c r="M116" s="214"/>
      <c r="N116" s="214"/>
    </row>
    <row r="117">
      <c r="A117" s="210" t="s">
        <v>179</v>
      </c>
      <c r="B117" s="211" t="s">
        <v>126</v>
      </c>
      <c r="C117" s="211" t="str">
        <f>if(isError(vlookup(B117,'node-RE'!C:C, 1, FALSE)), "NO", "YES")</f>
        <v>NO</v>
      </c>
      <c r="D117" s="214"/>
      <c r="E117" s="214" t="s">
        <v>302</v>
      </c>
      <c r="F117" s="1"/>
      <c r="H117" s="214"/>
      <c r="I117" s="214"/>
      <c r="J117" s="214" t="s">
        <v>392</v>
      </c>
      <c r="K117" s="211" t="str">
        <f>if(isError(vlookup(J117,'node-RE'!$C:$C, 1, FALSE)), "NO", "YES")</f>
        <v>NO</v>
      </c>
      <c r="L117" s="214"/>
      <c r="M117" s="214"/>
      <c r="N117" s="214"/>
    </row>
    <row r="118">
      <c r="A118" s="210" t="s">
        <v>362</v>
      </c>
      <c r="B118" s="211" t="s">
        <v>303</v>
      </c>
      <c r="C118" s="211" t="str">
        <f>if(isError(vlookup(B118,'node-RE'!C:C, 1, FALSE)), "NO", "YES")</f>
        <v>NO</v>
      </c>
      <c r="D118" s="214"/>
      <c r="E118" s="214" t="s">
        <v>42</v>
      </c>
      <c r="F118" s="1"/>
      <c r="H118" s="214"/>
      <c r="I118" s="214"/>
      <c r="J118" s="214" t="s">
        <v>95</v>
      </c>
      <c r="K118" s="211" t="str">
        <f>if(isError(vlookup(J118,'node-RE'!$C:$C, 1, FALSE)), "NO", "YES")</f>
        <v>NO</v>
      </c>
      <c r="L118" s="213"/>
      <c r="M118" s="213"/>
      <c r="N118" s="213"/>
    </row>
    <row r="119">
      <c r="A119" s="210" t="s">
        <v>495</v>
      </c>
      <c r="B119" s="211" t="s">
        <v>212</v>
      </c>
      <c r="C119" s="211" t="str">
        <f>if(isError(vlookup(B119,'node-RE'!C:C, 1, FALSE)), "NO", "YES")</f>
        <v>YES</v>
      </c>
      <c r="D119" s="214"/>
      <c r="E119" s="214" t="s">
        <v>98</v>
      </c>
      <c r="F119" s="1"/>
      <c r="H119" s="214"/>
      <c r="I119" s="214"/>
      <c r="J119" s="214" t="s">
        <v>260</v>
      </c>
      <c r="K119" s="211" t="str">
        <f>if(isError(vlookup(J119,'node-RE'!$C:$C, 1, FALSE)), "NO", "YES")</f>
        <v>NO</v>
      </c>
      <c r="L119" s="213"/>
      <c r="M119" s="213"/>
      <c r="N119" s="213"/>
    </row>
    <row r="120">
      <c r="A120" s="210" t="s">
        <v>191</v>
      </c>
      <c r="B120" s="211" t="s">
        <v>402</v>
      </c>
      <c r="C120" s="211" t="str">
        <f>if(isError(vlookup(B120,'node-RE'!C:C, 1, FALSE)), "NO", "YES")</f>
        <v>NO</v>
      </c>
      <c r="D120" s="214"/>
      <c r="E120" s="214" t="s">
        <v>116</v>
      </c>
      <c r="F120" s="1"/>
      <c r="H120" s="214"/>
      <c r="I120" s="214"/>
      <c r="J120" s="214" t="s">
        <v>102</v>
      </c>
      <c r="K120" s="211" t="str">
        <f>if(isError(vlookup(J120,'node-RE'!$C:$C, 1, FALSE)), "NO", "YES")</f>
        <v>NO</v>
      </c>
      <c r="L120" s="214"/>
      <c r="M120" s="214"/>
      <c r="N120" s="214"/>
    </row>
    <row r="121">
      <c r="A121" s="210" t="s">
        <v>341</v>
      </c>
      <c r="B121" s="211" t="s">
        <v>531</v>
      </c>
      <c r="C121" s="211" t="str">
        <f>if(isError(vlookup(B121,'node-RE'!C:C, 1, FALSE)), "NO", "YES")</f>
        <v>NO</v>
      </c>
      <c r="D121" s="214"/>
      <c r="E121" s="214" t="s">
        <v>211</v>
      </c>
      <c r="F121" s="1"/>
      <c r="H121" s="214"/>
      <c r="I121" s="214"/>
      <c r="J121" s="214" t="s">
        <v>134</v>
      </c>
      <c r="K121" s="211" t="str">
        <f>if(isError(vlookup(J121,'node-RE'!$C:$C, 1, FALSE)), "NO", "YES")</f>
        <v>NO</v>
      </c>
      <c r="L121" s="214"/>
      <c r="M121" s="214"/>
      <c r="N121" s="214"/>
    </row>
    <row r="122">
      <c r="A122" s="210" t="s">
        <v>82</v>
      </c>
      <c r="B122" s="211" t="s">
        <v>189</v>
      </c>
      <c r="C122" s="211" t="str">
        <f>if(isError(vlookup(B122,'node-RE'!C:C, 1, FALSE)), "NO", "YES")</f>
        <v>NO</v>
      </c>
      <c r="D122" s="214"/>
      <c r="E122" s="214" t="s">
        <v>97</v>
      </c>
      <c r="F122" s="1"/>
      <c r="H122" s="214"/>
      <c r="I122" s="214"/>
      <c r="J122" s="214" t="s">
        <v>316</v>
      </c>
      <c r="K122" s="211" t="str">
        <f>if(isError(vlookup(J122,'node-RE'!$C:$C, 1, FALSE)), "NO", "YES")</f>
        <v>NO</v>
      </c>
      <c r="L122" s="214"/>
      <c r="M122" s="214"/>
      <c r="N122" s="214"/>
    </row>
    <row r="123">
      <c r="A123" s="210" t="s">
        <v>264</v>
      </c>
      <c r="B123" s="211" t="s">
        <v>179</v>
      </c>
      <c r="C123" s="211" t="str">
        <f>if(isError(vlookup(B123,'node-RE'!C:C, 1, FALSE)), "NO", "YES")</f>
        <v>NO</v>
      </c>
      <c r="D123" s="214"/>
      <c r="E123" s="214" t="s">
        <v>271</v>
      </c>
      <c r="F123" s="1"/>
      <c r="H123" s="214"/>
      <c r="I123" s="214"/>
      <c r="J123" s="214" t="s">
        <v>381</v>
      </c>
      <c r="K123" s="211" t="str">
        <f>if(isError(vlookup(J123,'node-RE'!$C:$C, 1, FALSE)), "NO", "YES")</f>
        <v>NO</v>
      </c>
      <c r="L123" s="214"/>
      <c r="M123" s="214"/>
      <c r="N123" s="214"/>
    </row>
    <row r="124">
      <c r="A124" s="210" t="s">
        <v>213</v>
      </c>
      <c r="B124" s="211" t="s">
        <v>362</v>
      </c>
      <c r="C124" s="211" t="str">
        <f>if(isError(vlookup(B124,'node-RE'!C:C, 1, FALSE)), "NO", "YES")</f>
        <v>NO</v>
      </c>
      <c r="D124" s="214"/>
      <c r="E124" s="214" t="s">
        <v>110</v>
      </c>
      <c r="F124" s="1"/>
      <c r="H124" s="214"/>
      <c r="I124" s="214"/>
      <c r="J124" s="214" t="s">
        <v>48</v>
      </c>
      <c r="K124" s="211" t="str">
        <f>if(isError(vlookup(J124,'node-RE'!$C:$C, 1, FALSE)), "NO", "YES")</f>
        <v>NO</v>
      </c>
      <c r="L124" s="214"/>
      <c r="M124" s="214"/>
      <c r="N124" s="214"/>
    </row>
    <row r="125">
      <c r="A125" s="210" t="s">
        <v>83</v>
      </c>
      <c r="B125" s="211" t="s">
        <v>495</v>
      </c>
      <c r="C125" s="211" t="str">
        <f>if(isError(vlookup(B125,'node-RE'!C:C, 1, FALSE)), "NO", "YES")</f>
        <v>NO</v>
      </c>
      <c r="D125" s="214"/>
      <c r="E125" s="214" t="s">
        <v>392</v>
      </c>
      <c r="F125" s="1"/>
      <c r="H125" s="214"/>
      <c r="I125" s="214"/>
      <c r="J125" s="214" t="s">
        <v>68</v>
      </c>
      <c r="K125" s="211" t="str">
        <f>if(isError(vlookup(J125,'node-RE'!$C:$C, 1, FALSE)), "NO", "YES")</f>
        <v>NO</v>
      </c>
      <c r="L125" s="214"/>
      <c r="M125" s="214"/>
      <c r="N125" s="214"/>
    </row>
    <row r="126">
      <c r="A126" s="210" t="s">
        <v>64</v>
      </c>
      <c r="B126" s="211" t="s">
        <v>191</v>
      </c>
      <c r="C126" s="211" t="str">
        <f>if(isError(vlookup(B126,'node-RE'!C:C, 1, FALSE)), "NO", "YES")</f>
        <v>NO</v>
      </c>
      <c r="D126" s="214"/>
      <c r="E126" s="214" t="s">
        <v>95</v>
      </c>
      <c r="F126" s="1"/>
      <c r="H126" s="214"/>
      <c r="I126" s="214"/>
      <c r="J126" s="214" t="s">
        <v>399</v>
      </c>
      <c r="K126" s="211" t="str">
        <f>if(isError(vlookup(J126,'node-RE'!$C:$C, 1, FALSE)), "NO", "YES")</f>
        <v>NO</v>
      </c>
      <c r="L126" s="213"/>
      <c r="M126" s="213"/>
      <c r="N126" s="213"/>
    </row>
    <row r="127">
      <c r="A127" s="210" t="s">
        <v>171</v>
      </c>
      <c r="B127" s="211" t="s">
        <v>341</v>
      </c>
      <c r="C127" s="211" t="str">
        <f>if(isError(vlookup(B127,'node-RE'!C:C, 1, FALSE)), "NO", "YES")</f>
        <v>NO</v>
      </c>
      <c r="D127" s="214"/>
      <c r="E127" s="214" t="s">
        <v>278</v>
      </c>
      <c r="F127" s="1"/>
      <c r="H127" s="214"/>
      <c r="I127" s="214"/>
      <c r="J127" s="214" t="s">
        <v>230</v>
      </c>
      <c r="K127" s="211" t="str">
        <f>if(isError(vlookup(J127,'node-RE'!$C:$C, 1, FALSE)), "NO", "YES")</f>
        <v>YES</v>
      </c>
      <c r="L127" s="214"/>
      <c r="M127" s="214"/>
      <c r="N127" s="214"/>
    </row>
    <row r="128">
      <c r="A128" s="210" t="s">
        <v>39</v>
      </c>
      <c r="B128" s="211" t="s">
        <v>82</v>
      </c>
      <c r="C128" s="211" t="str">
        <f>if(isError(vlookup(B128,'node-RE'!C:C, 1, FALSE)), "NO", "YES")</f>
        <v>NO</v>
      </c>
      <c r="D128" s="214"/>
      <c r="E128" s="214" t="s">
        <v>260</v>
      </c>
      <c r="F128" s="1"/>
      <c r="H128" s="214"/>
      <c r="I128" s="214"/>
      <c r="J128" s="214" t="s">
        <v>369</v>
      </c>
      <c r="K128" s="211" t="str">
        <f>if(isError(vlookup(J128,'node-RE'!$C:$C, 1, FALSE)), "NO", "YES")</f>
        <v>NO</v>
      </c>
      <c r="L128" s="213"/>
      <c r="M128" s="213"/>
      <c r="N128" s="213"/>
    </row>
    <row r="129">
      <c r="A129" s="210" t="s">
        <v>432</v>
      </c>
      <c r="B129" s="211" t="s">
        <v>264</v>
      </c>
      <c r="C129" s="211" t="str">
        <f>if(isError(vlookup(B129,'node-RE'!C:C, 1, FALSE)), "NO", "YES")</f>
        <v>NO</v>
      </c>
      <c r="D129" s="214"/>
      <c r="E129" s="214" t="s">
        <v>102</v>
      </c>
      <c r="F129" s="1"/>
      <c r="H129" s="214"/>
      <c r="I129" s="214"/>
      <c r="J129" s="214" t="s">
        <v>130</v>
      </c>
      <c r="K129" s="211" t="str">
        <f>if(isError(vlookup(J129,'node-RE'!$C:$C, 1, FALSE)), "NO", "YES")</f>
        <v>NO</v>
      </c>
      <c r="L129" s="214"/>
      <c r="M129" s="214"/>
      <c r="N129" s="214"/>
    </row>
    <row r="130">
      <c r="A130" s="210" t="s">
        <v>91</v>
      </c>
      <c r="B130" s="211" t="s">
        <v>213</v>
      </c>
      <c r="C130" s="211" t="str">
        <f>if(isError(vlookup(B130,'node-RE'!C:C, 1, FALSE)), "NO", "YES")</f>
        <v>NO</v>
      </c>
      <c r="D130" s="214"/>
      <c r="E130" s="214" t="s">
        <v>134</v>
      </c>
      <c r="F130" s="1"/>
      <c r="H130" s="214"/>
      <c r="I130" s="214"/>
      <c r="J130" s="214" t="s">
        <v>75</v>
      </c>
      <c r="K130" s="211" t="str">
        <f>if(isError(vlookup(J130,'node-RE'!$C:$C, 1, FALSE)), "NO", "YES")</f>
        <v>NO</v>
      </c>
      <c r="L130" s="214"/>
      <c r="M130" s="214"/>
      <c r="N130" s="214"/>
    </row>
    <row r="131">
      <c r="A131" s="210" t="s">
        <v>41</v>
      </c>
      <c r="B131" s="211" t="s">
        <v>83</v>
      </c>
      <c r="C131" s="211" t="str">
        <f>if(isError(vlookup(B131,'node-RE'!C:C, 1, FALSE)), "NO", "YES")</f>
        <v>NO</v>
      </c>
      <c r="D131" s="214"/>
      <c r="E131" s="214" t="s">
        <v>316</v>
      </c>
      <c r="F131" s="1"/>
      <c r="H131" s="214"/>
      <c r="I131" s="214"/>
      <c r="J131" s="214" t="s">
        <v>329</v>
      </c>
      <c r="K131" s="211" t="str">
        <f>if(isError(vlookup(J131,'node-RE'!$C:$C, 1, FALSE)), "NO", "YES")</f>
        <v>NO</v>
      </c>
      <c r="L131" s="214"/>
      <c r="M131" s="214"/>
      <c r="N131" s="214"/>
    </row>
    <row r="132">
      <c r="A132" s="210" t="s">
        <v>497</v>
      </c>
      <c r="B132" s="211" t="s">
        <v>245</v>
      </c>
      <c r="C132" s="211" t="str">
        <f>if(isError(vlookup(B132,'node-RE'!C:C, 1, FALSE)), "NO", "YES")</f>
        <v>YES</v>
      </c>
      <c r="D132" s="214"/>
      <c r="E132" s="214" t="s">
        <v>381</v>
      </c>
      <c r="F132" s="1"/>
      <c r="H132" s="214"/>
      <c r="I132" s="214"/>
      <c r="J132" s="214" t="s">
        <v>43</v>
      </c>
      <c r="K132" s="211" t="str">
        <f>if(isError(vlookup(J132,'node-RE'!$C:$C, 1, FALSE)), "NO", "YES")</f>
        <v>NO</v>
      </c>
      <c r="L132" s="213"/>
      <c r="M132" s="213"/>
      <c r="N132" s="213"/>
    </row>
    <row r="133">
      <c r="A133" s="210" t="s">
        <v>105</v>
      </c>
      <c r="B133" s="211" t="s">
        <v>64</v>
      </c>
      <c r="C133" s="211" t="str">
        <f>if(isError(vlookup(B133,'node-RE'!C:C, 1, FALSE)), "NO", "YES")</f>
        <v>NO</v>
      </c>
      <c r="D133" s="214"/>
      <c r="E133" s="214" t="s">
        <v>48</v>
      </c>
      <c r="F133" s="1"/>
      <c r="H133" s="214"/>
      <c r="I133" s="214"/>
      <c r="J133" s="214" t="s">
        <v>221</v>
      </c>
      <c r="K133" s="211" t="str">
        <f>if(isError(vlookup(J133,'node-RE'!$C:$C, 1, FALSE)), "NO", "YES")</f>
        <v>NO</v>
      </c>
      <c r="L133" s="214"/>
      <c r="M133" s="214"/>
      <c r="N133" s="214"/>
    </row>
    <row r="134">
      <c r="A134" s="210" t="s">
        <v>343</v>
      </c>
      <c r="B134" s="211" t="s">
        <v>171</v>
      </c>
      <c r="C134" s="211" t="str">
        <f>if(isError(vlookup(B134,'node-RE'!C:C, 1, FALSE)), "NO", "YES")</f>
        <v>NO</v>
      </c>
      <c r="D134" s="214"/>
      <c r="E134" s="214" t="s">
        <v>68</v>
      </c>
      <c r="F134" s="1"/>
      <c r="H134" s="214"/>
      <c r="I134" s="214"/>
      <c r="J134" s="214" t="s">
        <v>291</v>
      </c>
      <c r="K134" s="211" t="str">
        <f>if(isError(vlookup(J134,'node-RE'!$C:$C, 1, FALSE)), "NO", "YES")</f>
        <v>NO</v>
      </c>
      <c r="L134" s="214"/>
      <c r="M134" s="214"/>
      <c r="N134" s="214"/>
    </row>
    <row r="135">
      <c r="A135" s="210" t="s">
        <v>142</v>
      </c>
      <c r="B135" s="211" t="s">
        <v>39</v>
      </c>
      <c r="C135" s="211" t="str">
        <f>if(isError(vlookup(B135,'node-RE'!C:C, 1, FALSE)), "NO", "YES")</f>
        <v>NO</v>
      </c>
      <c r="D135" s="214"/>
      <c r="E135" s="214" t="s">
        <v>399</v>
      </c>
      <c r="F135" s="1"/>
      <c r="H135" s="214"/>
      <c r="I135" s="214"/>
      <c r="J135" s="214" t="s">
        <v>263</v>
      </c>
      <c r="K135" s="211" t="str">
        <f>if(isError(vlookup(J135,'node-RE'!$C:$C, 1, FALSE)), "NO", "YES")</f>
        <v>NO</v>
      </c>
      <c r="L135" s="214"/>
      <c r="M135" s="214"/>
      <c r="N135" s="214"/>
    </row>
    <row r="136">
      <c r="A136" s="210" t="s">
        <v>474</v>
      </c>
      <c r="B136" s="211" t="s">
        <v>432</v>
      </c>
      <c r="C136" s="211" t="str">
        <f>if(isError(vlookup(B136,'node-RE'!C:C, 1, FALSE)), "NO", "YES")</f>
        <v>NO</v>
      </c>
      <c r="D136" s="214"/>
      <c r="E136" s="214" t="s">
        <v>230</v>
      </c>
      <c r="F136" s="1"/>
      <c r="H136" s="214"/>
      <c r="I136" s="214"/>
      <c r="J136" s="214" t="s">
        <v>261</v>
      </c>
      <c r="K136" s="211" t="str">
        <f>if(isError(vlookup(J136,'node-RE'!$C:$C, 1, FALSE)), "NO", "YES")</f>
        <v>NO</v>
      </c>
      <c r="L136" s="214"/>
      <c r="M136" s="214"/>
      <c r="N136" s="214"/>
    </row>
    <row r="137">
      <c r="A137" s="210" t="s">
        <v>60</v>
      </c>
      <c r="B137" s="211" t="s">
        <v>91</v>
      </c>
      <c r="C137" s="211" t="str">
        <f>if(isError(vlookup(B137,'node-RE'!C:C, 1, FALSE)), "NO", "YES")</f>
        <v>NO</v>
      </c>
      <c r="D137" s="214"/>
      <c r="E137" s="214" t="s">
        <v>369</v>
      </c>
      <c r="F137" s="1"/>
      <c r="H137" s="214"/>
      <c r="I137" s="214"/>
      <c r="J137" s="214" t="s">
        <v>208</v>
      </c>
      <c r="K137" s="211" t="str">
        <f>if(isError(vlookup(J137,'node-RE'!$C:$C, 1, FALSE)), "NO", "YES")</f>
        <v>YES</v>
      </c>
      <c r="L137" s="214"/>
      <c r="M137" s="214"/>
      <c r="N137" s="214"/>
    </row>
    <row r="138">
      <c r="A138" s="210" t="s">
        <v>347</v>
      </c>
      <c r="B138" s="211" t="s">
        <v>41</v>
      </c>
      <c r="C138" s="211" t="str">
        <f>if(isError(vlookup(B138,'node-RE'!C:C, 1, FALSE)), "NO", "YES")</f>
        <v>NO</v>
      </c>
      <c r="D138" s="214"/>
      <c r="E138" s="214" t="s">
        <v>130</v>
      </c>
      <c r="F138" s="1"/>
      <c r="H138" s="214"/>
      <c r="I138" s="214"/>
      <c r="J138" s="214" t="s">
        <v>51</v>
      </c>
      <c r="K138" s="211" t="str">
        <f>if(isError(vlookup(J138,'node-RE'!$C:$C, 1, FALSE)), "NO", "YES")</f>
        <v>NO</v>
      </c>
      <c r="L138" s="214"/>
      <c r="M138" s="214"/>
      <c r="N138" s="214"/>
    </row>
    <row r="139">
      <c r="A139" s="210" t="s">
        <v>493</v>
      </c>
      <c r="B139" s="211" t="s">
        <v>497</v>
      </c>
      <c r="C139" s="211" t="str">
        <f>if(isError(vlookup(B139,'node-RE'!C:C, 1, FALSE)), "NO", "YES")</f>
        <v>NO</v>
      </c>
      <c r="D139" s="214"/>
      <c r="E139" s="214" t="s">
        <v>75</v>
      </c>
      <c r="F139" s="1"/>
      <c r="H139" s="214"/>
      <c r="I139" s="214"/>
      <c r="J139" s="214" t="s">
        <v>106</v>
      </c>
      <c r="K139" s="211" t="str">
        <f>if(isError(vlookup(J139,'node-RE'!$C:$C, 1, FALSE)), "NO", "YES")</f>
        <v>NO</v>
      </c>
      <c r="L139" s="213"/>
      <c r="M139" s="213"/>
      <c r="N139" s="213"/>
    </row>
    <row r="140">
      <c r="A140" s="210" t="s">
        <v>302</v>
      </c>
      <c r="B140" s="211" t="s">
        <v>105</v>
      </c>
      <c r="C140" s="211" t="str">
        <f>if(isError(vlookup(B140,'node-RE'!C:C, 1, FALSE)), "NO", "YES")</f>
        <v>NO</v>
      </c>
      <c r="D140" s="214"/>
      <c r="E140" s="214" t="s">
        <v>329</v>
      </c>
      <c r="F140" s="1"/>
      <c r="H140" s="214"/>
      <c r="I140" s="214"/>
      <c r="J140" s="214" t="s">
        <v>283</v>
      </c>
      <c r="K140" s="211" t="str">
        <f>if(isError(vlookup(J140,'node-RE'!$C:$C, 1, FALSE)), "NO", "YES")</f>
        <v>YES</v>
      </c>
      <c r="L140" s="214"/>
      <c r="M140" s="214"/>
      <c r="N140" s="214"/>
    </row>
    <row r="141">
      <c r="A141" s="210" t="s">
        <v>42</v>
      </c>
      <c r="B141" s="211" t="s">
        <v>343</v>
      </c>
      <c r="C141" s="211" t="str">
        <f>if(isError(vlookup(B141,'node-RE'!C:C, 1, FALSE)), "NO", "YES")</f>
        <v>NO</v>
      </c>
      <c r="D141" s="214"/>
      <c r="E141" s="214" t="s">
        <v>43</v>
      </c>
      <c r="F141" s="1"/>
      <c r="H141" s="214"/>
      <c r="I141" s="214"/>
      <c r="J141" s="214" t="s">
        <v>113</v>
      </c>
      <c r="K141" s="211" t="str">
        <f>if(isError(vlookup(J141,'node-RE'!$C:$C, 1, FALSE)), "NO", "YES")</f>
        <v>NO</v>
      </c>
      <c r="L141" s="214"/>
      <c r="M141" s="214"/>
      <c r="N141" s="214"/>
    </row>
    <row r="142">
      <c r="A142" s="210" t="s">
        <v>98</v>
      </c>
      <c r="B142" s="211" t="s">
        <v>142</v>
      </c>
      <c r="C142" s="211" t="str">
        <f>if(isError(vlookup(B142,'node-RE'!C:C, 1, FALSE)), "NO", "YES")</f>
        <v>NO</v>
      </c>
      <c r="D142" s="214"/>
      <c r="E142" s="214" t="s">
        <v>221</v>
      </c>
      <c r="F142" s="1"/>
      <c r="H142" s="214"/>
      <c r="I142" s="214"/>
      <c r="J142" s="214" t="s">
        <v>196</v>
      </c>
      <c r="K142" s="211" t="str">
        <f>if(isError(vlookup(J142,'node-RE'!$C:$C, 1, FALSE)), "NO", "YES")</f>
        <v>NO</v>
      </c>
      <c r="L142" s="214"/>
      <c r="M142" s="214"/>
      <c r="N142" s="214"/>
    </row>
    <row r="143">
      <c r="A143" s="210" t="s">
        <v>116</v>
      </c>
      <c r="B143" s="211" t="s">
        <v>474</v>
      </c>
      <c r="C143" s="211" t="str">
        <f>if(isError(vlookup(B143,'node-RE'!C:C, 1, FALSE)), "NO", "YES")</f>
        <v>NO</v>
      </c>
      <c r="D143" s="214"/>
      <c r="E143" s="214" t="s">
        <v>291</v>
      </c>
      <c r="F143" s="1"/>
      <c r="H143" s="214"/>
      <c r="I143" s="214"/>
      <c r="J143" s="214" t="s">
        <v>135</v>
      </c>
      <c r="K143" s="211" t="str">
        <f>if(isError(vlookup(J143,'node-RE'!$C:$C, 1, FALSE)), "NO", "YES")</f>
        <v>NO</v>
      </c>
      <c r="L143" s="213"/>
      <c r="M143" s="213"/>
      <c r="N143" s="213"/>
    </row>
    <row r="144">
      <c r="A144" s="210" t="s">
        <v>458</v>
      </c>
      <c r="B144" s="211" t="s">
        <v>60</v>
      </c>
      <c r="C144" s="211" t="str">
        <f>if(isError(vlookup(B144,'node-RE'!C:C, 1, FALSE)), "NO", "YES")</f>
        <v>NO</v>
      </c>
      <c r="D144" s="214"/>
      <c r="E144" s="214" t="s">
        <v>263</v>
      </c>
      <c r="F144" s="1"/>
      <c r="H144" s="214"/>
      <c r="I144" s="214"/>
      <c r="J144" s="214" t="s">
        <v>192</v>
      </c>
      <c r="K144" s="211" t="str">
        <f>if(isError(vlookup(J144,'node-RE'!$C:$C, 1, FALSE)), "NO", "YES")</f>
        <v>NO</v>
      </c>
      <c r="L144" s="214"/>
      <c r="M144" s="214"/>
      <c r="N144" s="214"/>
    </row>
    <row r="145">
      <c r="A145" s="210" t="s">
        <v>463</v>
      </c>
      <c r="B145" s="211" t="s">
        <v>347</v>
      </c>
      <c r="C145" s="211" t="str">
        <f>if(isError(vlookup(B145,'node-RE'!C:C, 1, FALSE)), "NO", "YES")</f>
        <v>NO</v>
      </c>
      <c r="D145" s="214"/>
      <c r="E145" s="214" t="s">
        <v>261</v>
      </c>
      <c r="F145" s="1"/>
      <c r="H145" s="214"/>
      <c r="I145" s="214"/>
      <c r="J145" s="214" t="s">
        <v>385</v>
      </c>
      <c r="K145" s="211" t="str">
        <f>if(isError(vlookup(J145,'node-RE'!$C:$C, 1, FALSE)), "NO", "YES")</f>
        <v>NO</v>
      </c>
      <c r="L145" s="214"/>
      <c r="M145" s="214"/>
      <c r="N145" s="214"/>
    </row>
    <row r="146">
      <c r="A146" s="210" t="s">
        <v>464</v>
      </c>
      <c r="B146" s="211" t="s">
        <v>493</v>
      </c>
      <c r="C146" s="211" t="str">
        <f>if(isError(vlookup(B146,'node-RE'!C:C, 1, FALSE)), "NO", "YES")</f>
        <v>NO</v>
      </c>
      <c r="D146" s="214"/>
      <c r="E146" s="214" t="s">
        <v>208</v>
      </c>
      <c r="F146" s="1"/>
      <c r="H146" s="214"/>
      <c r="I146" s="214"/>
      <c r="J146" s="214" t="s">
        <v>186</v>
      </c>
      <c r="K146" s="211" t="str">
        <f>if(isError(vlookup(J146,'node-RE'!$C:$C, 1, FALSE)), "NO", "YES")</f>
        <v>NO</v>
      </c>
      <c r="L146" s="213"/>
      <c r="M146" s="213"/>
      <c r="N146" s="213"/>
    </row>
    <row r="147">
      <c r="A147" s="210" t="s">
        <v>488</v>
      </c>
      <c r="B147" s="211" t="s">
        <v>302</v>
      </c>
      <c r="C147" s="211" t="str">
        <f>if(isError(vlookup(B147,'node-RE'!C:C, 1, FALSE)), "NO", "YES")</f>
        <v>NO</v>
      </c>
      <c r="D147" s="214"/>
      <c r="E147" s="214" t="s">
        <v>51</v>
      </c>
      <c r="F147" s="1"/>
      <c r="H147" s="214"/>
      <c r="I147" s="214"/>
      <c r="J147" s="214" t="s">
        <v>319</v>
      </c>
      <c r="K147" s="211" t="str">
        <f>if(isError(vlookup(J147,'node-RE'!$C:$C, 1, FALSE)), "NO", "YES")</f>
        <v>NO</v>
      </c>
      <c r="L147" s="214"/>
      <c r="M147" s="214"/>
      <c r="N147" s="214"/>
    </row>
    <row r="148">
      <c r="A148" s="210" t="s">
        <v>509</v>
      </c>
      <c r="B148" s="211" t="s">
        <v>42</v>
      </c>
      <c r="C148" s="211" t="str">
        <f>if(isError(vlookup(B148,'node-RE'!C:C, 1, FALSE)), "NO", "YES")</f>
        <v>NO</v>
      </c>
      <c r="D148" s="214"/>
      <c r="E148" s="214" t="s">
        <v>106</v>
      </c>
      <c r="F148" s="1"/>
      <c r="H148" s="214"/>
      <c r="I148" s="214"/>
      <c r="J148" s="214" t="s">
        <v>197</v>
      </c>
      <c r="K148" s="211" t="str">
        <f>if(isError(vlookup(J148,'node-RE'!$C:$C, 1, FALSE)), "NO", "YES")</f>
        <v>NO</v>
      </c>
      <c r="L148" s="214"/>
      <c r="M148" s="214"/>
      <c r="N148" s="214"/>
    </row>
    <row r="149">
      <c r="A149" s="210" t="s">
        <v>510</v>
      </c>
      <c r="B149" s="211" t="s">
        <v>98</v>
      </c>
      <c r="C149" s="211" t="str">
        <f>if(isError(vlookup(B149,'node-RE'!C:C, 1, FALSE)), "NO", "YES")</f>
        <v>NO</v>
      </c>
      <c r="D149" s="214"/>
      <c r="E149" s="214" t="s">
        <v>283</v>
      </c>
      <c r="F149" s="1"/>
      <c r="H149" s="214"/>
      <c r="I149" s="214"/>
      <c r="J149" s="214" t="s">
        <v>284</v>
      </c>
      <c r="K149" s="211" t="str">
        <f>if(isError(vlookup(J149,'node-RE'!$C:$C, 1, FALSE)), "NO", "YES")</f>
        <v>NO</v>
      </c>
      <c r="L149" s="214"/>
      <c r="M149" s="214"/>
      <c r="N149" s="214"/>
    </row>
    <row r="150">
      <c r="A150" s="210" t="s">
        <v>511</v>
      </c>
      <c r="B150" s="211" t="s">
        <v>116</v>
      </c>
      <c r="C150" s="211" t="str">
        <f>if(isError(vlookup(B150,'node-RE'!C:C, 1, FALSE)), "NO", "YES")</f>
        <v>NO</v>
      </c>
      <c r="D150" s="214"/>
      <c r="E150" s="214" t="s">
        <v>113</v>
      </c>
      <c r="F150" s="1"/>
      <c r="H150" s="214"/>
      <c r="I150" s="214"/>
      <c r="J150" s="214" t="s">
        <v>125</v>
      </c>
      <c r="K150" s="211" t="str">
        <f>if(isError(vlookup(J150,'node-RE'!$C:$C, 1, FALSE)), "NO", "YES")</f>
        <v>NO</v>
      </c>
      <c r="L150" s="213"/>
      <c r="M150" s="213"/>
      <c r="N150" s="213"/>
    </row>
    <row r="151">
      <c r="A151" s="210" t="s">
        <v>515</v>
      </c>
      <c r="B151" s="211" t="s">
        <v>458</v>
      </c>
      <c r="C151" s="211" t="str">
        <f>if(isError(vlookup(B151,'node-RE'!C:C, 1, FALSE)), "NO", "YES")</f>
        <v>NO</v>
      </c>
      <c r="D151" s="214"/>
      <c r="E151" s="214" t="s">
        <v>196</v>
      </c>
      <c r="F151" s="1"/>
      <c r="H151" s="214"/>
      <c r="I151" s="214"/>
      <c r="J151" s="214" t="s">
        <v>331</v>
      </c>
      <c r="K151" s="211" t="str">
        <f>if(isError(vlookup(J151,'node-RE'!$C:$C, 1, FALSE)), "NO", "YES")</f>
        <v>YES</v>
      </c>
      <c r="L151" s="214"/>
      <c r="M151" s="214"/>
      <c r="N151" s="214"/>
    </row>
    <row r="152">
      <c r="A152" s="210" t="s">
        <v>517</v>
      </c>
      <c r="B152" s="211" t="s">
        <v>463</v>
      </c>
      <c r="C152" s="211" t="str">
        <f>if(isError(vlookup(B152,'node-RE'!C:C, 1, FALSE)), "NO", "YES")</f>
        <v>NO</v>
      </c>
      <c r="D152" s="214"/>
      <c r="E152" s="214" t="s">
        <v>135</v>
      </c>
      <c r="F152" s="1"/>
      <c r="H152" s="214"/>
      <c r="I152" s="214"/>
      <c r="J152" s="214" t="s">
        <v>334</v>
      </c>
      <c r="K152" s="211" t="str">
        <f>if(isError(vlookup(J152,'node-RE'!$C:$C, 1, FALSE)), "NO", "YES")</f>
        <v>NO</v>
      </c>
      <c r="L152" s="214"/>
      <c r="M152" s="214"/>
      <c r="N152" s="214"/>
    </row>
    <row r="153">
      <c r="A153" s="210" t="s">
        <v>518</v>
      </c>
      <c r="B153" s="211" t="s">
        <v>464</v>
      </c>
      <c r="C153" s="211" t="str">
        <f>if(isError(vlookup(B153,'node-RE'!C:C, 1, FALSE)), "NO", "YES")</f>
        <v>NO</v>
      </c>
      <c r="D153" s="214"/>
      <c r="E153" s="214" t="s">
        <v>192</v>
      </c>
      <c r="F153" s="1"/>
      <c r="H153" s="214"/>
      <c r="I153" s="214"/>
      <c r="J153" s="214" t="s">
        <v>306</v>
      </c>
      <c r="K153" s="211" t="str">
        <f>if(isError(vlookup(J153,'node-RE'!$C:$C, 1, FALSE)), "NO", "YES")</f>
        <v>NO</v>
      </c>
      <c r="L153" s="213"/>
      <c r="M153" s="213"/>
      <c r="N153" s="213"/>
    </row>
    <row r="154">
      <c r="A154" s="210" t="s">
        <v>97</v>
      </c>
      <c r="B154" s="211" t="s">
        <v>488</v>
      </c>
      <c r="C154" s="211" t="str">
        <f>if(isError(vlookup(B154,'node-RE'!C:C, 1, FALSE)), "NO", "YES")</f>
        <v>NO</v>
      </c>
      <c r="D154" s="214"/>
      <c r="E154" s="214" t="s">
        <v>385</v>
      </c>
      <c r="F154" s="1"/>
      <c r="H154" s="214"/>
      <c r="I154" s="214"/>
      <c r="J154" s="214" t="s">
        <v>175</v>
      </c>
      <c r="K154" s="211" t="str">
        <f>if(isError(vlookup(J154,'node-RE'!$C:$C, 1, FALSE)), "NO", "YES")</f>
        <v>NO</v>
      </c>
      <c r="L154" s="214"/>
      <c r="M154" s="214"/>
      <c r="N154" s="214"/>
    </row>
    <row r="155">
      <c r="A155" s="210" t="s">
        <v>456</v>
      </c>
      <c r="B155" s="211" t="s">
        <v>509</v>
      </c>
      <c r="C155" s="211" t="str">
        <f>if(isError(vlookup(B155,'node-RE'!C:C, 1, FALSE)), "NO", "YES")</f>
        <v>NO</v>
      </c>
      <c r="D155" s="214"/>
      <c r="E155" s="214" t="s">
        <v>186</v>
      </c>
      <c r="F155" s="1"/>
      <c r="H155" s="214"/>
      <c r="I155" s="214"/>
      <c r="J155" s="214" t="s">
        <v>227</v>
      </c>
      <c r="K155" s="211" t="str">
        <f>if(isError(vlookup(J155,'node-RE'!$C:$C, 1, FALSE)), "NO", "YES")</f>
        <v>NO</v>
      </c>
      <c r="L155" s="214"/>
      <c r="M155" s="214"/>
      <c r="N155" s="214"/>
    </row>
    <row r="156">
      <c r="A156" s="210" t="s">
        <v>271</v>
      </c>
      <c r="B156" s="211" t="s">
        <v>510</v>
      </c>
      <c r="C156" s="211" t="str">
        <f>if(isError(vlookup(B156,'node-RE'!C:C, 1, FALSE)), "NO", "YES")</f>
        <v>NO</v>
      </c>
      <c r="D156" s="214"/>
      <c r="E156" s="214" t="s">
        <v>319</v>
      </c>
      <c r="F156" s="1"/>
      <c r="H156" s="214"/>
      <c r="I156" s="214"/>
      <c r="J156" s="214" t="s">
        <v>52</v>
      </c>
      <c r="K156" s="211" t="str">
        <f>if(isError(vlookup(J156,'node-RE'!$C:$C, 1, FALSE)), "NO", "YES")</f>
        <v>YES</v>
      </c>
      <c r="L156" s="214"/>
      <c r="M156" s="214"/>
      <c r="N156" s="214"/>
    </row>
    <row r="157">
      <c r="A157" s="210" t="s">
        <v>110</v>
      </c>
      <c r="B157" s="211" t="s">
        <v>511</v>
      </c>
      <c r="C157" s="211" t="str">
        <f>if(isError(vlookup(B157,'node-RE'!C:C, 1, FALSE)), "NO", "YES")</f>
        <v>NO</v>
      </c>
      <c r="D157" s="214"/>
      <c r="E157" s="214" t="s">
        <v>197</v>
      </c>
      <c r="F157" s="1"/>
      <c r="H157" s="214"/>
      <c r="I157" s="214"/>
      <c r="J157" s="214" t="s">
        <v>310</v>
      </c>
      <c r="K157" s="211" t="str">
        <f>if(isError(vlookup(J157,'node-RE'!$C:$C, 1, FALSE)), "NO", "YES")</f>
        <v>NO</v>
      </c>
      <c r="L157" s="214"/>
      <c r="M157" s="214"/>
      <c r="N157" s="214"/>
    </row>
    <row r="158">
      <c r="A158" s="210" t="s">
        <v>392</v>
      </c>
      <c r="B158" s="211" t="s">
        <v>515</v>
      </c>
      <c r="C158" s="211" t="str">
        <f>if(isError(vlookup(B158,'node-RE'!C:C, 1, FALSE)), "NO", "YES")</f>
        <v>NO</v>
      </c>
      <c r="D158" s="214"/>
      <c r="E158" s="214" t="s">
        <v>37</v>
      </c>
      <c r="F158" s="1"/>
      <c r="H158" s="214"/>
      <c r="I158" s="214"/>
      <c r="J158" s="214" t="s">
        <v>383</v>
      </c>
      <c r="K158" s="211" t="str">
        <f>if(isError(vlookup(J158,'node-RE'!$C:$C, 1, FALSE)), "NO", "YES")</f>
        <v>NO</v>
      </c>
      <c r="L158" s="213"/>
      <c r="M158" s="213"/>
      <c r="N158" s="213"/>
    </row>
    <row r="159">
      <c r="A159" s="210" t="s">
        <v>450</v>
      </c>
      <c r="B159" s="211" t="s">
        <v>517</v>
      </c>
      <c r="C159" s="211" t="str">
        <f>if(isError(vlookup(B159,'node-RE'!C:C, 1, FALSE)), "NO", "YES")</f>
        <v>NO</v>
      </c>
      <c r="D159" s="214"/>
      <c r="E159" s="214" t="s">
        <v>284</v>
      </c>
      <c r="F159" s="1"/>
      <c r="H159" s="214"/>
      <c r="I159" s="214"/>
      <c r="J159" s="214" t="s">
        <v>49</v>
      </c>
      <c r="K159" s="211" t="str">
        <f>if(isError(vlookup(J159,'node-RE'!$C:$C, 1, FALSE)), "NO", "YES")</f>
        <v>NO</v>
      </c>
      <c r="L159" s="213"/>
      <c r="M159" s="213"/>
      <c r="N159" s="213"/>
    </row>
    <row r="160">
      <c r="A160" s="210" t="s">
        <v>506</v>
      </c>
      <c r="B160" s="211" t="s">
        <v>518</v>
      </c>
      <c r="C160" s="211" t="str">
        <f>if(isError(vlookup(B160,'node-RE'!C:C, 1, FALSE)), "NO", "YES")</f>
        <v>NO</v>
      </c>
      <c r="D160" s="214"/>
      <c r="E160" s="214" t="s">
        <v>125</v>
      </c>
      <c r="F160" s="1"/>
      <c r="H160" s="214"/>
      <c r="I160" s="214"/>
      <c r="J160" s="214" t="s">
        <v>395</v>
      </c>
      <c r="K160" s="211" t="str">
        <f>if(isError(vlookup(J160,'node-RE'!$C:$C, 1, FALSE)), "NO", "YES")</f>
        <v>NO</v>
      </c>
      <c r="L160" s="213"/>
      <c r="M160" s="213"/>
      <c r="N160" s="213"/>
    </row>
    <row r="161">
      <c r="A161" s="210" t="s">
        <v>95</v>
      </c>
      <c r="B161" s="211" t="s">
        <v>211</v>
      </c>
      <c r="C161" s="211" t="str">
        <f>if(isError(vlookup(B161,'node-RE'!C:C, 1, FALSE)), "NO", "YES")</f>
        <v>YES</v>
      </c>
      <c r="D161" s="214"/>
      <c r="E161" s="214" t="s">
        <v>331</v>
      </c>
      <c r="F161" s="1"/>
      <c r="H161" s="214"/>
      <c r="I161" s="214"/>
      <c r="J161" s="214" t="s">
        <v>187</v>
      </c>
      <c r="K161" s="211" t="str">
        <f>if(isError(vlookup(J161,'node-RE'!$C:$C, 1, FALSE)), "NO", "YES")</f>
        <v>NO</v>
      </c>
      <c r="L161" s="213"/>
      <c r="M161" s="213"/>
      <c r="N161" s="213"/>
    </row>
    <row r="162">
      <c r="A162" s="210" t="s">
        <v>443</v>
      </c>
      <c r="B162" s="211" t="s">
        <v>97</v>
      </c>
      <c r="C162" s="211" t="str">
        <f>if(isError(vlookup(B162,'node-RE'!C:C, 1, FALSE)), "NO", "YES")</f>
        <v>NO</v>
      </c>
      <c r="D162" s="214"/>
      <c r="E162" s="214" t="s">
        <v>334</v>
      </c>
      <c r="F162" s="1"/>
      <c r="H162" s="214"/>
      <c r="I162" s="214"/>
      <c r="J162" s="214" t="s">
        <v>59</v>
      </c>
      <c r="K162" s="211" t="str">
        <f>if(isError(vlookup(J162,'node-RE'!$C:$C, 1, FALSE)), "NO", "YES")</f>
        <v>NO</v>
      </c>
      <c r="L162" s="213"/>
      <c r="M162" s="213"/>
      <c r="N162" s="213"/>
    </row>
    <row r="163">
      <c r="A163" s="210" t="s">
        <v>477</v>
      </c>
      <c r="B163" s="211" t="s">
        <v>456</v>
      </c>
      <c r="C163" s="211" t="str">
        <f>if(isError(vlookup(B163,'node-RE'!C:C, 1, FALSE)), "NO", "YES")</f>
        <v>NO</v>
      </c>
      <c r="D163" s="214"/>
      <c r="E163" s="214" t="s">
        <v>306</v>
      </c>
      <c r="F163" s="1"/>
      <c r="H163" s="214"/>
      <c r="I163" s="214"/>
      <c r="J163" s="214" t="s">
        <v>65</v>
      </c>
      <c r="K163" s="211" t="str">
        <f>if(isError(vlookup(J163,'node-RE'!$C:$C, 1, FALSE)), "NO", "YES")</f>
        <v>NO</v>
      </c>
      <c r="L163" s="213"/>
      <c r="M163" s="213"/>
      <c r="N163" s="213"/>
    </row>
    <row r="164">
      <c r="A164" s="210" t="s">
        <v>278</v>
      </c>
      <c r="B164" s="211" t="s">
        <v>271</v>
      </c>
      <c r="C164" s="211" t="str">
        <f>if(isError(vlookup(B164,'node-RE'!C:C, 1, FALSE)), "NO", "YES")</f>
        <v>NO</v>
      </c>
      <c r="D164" s="214"/>
      <c r="E164" s="214" t="s">
        <v>277</v>
      </c>
      <c r="F164" s="1"/>
      <c r="H164" s="214"/>
      <c r="I164" s="214"/>
      <c r="J164" s="214" t="s">
        <v>119</v>
      </c>
      <c r="K164" s="211" t="str">
        <f>if(isError(vlookup(J164,'node-RE'!$C:$C, 1, FALSE)), "NO", "YES")</f>
        <v>NO</v>
      </c>
      <c r="L164" s="213"/>
      <c r="M164" s="213"/>
      <c r="N164" s="213"/>
    </row>
    <row r="165">
      <c r="A165" s="210" t="s">
        <v>260</v>
      </c>
      <c r="B165" s="211" t="s">
        <v>110</v>
      </c>
      <c r="C165" s="211" t="str">
        <f>if(isError(vlookup(B165,'node-RE'!C:C, 1, FALSE)), "NO", "YES")</f>
        <v>NO</v>
      </c>
      <c r="D165" s="214"/>
      <c r="E165" s="214" t="s">
        <v>175</v>
      </c>
      <c r="F165" s="1"/>
      <c r="H165" s="214"/>
      <c r="I165" s="214"/>
      <c r="J165" s="214" t="s">
        <v>150</v>
      </c>
      <c r="K165" s="211" t="str">
        <f>if(isError(vlookup(J165,'node-RE'!$C:$C, 1, FALSE)), "NO", "YES")</f>
        <v>NO</v>
      </c>
      <c r="L165" s="213"/>
      <c r="M165" s="213"/>
      <c r="N165" s="213"/>
    </row>
    <row r="166">
      <c r="A166" s="210" t="s">
        <v>102</v>
      </c>
      <c r="B166" s="211" t="s">
        <v>392</v>
      </c>
      <c r="C166" s="211" t="str">
        <f>if(isError(vlookup(B166,'node-RE'!C:C, 1, FALSE)), "NO", "YES")</f>
        <v>NO</v>
      </c>
      <c r="D166" s="214"/>
      <c r="E166" s="214" t="s">
        <v>227</v>
      </c>
      <c r="F166" s="1"/>
      <c r="H166" s="214"/>
      <c r="I166" s="214"/>
      <c r="J166" s="214" t="s">
        <v>266</v>
      </c>
      <c r="K166" s="211" t="str">
        <f>if(isError(vlookup(J166,'node-RE'!$C:$C, 1, FALSE)), "NO", "YES")</f>
        <v>NO</v>
      </c>
      <c r="L166" s="213"/>
      <c r="M166" s="213"/>
      <c r="N166" s="213"/>
    </row>
    <row r="167">
      <c r="A167" s="210" t="s">
        <v>448</v>
      </c>
      <c r="B167" s="211" t="s">
        <v>450</v>
      </c>
      <c r="C167" s="211" t="str">
        <f>if(isError(vlookup(B167,'node-RE'!C:C, 1, FALSE)), "NO", "YES")</f>
        <v>NO</v>
      </c>
      <c r="D167" s="214"/>
      <c r="E167" s="214" t="s">
        <v>52</v>
      </c>
      <c r="F167" s="1"/>
      <c r="H167" s="214"/>
      <c r="I167" s="214"/>
      <c r="J167" s="214" t="s">
        <v>280</v>
      </c>
      <c r="K167" s="211" t="str">
        <f>if(isError(vlookup(J167,'node-RE'!$C:$C, 1, FALSE)), "NO", "YES")</f>
        <v>NO</v>
      </c>
      <c r="L167" s="213"/>
      <c r="M167" s="213"/>
      <c r="N167" s="213"/>
    </row>
    <row r="168">
      <c r="A168" s="210" t="s">
        <v>134</v>
      </c>
      <c r="B168" s="211" t="s">
        <v>506</v>
      </c>
      <c r="C168" s="211" t="str">
        <f>if(isError(vlookup(B168,'node-RE'!C:C, 1, FALSE)), "NO", "YES")</f>
        <v>NO</v>
      </c>
      <c r="D168" s="214"/>
      <c r="E168" s="214" t="s">
        <v>231</v>
      </c>
      <c r="F168" s="1"/>
      <c r="H168" s="214"/>
      <c r="I168" s="214"/>
      <c r="J168" s="214" t="s">
        <v>73</v>
      </c>
      <c r="K168" s="211" t="str">
        <f>if(isError(vlookup(J168,'node-RE'!$C:$C, 1, FALSE)), "NO", "YES")</f>
        <v>NO</v>
      </c>
      <c r="L168" s="214"/>
      <c r="M168" s="214"/>
      <c r="N168" s="214"/>
    </row>
    <row r="169">
      <c r="A169" s="210" t="s">
        <v>316</v>
      </c>
      <c r="B169" s="211" t="s">
        <v>95</v>
      </c>
      <c r="C169" s="211" t="str">
        <f>if(isError(vlookup(B169,'node-RE'!C:C, 1, FALSE)), "NO", "YES")</f>
        <v>NO</v>
      </c>
      <c r="D169" s="214"/>
      <c r="E169" s="214" t="s">
        <v>310</v>
      </c>
      <c r="F169" s="1"/>
      <c r="H169" s="214"/>
      <c r="I169" s="214"/>
      <c r="J169" s="214" t="s">
        <v>78</v>
      </c>
      <c r="K169" s="211" t="str">
        <f>if(isError(vlookup(J169,'node-RE'!$C:$C, 1, FALSE)), "NO", "YES")</f>
        <v>NO</v>
      </c>
      <c r="L169" s="213"/>
      <c r="M169" s="213"/>
      <c r="N169" s="213"/>
    </row>
    <row r="170">
      <c r="A170" s="210" t="s">
        <v>381</v>
      </c>
      <c r="B170" s="211" t="s">
        <v>443</v>
      </c>
      <c r="C170" s="211" t="str">
        <f>if(isError(vlookup(B170,'node-RE'!C:C, 1, FALSE)), "NO", "YES")</f>
        <v>NO</v>
      </c>
      <c r="D170" s="214"/>
      <c r="E170" s="214" t="s">
        <v>383</v>
      </c>
      <c r="F170" s="1"/>
      <c r="K170" s="214"/>
      <c r="L170" s="214"/>
      <c r="M170" s="214"/>
      <c r="N170" s="214"/>
    </row>
    <row r="171">
      <c r="A171" s="210" t="s">
        <v>48</v>
      </c>
      <c r="B171" s="211" t="s">
        <v>477</v>
      </c>
      <c r="C171" s="211" t="str">
        <f>if(isError(vlookup(B171,'node-RE'!C:C, 1, FALSE)), "NO", "YES")</f>
        <v>NO</v>
      </c>
      <c r="D171" s="214"/>
      <c r="E171" s="214" t="s">
        <v>49</v>
      </c>
      <c r="F171" s="1"/>
      <c r="K171" s="213"/>
      <c r="L171" s="213"/>
      <c r="M171" s="213"/>
      <c r="N171" s="213"/>
    </row>
    <row r="172">
      <c r="A172" s="210" t="s">
        <v>504</v>
      </c>
      <c r="B172" s="211" t="s">
        <v>278</v>
      </c>
      <c r="C172" s="211" t="str">
        <f>if(isError(vlookup(B172,'node-RE'!C:C, 1, FALSE)), "NO", "YES")</f>
        <v>NO</v>
      </c>
      <c r="D172" s="214"/>
      <c r="E172" s="214" t="s">
        <v>395</v>
      </c>
      <c r="F172" s="1"/>
      <c r="K172" s="214"/>
      <c r="L172" s="214"/>
      <c r="M172" s="214"/>
      <c r="N172" s="214"/>
    </row>
    <row r="173">
      <c r="A173" s="210" t="s">
        <v>462</v>
      </c>
      <c r="B173" s="211" t="s">
        <v>260</v>
      </c>
      <c r="C173" s="211" t="str">
        <f>if(isError(vlookup(B173,'node-RE'!C:C, 1, FALSE)), "NO", "YES")</f>
        <v>NO</v>
      </c>
      <c r="D173" s="214"/>
      <c r="E173" s="214" t="s">
        <v>44</v>
      </c>
      <c r="F173" s="1"/>
      <c r="K173" s="214"/>
      <c r="L173" s="214"/>
      <c r="M173" s="214"/>
      <c r="N173" s="214"/>
    </row>
    <row r="174">
      <c r="A174" s="210" t="s">
        <v>68</v>
      </c>
      <c r="B174" s="211" t="s">
        <v>102</v>
      </c>
      <c r="C174" s="211" t="str">
        <f>if(isError(vlookup(B174,'node-RE'!C:C, 1, FALSE)), "NO", "YES")</f>
        <v>NO</v>
      </c>
      <c r="D174" s="214"/>
      <c r="E174" s="214" t="s">
        <v>187</v>
      </c>
      <c r="F174" s="1"/>
      <c r="K174" s="214"/>
      <c r="L174" s="214"/>
      <c r="M174" s="214"/>
      <c r="N174" s="214"/>
    </row>
    <row r="175">
      <c r="A175" s="210" t="s">
        <v>399</v>
      </c>
      <c r="B175" s="211" t="s">
        <v>448</v>
      </c>
      <c r="C175" s="211" t="str">
        <f>if(isError(vlookup(B175,'node-RE'!C:C, 1, FALSE)), "NO", "YES")</f>
        <v>NO</v>
      </c>
      <c r="D175" s="214"/>
      <c r="E175" s="214" t="s">
        <v>59</v>
      </c>
      <c r="F175" s="1"/>
      <c r="K175" s="213"/>
      <c r="L175" s="213"/>
      <c r="M175" s="213"/>
      <c r="N175" s="213"/>
    </row>
    <row r="176">
      <c r="A176" s="210" t="s">
        <v>369</v>
      </c>
      <c r="B176" s="211" t="s">
        <v>134</v>
      </c>
      <c r="C176" s="211" t="str">
        <f>if(isError(vlookup(B176,'node-RE'!C:C, 1, FALSE)), "NO", "YES")</f>
        <v>NO</v>
      </c>
      <c r="D176" s="214"/>
      <c r="E176" s="214" t="s">
        <v>65</v>
      </c>
      <c r="F176" s="1"/>
      <c r="K176" s="213"/>
      <c r="L176" s="213"/>
      <c r="M176" s="213"/>
      <c r="N176" s="213"/>
    </row>
    <row r="177">
      <c r="A177" s="210" t="s">
        <v>130</v>
      </c>
      <c r="B177" s="211" t="s">
        <v>316</v>
      </c>
      <c r="C177" s="211" t="str">
        <f>if(isError(vlookup(B177,'node-RE'!C:C, 1, FALSE)), "NO", "YES")</f>
        <v>NO</v>
      </c>
      <c r="D177" s="214"/>
      <c r="E177" s="214" t="s">
        <v>119</v>
      </c>
      <c r="F177" s="1"/>
      <c r="K177" s="214"/>
      <c r="L177" s="214"/>
      <c r="M177" s="214"/>
      <c r="N177" s="214"/>
    </row>
    <row r="178">
      <c r="A178" s="210" t="s">
        <v>75</v>
      </c>
      <c r="B178" s="211" t="s">
        <v>381</v>
      </c>
      <c r="C178" s="211" t="str">
        <f>if(isError(vlookup(B178,'node-RE'!C:C, 1, FALSE)), "NO", "YES")</f>
        <v>NO</v>
      </c>
      <c r="D178" s="214"/>
      <c r="E178" s="214" t="s">
        <v>150</v>
      </c>
      <c r="F178" s="1"/>
      <c r="K178" s="213"/>
      <c r="L178" s="213"/>
      <c r="M178" s="213"/>
      <c r="N178" s="213"/>
    </row>
    <row r="179">
      <c r="A179" s="210" t="s">
        <v>329</v>
      </c>
      <c r="B179" s="211" t="s">
        <v>48</v>
      </c>
      <c r="C179" s="211" t="str">
        <f>if(isError(vlookup(B179,'node-RE'!C:C, 1, FALSE)), "NO", "YES")</f>
        <v>NO</v>
      </c>
      <c r="D179" s="214"/>
      <c r="E179" s="214" t="s">
        <v>266</v>
      </c>
      <c r="F179" s="1"/>
      <c r="K179" s="213"/>
      <c r="L179" s="213"/>
      <c r="M179" s="213"/>
      <c r="N179" s="213"/>
    </row>
    <row r="180">
      <c r="A180" s="210" t="s">
        <v>43</v>
      </c>
      <c r="B180" s="211" t="s">
        <v>504</v>
      </c>
      <c r="C180" s="211" t="str">
        <f>if(isError(vlookup(B180,'node-RE'!C:C, 1, FALSE)), "NO", "YES")</f>
        <v>NO</v>
      </c>
      <c r="D180" s="214"/>
      <c r="E180" s="214" t="s">
        <v>280</v>
      </c>
      <c r="F180" s="1"/>
      <c r="K180" s="214"/>
      <c r="L180" s="214"/>
      <c r="M180" s="214"/>
      <c r="N180" s="214"/>
    </row>
    <row r="181">
      <c r="A181" s="210" t="s">
        <v>221</v>
      </c>
      <c r="B181" s="211" t="s">
        <v>462</v>
      </c>
      <c r="C181" s="211" t="str">
        <f>if(isError(vlookup(B181,'node-RE'!C:C, 1, FALSE)), "NO", "YES")</f>
        <v>NO</v>
      </c>
      <c r="D181" s="214"/>
      <c r="E181" s="214" t="s">
        <v>73</v>
      </c>
      <c r="F181" s="1"/>
      <c r="K181" s="213"/>
      <c r="L181" s="213"/>
      <c r="M181" s="213"/>
      <c r="N181" s="213"/>
    </row>
    <row r="182">
      <c r="A182" s="210" t="s">
        <v>291</v>
      </c>
      <c r="B182" s="211" t="s">
        <v>68</v>
      </c>
      <c r="C182" s="211" t="str">
        <f>if(isError(vlookup(B182,'node-RE'!C:C, 1, FALSE)), "NO", "YES")</f>
        <v>NO</v>
      </c>
      <c r="D182" s="214"/>
      <c r="E182" s="214" t="s">
        <v>78</v>
      </c>
      <c r="F182" s="1"/>
      <c r="K182" s="214"/>
      <c r="L182" s="214"/>
      <c r="M182" s="214"/>
      <c r="N182" s="214"/>
    </row>
    <row r="183">
      <c r="A183" s="210" t="s">
        <v>508</v>
      </c>
      <c r="B183" s="211" t="s">
        <v>399</v>
      </c>
      <c r="C183" s="211" t="str">
        <f>if(isError(vlookup(B183,'node-RE'!C:C, 1, FALSE)), "NO", "YES")</f>
        <v>NO</v>
      </c>
      <c r="D183" s="214"/>
      <c r="E183" s="214" t="s">
        <v>736</v>
      </c>
      <c r="F183" s="1"/>
      <c r="K183" s="214"/>
      <c r="L183" s="214"/>
      <c r="M183" s="214"/>
      <c r="N183" s="214"/>
    </row>
    <row r="184">
      <c r="A184" s="210" t="s">
        <v>263</v>
      </c>
      <c r="B184" s="211" t="s">
        <v>230</v>
      </c>
      <c r="C184" s="211" t="str">
        <f>if(isError(vlookup(B184,'node-RE'!C:C, 1, FALSE)), "NO", "YES")</f>
        <v>YES</v>
      </c>
      <c r="D184" s="214"/>
      <c r="E184" s="214" t="s">
        <v>736</v>
      </c>
      <c r="F184" s="1"/>
      <c r="K184" s="213"/>
      <c r="L184" s="213"/>
      <c r="M184" s="213"/>
      <c r="N184" s="213"/>
    </row>
    <row r="185">
      <c r="A185" s="210" t="s">
        <v>261</v>
      </c>
      <c r="B185" s="211" t="s">
        <v>369</v>
      </c>
      <c r="C185" s="211" t="str">
        <f>if(isError(vlookup(B185,'node-RE'!C:C, 1, FALSE)), "NO", "YES")</f>
        <v>NO</v>
      </c>
      <c r="D185" s="214"/>
      <c r="E185" s="214" t="s">
        <v>736</v>
      </c>
      <c r="F185" s="1"/>
      <c r="K185" s="214"/>
      <c r="L185" s="214"/>
      <c r="M185" s="214"/>
      <c r="N185" s="214"/>
    </row>
    <row r="186">
      <c r="A186" s="210" t="s">
        <v>51</v>
      </c>
      <c r="B186" s="211" t="s">
        <v>130</v>
      </c>
      <c r="C186" s="211" t="str">
        <f>if(isError(vlookup(B186,'node-RE'!C:C, 1, FALSE)), "NO", "YES")</f>
        <v>NO</v>
      </c>
      <c r="D186" s="214"/>
      <c r="E186" s="214" t="s">
        <v>736</v>
      </c>
      <c r="F186" s="1"/>
      <c r="K186" s="214"/>
      <c r="L186" s="214"/>
      <c r="M186" s="214"/>
      <c r="N186" s="214"/>
    </row>
    <row r="187">
      <c r="A187" s="210" t="s">
        <v>106</v>
      </c>
      <c r="B187" s="211" t="s">
        <v>75</v>
      </c>
      <c r="C187" s="211" t="str">
        <f>if(isError(vlookup(B187,'node-RE'!C:C, 1, FALSE)), "NO", "YES")</f>
        <v>NO</v>
      </c>
      <c r="D187" s="214"/>
      <c r="E187" s="214" t="s">
        <v>736</v>
      </c>
      <c r="F187" s="1"/>
      <c r="K187" s="214"/>
      <c r="L187" s="214"/>
      <c r="M187" s="214"/>
      <c r="N187" s="214"/>
    </row>
    <row r="188">
      <c r="A188" s="210" t="s">
        <v>426</v>
      </c>
      <c r="B188" s="211" t="s">
        <v>329</v>
      </c>
      <c r="C188" s="211" t="str">
        <f>if(isError(vlookup(B188,'node-RE'!C:C, 1, FALSE)), "NO", "YES")</f>
        <v>NO</v>
      </c>
      <c r="D188" s="214"/>
      <c r="E188" s="214" t="s">
        <v>736</v>
      </c>
      <c r="F188" s="1"/>
      <c r="K188" s="214"/>
      <c r="L188" s="214"/>
      <c r="M188" s="214"/>
      <c r="N188" s="214"/>
    </row>
    <row r="189">
      <c r="A189" s="210" t="s">
        <v>113</v>
      </c>
      <c r="B189" s="211" t="s">
        <v>43</v>
      </c>
      <c r="C189" s="211" t="str">
        <f>if(isError(vlookup(B189,'node-RE'!C:C, 1, FALSE)), "NO", "YES")</f>
        <v>NO</v>
      </c>
      <c r="D189" s="214"/>
      <c r="E189" s="214" t="s">
        <v>736</v>
      </c>
      <c r="F189" s="1"/>
      <c r="K189" s="213"/>
      <c r="L189" s="213"/>
      <c r="M189" s="213"/>
      <c r="N189" s="213"/>
    </row>
    <row r="190">
      <c r="A190" s="210" t="s">
        <v>196</v>
      </c>
      <c r="B190" s="211" t="s">
        <v>221</v>
      </c>
      <c r="C190" s="211" t="str">
        <f>if(isError(vlookup(B190,'node-RE'!C:C, 1, FALSE)), "NO", "YES")</f>
        <v>NO</v>
      </c>
      <c r="D190" s="214"/>
      <c r="E190" s="214" t="s">
        <v>736</v>
      </c>
      <c r="F190" s="1"/>
      <c r="K190" s="213"/>
      <c r="L190" s="213"/>
      <c r="M190" s="213"/>
      <c r="N190" s="213"/>
    </row>
    <row r="191">
      <c r="A191" s="210" t="s">
        <v>444</v>
      </c>
      <c r="B191" s="211" t="s">
        <v>291</v>
      </c>
      <c r="C191" s="211" t="str">
        <f>if(isError(vlookup(B191,'node-RE'!C:C, 1, FALSE)), "NO", "YES")</f>
        <v>NO</v>
      </c>
      <c r="D191" s="214"/>
      <c r="E191" s="214" t="s">
        <v>736</v>
      </c>
      <c r="F191" s="1"/>
      <c r="K191" s="214"/>
      <c r="L191" s="214"/>
      <c r="M191" s="214"/>
      <c r="N191" s="214"/>
    </row>
    <row r="192">
      <c r="A192" s="210" t="s">
        <v>135</v>
      </c>
      <c r="B192" s="211" t="s">
        <v>508</v>
      </c>
      <c r="C192" s="211" t="str">
        <f>if(isError(vlookup(B192,'node-RE'!C:C, 1, FALSE)), "NO", "YES")</f>
        <v>NO</v>
      </c>
      <c r="D192" s="214"/>
      <c r="E192" s="214" t="s">
        <v>736</v>
      </c>
      <c r="F192" s="1"/>
      <c r="K192" s="214"/>
      <c r="L192" s="214"/>
      <c r="M192" s="214"/>
      <c r="N192" s="214"/>
    </row>
    <row r="193">
      <c r="A193" s="210" t="s">
        <v>192</v>
      </c>
      <c r="B193" s="211" t="s">
        <v>263</v>
      </c>
      <c r="C193" s="211" t="str">
        <f>if(isError(vlookup(B193,'node-RE'!C:C, 1, FALSE)), "NO", "YES")</f>
        <v>NO</v>
      </c>
      <c r="D193" s="214"/>
      <c r="E193" s="214" t="s">
        <v>736</v>
      </c>
      <c r="F193" s="1"/>
      <c r="K193" s="214"/>
      <c r="L193" s="214"/>
      <c r="M193" s="214"/>
      <c r="N193" s="214"/>
    </row>
    <row r="194">
      <c r="A194" s="210" t="s">
        <v>385</v>
      </c>
      <c r="B194" s="211" t="s">
        <v>261</v>
      </c>
      <c r="C194" s="211" t="str">
        <f>if(isError(vlookup(B194,'node-RE'!C:C, 1, FALSE)), "NO", "YES")</f>
        <v>NO</v>
      </c>
      <c r="D194" s="214"/>
      <c r="E194" s="214" t="s">
        <v>736</v>
      </c>
      <c r="F194" s="1"/>
      <c r="K194" s="214"/>
      <c r="L194" s="214"/>
      <c r="M194" s="214"/>
      <c r="N194" s="214"/>
    </row>
    <row r="195">
      <c r="A195" s="210" t="s">
        <v>186</v>
      </c>
      <c r="B195" s="211" t="s">
        <v>208</v>
      </c>
      <c r="C195" s="211" t="str">
        <f>if(isError(vlookup(B195,'node-RE'!C:C, 1, FALSE)), "NO", "YES")</f>
        <v>YES</v>
      </c>
      <c r="D195" s="214"/>
      <c r="E195" s="214" t="s">
        <v>736</v>
      </c>
      <c r="F195" s="1"/>
      <c r="K195" s="214"/>
      <c r="L195" s="214"/>
      <c r="M195" s="214"/>
      <c r="N195" s="214"/>
    </row>
    <row r="196">
      <c r="A196" s="210" t="s">
        <v>445</v>
      </c>
      <c r="B196" s="211" t="s">
        <v>51</v>
      </c>
      <c r="C196" s="211" t="str">
        <f>if(isError(vlookup(B196,'node-RE'!C:C, 1, FALSE)), "NO", "YES")</f>
        <v>NO</v>
      </c>
      <c r="D196" s="214"/>
      <c r="E196" s="214" t="s">
        <v>736</v>
      </c>
      <c r="F196" s="1"/>
      <c r="K196" s="214"/>
      <c r="L196" s="214"/>
      <c r="M196" s="214"/>
      <c r="N196" s="214"/>
    </row>
    <row r="197">
      <c r="A197" s="210" t="s">
        <v>319</v>
      </c>
      <c r="B197" s="211" t="s">
        <v>106</v>
      </c>
      <c r="C197" s="211" t="str">
        <f>if(isError(vlookup(B197,'node-RE'!C:C, 1, FALSE)), "NO", "YES")</f>
        <v>NO</v>
      </c>
      <c r="D197" s="214"/>
      <c r="E197" s="214" t="s">
        <v>736</v>
      </c>
      <c r="F197" s="1"/>
      <c r="K197" s="214"/>
      <c r="L197" s="214"/>
      <c r="M197" s="214"/>
      <c r="N197" s="214"/>
    </row>
    <row r="198">
      <c r="A198" s="210" t="s">
        <v>197</v>
      </c>
      <c r="B198" s="211" t="s">
        <v>426</v>
      </c>
      <c r="C198" s="211" t="str">
        <f>if(isError(vlookup(B198,'node-RE'!C:C, 1, FALSE)), "NO", "YES")</f>
        <v>NO</v>
      </c>
      <c r="D198" s="214"/>
      <c r="E198" s="214" t="s">
        <v>736</v>
      </c>
      <c r="F198" s="1"/>
      <c r="K198" s="214"/>
      <c r="L198" s="214"/>
      <c r="M198" s="214"/>
      <c r="N198" s="214"/>
    </row>
    <row r="199">
      <c r="A199" s="210" t="s">
        <v>436</v>
      </c>
      <c r="B199" s="211" t="s">
        <v>283</v>
      </c>
      <c r="C199" s="211" t="str">
        <f>if(isError(vlookup(B199,'node-RE'!C:C, 1, FALSE)), "NO", "YES")</f>
        <v>YES</v>
      </c>
      <c r="D199" s="214"/>
      <c r="E199" s="214" t="s">
        <v>736</v>
      </c>
      <c r="F199" s="1"/>
      <c r="K199" s="214"/>
      <c r="L199" s="214"/>
      <c r="M199" s="214"/>
      <c r="N199" s="214"/>
    </row>
    <row r="200">
      <c r="A200" s="210" t="s">
        <v>37</v>
      </c>
      <c r="B200" s="211" t="s">
        <v>113</v>
      </c>
      <c r="C200" s="211" t="str">
        <f>if(isError(vlookup(B200,'node-RE'!C:C, 1, FALSE)), "NO", "YES")</f>
        <v>NO</v>
      </c>
      <c r="D200" s="214"/>
      <c r="E200" s="214" t="s">
        <v>736</v>
      </c>
      <c r="F200" s="1"/>
      <c r="K200" s="214"/>
      <c r="L200" s="214"/>
      <c r="M200" s="214"/>
      <c r="N200" s="214"/>
    </row>
    <row r="201">
      <c r="A201" s="210" t="s">
        <v>284</v>
      </c>
      <c r="B201" s="211" t="s">
        <v>196</v>
      </c>
      <c r="C201" s="211" t="str">
        <f>if(isError(vlookup(B201,'node-RE'!C:C, 1, FALSE)), "NO", "YES")</f>
        <v>NO</v>
      </c>
      <c r="D201" s="214"/>
      <c r="E201" s="214" t="s">
        <v>736</v>
      </c>
      <c r="F201" s="1"/>
      <c r="K201" s="213"/>
      <c r="L201" s="213"/>
      <c r="M201" s="213"/>
      <c r="N201" s="213"/>
    </row>
    <row r="202">
      <c r="A202" s="210" t="s">
        <v>125</v>
      </c>
      <c r="B202" s="211" t="s">
        <v>444</v>
      </c>
      <c r="C202" s="211" t="str">
        <f>if(isError(vlookup(B202,'node-RE'!C:C, 1, FALSE)), "NO", "YES")</f>
        <v>NO</v>
      </c>
      <c r="D202" s="214"/>
      <c r="E202" s="214" t="s">
        <v>736</v>
      </c>
      <c r="F202" s="1"/>
      <c r="K202" s="214"/>
      <c r="L202" s="214"/>
      <c r="M202" s="214"/>
      <c r="N202" s="214"/>
    </row>
    <row r="203">
      <c r="A203" s="210" t="s">
        <v>334</v>
      </c>
      <c r="B203" s="211" t="s">
        <v>135</v>
      </c>
      <c r="C203" s="211" t="str">
        <f>if(isError(vlookup(B203,'node-RE'!C:C, 1, FALSE)), "NO", "YES")</f>
        <v>NO</v>
      </c>
      <c r="D203" s="214"/>
      <c r="E203" s="214" t="s">
        <v>736</v>
      </c>
      <c r="F203" s="1"/>
      <c r="K203" s="214"/>
      <c r="L203" s="214"/>
      <c r="M203" s="214"/>
      <c r="N203" s="214"/>
    </row>
    <row r="204">
      <c r="A204" s="210" t="s">
        <v>306</v>
      </c>
      <c r="B204" s="211" t="s">
        <v>192</v>
      </c>
      <c r="C204" s="211" t="str">
        <f>if(isError(vlookup(B204,'node-RE'!C:C, 1, FALSE)), "NO", "YES")</f>
        <v>NO</v>
      </c>
      <c r="D204" s="214"/>
      <c r="E204" s="214" t="s">
        <v>736</v>
      </c>
      <c r="F204" s="1"/>
      <c r="K204" s="214"/>
      <c r="L204" s="214"/>
      <c r="M204" s="214"/>
      <c r="N204" s="214"/>
    </row>
    <row r="205">
      <c r="A205" s="210" t="s">
        <v>277</v>
      </c>
      <c r="B205" s="211" t="s">
        <v>385</v>
      </c>
      <c r="C205" s="211" t="str">
        <f>if(isError(vlookup(B205,'node-RE'!C:C, 1, FALSE)), "NO", "YES")</f>
        <v>NO</v>
      </c>
      <c r="D205" s="214"/>
      <c r="E205" s="214" t="s">
        <v>736</v>
      </c>
      <c r="F205" s="1"/>
      <c r="K205" s="214"/>
      <c r="L205" s="214"/>
      <c r="M205" s="214"/>
      <c r="N205" s="214"/>
    </row>
    <row r="206">
      <c r="A206" s="210" t="s">
        <v>175</v>
      </c>
      <c r="B206" s="211" t="s">
        <v>186</v>
      </c>
      <c r="C206" s="211" t="str">
        <f>if(isError(vlookup(B206,'node-RE'!C:C, 1, FALSE)), "NO", "YES")</f>
        <v>NO</v>
      </c>
      <c r="D206" s="214"/>
      <c r="E206" s="214" t="s">
        <v>736</v>
      </c>
      <c r="F206" s="1"/>
      <c r="K206" s="214"/>
      <c r="L206" s="214"/>
      <c r="M206" s="214"/>
      <c r="N206" s="214"/>
    </row>
    <row r="207">
      <c r="A207" s="210" t="s">
        <v>227</v>
      </c>
      <c r="B207" s="211" t="s">
        <v>445</v>
      </c>
      <c r="C207" s="211" t="str">
        <f>if(isError(vlookup(B207,'node-RE'!C:C, 1, FALSE)), "NO", "YES")</f>
        <v>NO</v>
      </c>
      <c r="D207" s="214"/>
      <c r="E207" s="214" t="s">
        <v>736</v>
      </c>
      <c r="F207" s="1"/>
      <c r="K207" s="213"/>
      <c r="L207" s="213"/>
      <c r="M207" s="213"/>
      <c r="N207" s="213"/>
    </row>
    <row r="208">
      <c r="A208" s="210" t="s">
        <v>310</v>
      </c>
      <c r="B208" s="211" t="s">
        <v>319</v>
      </c>
      <c r="C208" s="211" t="str">
        <f>if(isError(vlookup(B208,'node-RE'!C:C, 1, FALSE)), "NO", "YES")</f>
        <v>NO</v>
      </c>
      <c r="D208" s="214"/>
      <c r="E208" s="214" t="s">
        <v>736</v>
      </c>
      <c r="F208" s="1"/>
      <c r="K208" s="214"/>
      <c r="L208" s="214"/>
      <c r="M208" s="214"/>
      <c r="N208" s="214"/>
    </row>
    <row r="209">
      <c r="A209" s="210" t="s">
        <v>383</v>
      </c>
      <c r="B209" s="211" t="s">
        <v>197</v>
      </c>
      <c r="C209" s="211" t="str">
        <f>if(isError(vlookup(B209,'node-RE'!C:C, 1, FALSE)), "NO", "YES")</f>
        <v>NO</v>
      </c>
      <c r="D209" s="214"/>
      <c r="E209" s="214" t="s">
        <v>736</v>
      </c>
      <c r="F209" s="1"/>
      <c r="K209" s="214"/>
      <c r="L209" s="214"/>
      <c r="M209" s="214"/>
      <c r="N209" s="214"/>
    </row>
    <row r="210">
      <c r="A210" s="210" t="s">
        <v>49</v>
      </c>
      <c r="B210" s="211" t="s">
        <v>436</v>
      </c>
      <c r="C210" s="211" t="str">
        <f>if(isError(vlookup(B210,'node-RE'!C:C, 1, FALSE)), "NO", "YES")</f>
        <v>NO</v>
      </c>
      <c r="D210" s="214"/>
      <c r="E210" s="214" t="s">
        <v>736</v>
      </c>
      <c r="F210" s="1"/>
      <c r="K210" s="214"/>
      <c r="L210" s="214"/>
      <c r="M210" s="214"/>
      <c r="N210" s="214"/>
    </row>
    <row r="211">
      <c r="A211" s="210" t="s">
        <v>395</v>
      </c>
      <c r="B211" s="211" t="s">
        <v>37</v>
      </c>
      <c r="C211" s="211" t="str">
        <f>if(isError(vlookup(B211,'node-RE'!C:C, 1, FALSE)), "NO", "YES")</f>
        <v>NO</v>
      </c>
      <c r="D211" s="214"/>
      <c r="E211" s="214" t="s">
        <v>736</v>
      </c>
      <c r="F211" s="1"/>
      <c r="K211" s="213"/>
      <c r="L211" s="213"/>
      <c r="M211" s="213"/>
      <c r="N211" s="213"/>
    </row>
    <row r="212">
      <c r="A212" s="210" t="s">
        <v>187</v>
      </c>
      <c r="B212" s="211" t="s">
        <v>284</v>
      </c>
      <c r="C212" s="211" t="str">
        <f>if(isError(vlookup(B212,'node-RE'!C:C, 1, FALSE)), "NO", "YES")</f>
        <v>NO</v>
      </c>
      <c r="D212" s="214"/>
      <c r="E212" s="214" t="s">
        <v>736</v>
      </c>
      <c r="F212" s="1"/>
      <c r="K212" s="214"/>
      <c r="L212" s="214"/>
      <c r="M212" s="214"/>
      <c r="N212" s="214"/>
    </row>
    <row r="213">
      <c r="A213" s="210" t="s">
        <v>59</v>
      </c>
      <c r="B213" s="211" t="s">
        <v>125</v>
      </c>
      <c r="C213" s="211" t="str">
        <f>if(isError(vlookup(B213,'node-RE'!C:C, 1, FALSE)), "NO", "YES")</f>
        <v>NO</v>
      </c>
      <c r="D213" s="214"/>
      <c r="E213" s="214" t="s">
        <v>736</v>
      </c>
      <c r="F213" s="1"/>
      <c r="K213" s="214"/>
      <c r="L213" s="214"/>
      <c r="M213" s="214"/>
      <c r="N213" s="214"/>
    </row>
    <row r="214">
      <c r="A214" s="210" t="s">
        <v>65</v>
      </c>
      <c r="B214" s="211" t="s">
        <v>331</v>
      </c>
      <c r="C214" s="211" t="str">
        <f>if(isError(vlookup(B214,'node-RE'!C:C, 1, FALSE)), "NO", "YES")</f>
        <v>YES</v>
      </c>
      <c r="D214" s="214"/>
      <c r="E214" s="214" t="s">
        <v>736</v>
      </c>
      <c r="F214" s="1"/>
      <c r="K214" s="214"/>
      <c r="L214" s="214"/>
      <c r="M214" s="214"/>
      <c r="N214" s="214"/>
    </row>
    <row r="215">
      <c r="A215" s="210" t="s">
        <v>119</v>
      </c>
      <c r="B215" s="211" t="s">
        <v>334</v>
      </c>
      <c r="C215" s="211" t="str">
        <f>if(isError(vlookup(B215,'node-RE'!C:C, 1, FALSE)), "NO", "YES")</f>
        <v>NO</v>
      </c>
      <c r="D215" s="214"/>
      <c r="E215" s="214" t="s">
        <v>736</v>
      </c>
      <c r="F215" s="1"/>
      <c r="K215" s="214"/>
      <c r="L215" s="214"/>
      <c r="M215" s="214"/>
      <c r="N215" s="214"/>
    </row>
    <row r="216">
      <c r="A216" s="210" t="s">
        <v>150</v>
      </c>
      <c r="B216" s="211" t="s">
        <v>306</v>
      </c>
      <c r="C216" s="211" t="str">
        <f>if(isError(vlookup(B216,'node-RE'!C:C, 1, FALSE)), "NO", "YES")</f>
        <v>NO</v>
      </c>
      <c r="D216" s="214"/>
      <c r="E216" s="214" t="s">
        <v>736</v>
      </c>
      <c r="F216" s="1"/>
      <c r="K216" s="213"/>
      <c r="L216" s="213"/>
      <c r="M216" s="213"/>
      <c r="N216" s="213"/>
    </row>
    <row r="217">
      <c r="A217" s="210" t="s">
        <v>266</v>
      </c>
      <c r="B217" s="211" t="s">
        <v>277</v>
      </c>
      <c r="C217" s="211" t="str">
        <f>if(isError(vlookup(B217,'node-RE'!C:C, 1, FALSE)), "NO", "YES")</f>
        <v>NO</v>
      </c>
      <c r="D217" s="214"/>
      <c r="E217" s="214" t="s">
        <v>736</v>
      </c>
      <c r="F217" s="1"/>
      <c r="K217" s="214"/>
      <c r="L217" s="214"/>
      <c r="M217" s="214"/>
      <c r="N217" s="214"/>
    </row>
    <row r="218">
      <c r="A218" s="210" t="s">
        <v>280</v>
      </c>
      <c r="B218" s="211" t="s">
        <v>175</v>
      </c>
      <c r="C218" s="211" t="str">
        <f>if(isError(vlookup(B218,'node-RE'!C:C, 1, FALSE)), "NO", "YES")</f>
        <v>NO</v>
      </c>
      <c r="D218" s="214"/>
      <c r="E218" s="214" t="s">
        <v>736</v>
      </c>
      <c r="F218" s="1"/>
      <c r="K218" s="214"/>
      <c r="L218" s="214"/>
      <c r="M218" s="214"/>
      <c r="N218" s="214"/>
    </row>
    <row r="219">
      <c r="A219" s="210" t="s">
        <v>73</v>
      </c>
      <c r="B219" s="211" t="s">
        <v>351</v>
      </c>
      <c r="C219" s="211" t="str">
        <f>if(isError(vlookup(B219,'node-RE'!C:C, 1, FALSE)), "NO", "YES")</f>
        <v>YES</v>
      </c>
      <c r="D219" s="214"/>
      <c r="E219" s="214" t="s">
        <v>736</v>
      </c>
      <c r="F219" s="1"/>
      <c r="K219" s="213"/>
      <c r="L219" s="213"/>
      <c r="M219" s="213"/>
      <c r="N219" s="213"/>
    </row>
    <row r="220">
      <c r="A220" s="210" t="s">
        <v>479</v>
      </c>
      <c r="B220" s="211" t="s">
        <v>227</v>
      </c>
      <c r="C220" s="211" t="str">
        <f>if(isError(vlookup(B220,'node-RE'!C:C, 1, FALSE)), "NO", "YES")</f>
        <v>NO</v>
      </c>
      <c r="D220" s="214"/>
      <c r="E220" s="214" t="s">
        <v>736</v>
      </c>
      <c r="F220" s="1"/>
      <c r="K220" s="214"/>
      <c r="L220" s="214"/>
      <c r="M220" s="214"/>
      <c r="N220" s="214"/>
    </row>
    <row r="221">
      <c r="A221" s="210" t="s">
        <v>78</v>
      </c>
      <c r="B221" s="211" t="s">
        <v>52</v>
      </c>
      <c r="C221" s="211" t="str">
        <f>if(isError(vlookup(B221,'node-RE'!C:C, 1, FALSE)), "NO", "YES")</f>
        <v>YES</v>
      </c>
      <c r="D221" s="214"/>
      <c r="E221" s="214" t="s">
        <v>736</v>
      </c>
      <c r="F221" s="1"/>
      <c r="K221" s="213"/>
      <c r="L221" s="213"/>
      <c r="M221" s="213"/>
      <c r="N221" s="213"/>
    </row>
    <row r="222">
      <c r="B222" s="211" t="s">
        <v>231</v>
      </c>
      <c r="C222" s="211" t="str">
        <f>if(isError(vlookup(B222,'node-RE'!C:C, 1, FALSE)), "NO", "YES")</f>
        <v>YES</v>
      </c>
      <c r="D222" s="214"/>
      <c r="E222" s="214" t="s">
        <v>736</v>
      </c>
      <c r="F222" s="1"/>
      <c r="K222" s="214"/>
      <c r="L222" s="214"/>
      <c r="M222" s="214"/>
      <c r="N222" s="214"/>
    </row>
    <row r="223">
      <c r="B223" s="211" t="s">
        <v>310</v>
      </c>
      <c r="C223" s="211" t="str">
        <f>if(isError(vlookup(B223,'node-RE'!C:C, 1, FALSE)), "NO", "YES")</f>
        <v>NO</v>
      </c>
      <c r="D223" s="214"/>
      <c r="E223" s="214" t="s">
        <v>736</v>
      </c>
      <c r="F223" s="1"/>
      <c r="K223" s="214"/>
      <c r="L223" s="214"/>
      <c r="M223" s="214"/>
      <c r="N223" s="214"/>
    </row>
    <row r="224">
      <c r="B224" s="211" t="s">
        <v>383</v>
      </c>
      <c r="C224" s="211" t="str">
        <f>if(isError(vlookup(B224,'node-RE'!C:C, 1, FALSE)), "NO", "YES")</f>
        <v>NO</v>
      </c>
      <c r="D224" s="214"/>
      <c r="E224" s="214" t="s">
        <v>736</v>
      </c>
      <c r="F224" s="1"/>
      <c r="K224" s="214"/>
      <c r="L224" s="214"/>
      <c r="M224" s="214"/>
      <c r="N224" s="214"/>
    </row>
    <row r="225">
      <c r="B225" s="211" t="s">
        <v>49</v>
      </c>
      <c r="C225" s="211" t="str">
        <f>if(isError(vlookup(B225,'node-RE'!C:C, 1, FALSE)), "NO", "YES")</f>
        <v>NO</v>
      </c>
      <c r="D225" s="214"/>
      <c r="E225" s="214" t="s">
        <v>736</v>
      </c>
      <c r="F225" s="1"/>
      <c r="K225" s="214"/>
      <c r="L225" s="214"/>
      <c r="M225" s="214"/>
      <c r="N225" s="214"/>
    </row>
    <row r="226">
      <c r="B226" s="211" t="s">
        <v>395</v>
      </c>
      <c r="C226" s="211" t="str">
        <f>if(isError(vlookup(B226,'node-RE'!C:C, 1, FALSE)), "NO", "YES")</f>
        <v>NO</v>
      </c>
      <c r="D226" s="214"/>
      <c r="E226" s="214" t="s">
        <v>736</v>
      </c>
      <c r="F226" s="1"/>
      <c r="K226" s="214"/>
      <c r="L226" s="214"/>
      <c r="M226" s="214"/>
      <c r="N226" s="214"/>
    </row>
    <row r="227">
      <c r="B227" s="211" t="s">
        <v>44</v>
      </c>
      <c r="C227" s="211" t="str">
        <f>if(isError(vlookup(B227,'node-RE'!C:C, 1, FALSE)), "NO", "YES")</f>
        <v>YES</v>
      </c>
      <c r="D227" s="214"/>
      <c r="E227" s="214" t="s">
        <v>736</v>
      </c>
      <c r="F227" s="1"/>
      <c r="K227" s="214"/>
      <c r="L227" s="214"/>
      <c r="M227" s="214"/>
      <c r="N227" s="214"/>
    </row>
    <row r="228">
      <c r="B228" s="211" t="s">
        <v>187</v>
      </c>
      <c r="C228" s="211" t="str">
        <f>if(isError(vlookup(B228,'node-RE'!C:C, 1, FALSE)), "NO", "YES")</f>
        <v>NO</v>
      </c>
      <c r="D228" s="214"/>
      <c r="E228" s="214" t="s">
        <v>736</v>
      </c>
      <c r="F228" s="1"/>
      <c r="K228" s="213"/>
      <c r="L228" s="213"/>
      <c r="M228" s="213"/>
      <c r="N228" s="213"/>
    </row>
    <row r="229">
      <c r="B229" s="211" t="s">
        <v>59</v>
      </c>
      <c r="C229" s="211" t="str">
        <f>if(isError(vlookup(B229,'node-RE'!C:C, 1, FALSE)), "NO", "YES")</f>
        <v>NO</v>
      </c>
      <c r="D229" s="214"/>
      <c r="E229" s="214" t="s">
        <v>736</v>
      </c>
      <c r="F229" s="1"/>
      <c r="K229" s="214"/>
      <c r="L229" s="214"/>
      <c r="M229" s="214"/>
      <c r="N229" s="214"/>
    </row>
    <row r="230">
      <c r="B230" s="211" t="s">
        <v>65</v>
      </c>
      <c r="C230" s="211" t="str">
        <f>if(isError(vlookup(B230,'node-RE'!C:C, 1, FALSE)), "NO", "YES")</f>
        <v>NO</v>
      </c>
      <c r="D230" s="214"/>
      <c r="E230" s="214" t="s">
        <v>736</v>
      </c>
      <c r="F230" s="1"/>
      <c r="K230" s="213"/>
      <c r="L230" s="213"/>
      <c r="M230" s="213"/>
      <c r="N230" s="213"/>
    </row>
    <row r="231">
      <c r="B231" s="211" t="s">
        <v>119</v>
      </c>
      <c r="C231" s="211" t="str">
        <f>if(isError(vlookup(B231,'node-RE'!C:C, 1, FALSE)), "NO", "YES")</f>
        <v>NO</v>
      </c>
      <c r="D231" s="214"/>
      <c r="E231" s="214" t="s">
        <v>736</v>
      </c>
      <c r="F231" s="1"/>
      <c r="K231" s="214"/>
      <c r="L231" s="214"/>
      <c r="M231" s="214"/>
      <c r="N231" s="214"/>
    </row>
    <row r="232">
      <c r="B232" s="211" t="s">
        <v>150</v>
      </c>
      <c r="C232" s="211" t="str">
        <f>if(isError(vlookup(B232,'node-RE'!C:C, 1, FALSE)), "NO", "YES")</f>
        <v>NO</v>
      </c>
      <c r="D232" s="214"/>
      <c r="E232" s="214" t="s">
        <v>736</v>
      </c>
      <c r="F232" s="1"/>
      <c r="K232" s="214"/>
      <c r="L232" s="214"/>
      <c r="M232" s="214"/>
      <c r="N232" s="214"/>
    </row>
    <row r="233">
      <c r="B233" s="211" t="s">
        <v>266</v>
      </c>
      <c r="C233" s="211" t="str">
        <f>if(isError(vlookup(B233,'node-RE'!C:C, 1, FALSE)), "NO", "YES")</f>
        <v>NO</v>
      </c>
      <c r="D233" s="214"/>
      <c r="E233" s="214" t="s">
        <v>736</v>
      </c>
      <c r="F233" s="1"/>
      <c r="K233" s="214"/>
      <c r="L233" s="214"/>
      <c r="M233" s="214"/>
      <c r="N233" s="214"/>
    </row>
    <row r="234">
      <c r="B234" s="211" t="s">
        <v>280</v>
      </c>
      <c r="C234" s="211" t="str">
        <f>if(isError(vlookup(B234,'node-RE'!C:C, 1, FALSE)), "NO", "YES")</f>
        <v>NO</v>
      </c>
      <c r="D234" s="214"/>
      <c r="E234" s="214" t="s">
        <v>736</v>
      </c>
      <c r="F234" s="1"/>
      <c r="K234" s="213"/>
      <c r="L234" s="213"/>
      <c r="M234" s="213"/>
      <c r="N234" s="213"/>
    </row>
    <row r="235">
      <c r="B235" s="211" t="s">
        <v>73</v>
      </c>
      <c r="C235" s="211" t="str">
        <f>if(isError(vlookup(B235,'node-RE'!C:C, 1, FALSE)), "NO", "YES")</f>
        <v>NO</v>
      </c>
      <c r="D235" s="214"/>
      <c r="E235" s="214" t="s">
        <v>736</v>
      </c>
      <c r="F235" s="1"/>
      <c r="K235" s="214"/>
      <c r="L235" s="214"/>
      <c r="M235" s="214"/>
      <c r="N235" s="214"/>
    </row>
    <row r="236">
      <c r="B236" s="211" t="s">
        <v>479</v>
      </c>
      <c r="C236" s="211" t="str">
        <f>if(isError(vlookup(B236,'node-RE'!C:C, 1, FALSE)), "NO", "YES")</f>
        <v>NO</v>
      </c>
      <c r="D236" s="214"/>
      <c r="E236" s="214" t="s">
        <v>736</v>
      </c>
      <c r="F236" s="1"/>
      <c r="K236" s="214"/>
      <c r="L236" s="214"/>
      <c r="M236" s="214"/>
      <c r="N236" s="214"/>
    </row>
    <row r="237">
      <c r="B237" s="211" t="s">
        <v>78</v>
      </c>
      <c r="C237" s="211" t="str">
        <f>if(isError(vlookup(B237,'node-RE'!C:C, 1, FALSE)), "NO", "YES")</f>
        <v>NO</v>
      </c>
      <c r="D237" s="214"/>
      <c r="E237" s="214" t="s">
        <v>736</v>
      </c>
      <c r="F237" s="1"/>
      <c r="K237" s="214"/>
      <c r="L237" s="214"/>
      <c r="M237" s="214"/>
      <c r="N237" s="214"/>
    </row>
  </sheetData>
  <mergeCells count="1">
    <mergeCell ref="A2: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7.75"/>
    <col customWidth="1" min="2" max="2" width="4.75"/>
    <col customWidth="1" min="3" max="3" width="21.63"/>
    <col customWidth="1" min="4" max="4" width="3.38"/>
    <col customWidth="1" min="5" max="5" width="34.0"/>
    <col customWidth="1" min="6" max="6" width="2.88"/>
    <col customWidth="1" min="7" max="7" width="33.0"/>
  </cols>
  <sheetData>
    <row r="1">
      <c r="A1" s="208" t="s">
        <v>737</v>
      </c>
      <c r="F1" s="93"/>
      <c r="G1" s="93"/>
    </row>
    <row r="2" ht="99.75" customHeight="1">
      <c r="A2" s="5" t="s">
        <v>738</v>
      </c>
      <c r="F2" s="5"/>
      <c r="G2" s="5"/>
    </row>
    <row r="3">
      <c r="A3" s="97" t="str">
        <f>"All reported services ("&amp;COUNTA(A4:A103)&amp;")"</f>
        <v>All reported services (100)</v>
      </c>
      <c r="B3" s="216"/>
      <c r="C3" s="209" t="str">
        <f>"Common reported services ("&amp;COUNTA(C4:C98)&amp;")"</f>
        <v>Common reported services (4)</v>
      </c>
      <c r="D3" s="209"/>
      <c r="E3" s="209" t="str">
        <f>"Downstream reported services ("&amp;COUNTA(E4:E98)&amp;")"</f>
        <v>Downstream reported services (32)</v>
      </c>
      <c r="F3" s="209"/>
      <c r="G3" s="209" t="str">
        <f>"Upstream reported services ("&amp;COUNTA(G4:G98)&amp;")"</f>
        <v>Upstream reported services (72)</v>
      </c>
    </row>
    <row r="4" ht="20.25" customHeight="1">
      <c r="A4" s="217" t="s">
        <v>286</v>
      </c>
      <c r="B4" s="218"/>
      <c r="C4" s="219" t="str">
        <f>vlookup(E8,G:G,1,FALSE)</f>
        <v>Ewaste</v>
      </c>
      <c r="D4" s="220"/>
      <c r="E4" s="220" t="s">
        <v>519</v>
      </c>
      <c r="F4" s="218"/>
      <c r="G4" s="218" t="s">
        <v>286</v>
      </c>
    </row>
    <row r="5" ht="20.25" customHeight="1">
      <c r="A5" s="217" t="s">
        <v>358</v>
      </c>
      <c r="B5" s="218"/>
      <c r="C5" s="219" t="str">
        <f>vlookup(E14,G:G,1,FALSE)</f>
        <v>Hazardous waste management (used tyres)</v>
      </c>
      <c r="D5" s="220"/>
      <c r="E5" s="220" t="s">
        <v>533</v>
      </c>
      <c r="F5" s="218"/>
      <c r="G5" s="218" t="s">
        <v>358</v>
      </c>
    </row>
    <row r="6" ht="20.25" customHeight="1">
      <c r="A6" s="221" t="s">
        <v>519</v>
      </c>
      <c r="B6" s="220"/>
      <c r="C6" s="219" t="str">
        <f>vlookup(E19,G:G,1,FALSE)</f>
        <v>Not provided</v>
      </c>
      <c r="D6" s="220"/>
      <c r="E6" s="220" t="s">
        <v>489</v>
      </c>
      <c r="F6" s="218"/>
      <c r="G6" s="218" t="s">
        <v>103</v>
      </c>
    </row>
    <row r="7" ht="20.25" customHeight="1">
      <c r="A7" s="217" t="s">
        <v>103</v>
      </c>
      <c r="B7" s="218"/>
      <c r="C7" s="219" t="str">
        <f>vlookup(E30,G:G,1,FALSE)</f>
        <v>Transport</v>
      </c>
      <c r="D7" s="220"/>
      <c r="E7" s="220" t="s">
        <v>525</v>
      </c>
      <c r="F7" s="218"/>
      <c r="G7" s="218" t="s">
        <v>384</v>
      </c>
    </row>
    <row r="8" ht="20.25" customHeight="1">
      <c r="A8" s="217" t="s">
        <v>384</v>
      </c>
      <c r="B8" s="218"/>
      <c r="C8" s="220"/>
      <c r="D8" s="220"/>
      <c r="E8" s="220" t="s">
        <v>321</v>
      </c>
      <c r="F8" s="218"/>
      <c r="G8" s="218" t="s">
        <v>338</v>
      </c>
    </row>
    <row r="9" ht="20.25" customHeight="1">
      <c r="A9" s="221" t="s">
        <v>533</v>
      </c>
      <c r="B9" s="220"/>
      <c r="C9" s="220"/>
      <c r="D9" s="220"/>
      <c r="E9" s="220" t="s">
        <v>527</v>
      </c>
      <c r="F9" s="218"/>
      <c r="G9" s="218" t="s">
        <v>298</v>
      </c>
    </row>
    <row r="10" ht="20.25" customHeight="1">
      <c r="A10" s="217" t="s">
        <v>338</v>
      </c>
      <c r="B10" s="218"/>
      <c r="C10" s="220"/>
      <c r="D10" s="220"/>
      <c r="E10" s="220" t="s">
        <v>512</v>
      </c>
      <c r="F10" s="218"/>
      <c r="G10" s="218" t="s">
        <v>289</v>
      </c>
    </row>
    <row r="11" ht="20.25" customHeight="1">
      <c r="A11" s="217" t="s">
        <v>298</v>
      </c>
      <c r="B11" s="218"/>
      <c r="C11" s="220"/>
      <c r="D11" s="220"/>
      <c r="E11" s="220" t="s">
        <v>459</v>
      </c>
      <c r="F11" s="218"/>
      <c r="G11" s="218" t="s">
        <v>376</v>
      </c>
    </row>
    <row r="12" ht="20.25" customHeight="1">
      <c r="A12" s="217" t="s">
        <v>289</v>
      </c>
      <c r="B12" s="218"/>
      <c r="C12" s="220"/>
      <c r="D12" s="220"/>
      <c r="E12" s="220" t="s">
        <v>468</v>
      </c>
      <c r="F12" s="218"/>
      <c r="G12" s="218" t="s">
        <v>202</v>
      </c>
    </row>
    <row r="13" ht="20.25" customHeight="1">
      <c r="A13" s="217" t="s">
        <v>376</v>
      </c>
      <c r="B13" s="218"/>
      <c r="C13" s="220"/>
      <c r="D13" s="220"/>
      <c r="E13" s="220" t="s">
        <v>532</v>
      </c>
      <c r="F13" s="218"/>
      <c r="G13" s="218" t="s">
        <v>335</v>
      </c>
    </row>
    <row r="14" ht="20.25" customHeight="1">
      <c r="A14" s="217" t="s">
        <v>202</v>
      </c>
      <c r="B14" s="218"/>
      <c r="C14" s="220"/>
      <c r="D14" s="220"/>
      <c r="E14" s="220" t="s">
        <v>348</v>
      </c>
      <c r="F14" s="218"/>
      <c r="G14" s="218" t="s">
        <v>354</v>
      </c>
    </row>
    <row r="15" ht="20.25" customHeight="1">
      <c r="A15" s="217" t="s">
        <v>335</v>
      </c>
      <c r="B15" s="218"/>
      <c r="C15" s="220"/>
      <c r="D15" s="220"/>
      <c r="E15" s="220" t="s">
        <v>481</v>
      </c>
      <c r="F15" s="218"/>
      <c r="G15" s="218" t="s">
        <v>176</v>
      </c>
    </row>
    <row r="16" ht="20.25" customHeight="1">
      <c r="A16" s="217" t="s">
        <v>354</v>
      </c>
      <c r="B16" s="218"/>
      <c r="C16" s="220"/>
      <c r="D16" s="220"/>
      <c r="E16" s="220" t="s">
        <v>472</v>
      </c>
      <c r="F16" s="218"/>
      <c r="G16" s="218" t="s">
        <v>311</v>
      </c>
    </row>
    <row r="17" ht="20.25" customHeight="1">
      <c r="A17" s="217" t="s">
        <v>176</v>
      </c>
      <c r="B17" s="218"/>
      <c r="C17" s="220"/>
      <c r="D17" s="220"/>
      <c r="E17" s="220" t="s">
        <v>534</v>
      </c>
      <c r="F17" s="218"/>
      <c r="G17" s="218" t="s">
        <v>307</v>
      </c>
    </row>
    <row r="18" ht="20.25" customHeight="1">
      <c r="A18" s="221" t="s">
        <v>489</v>
      </c>
      <c r="B18" s="220"/>
      <c r="C18" s="220"/>
      <c r="D18" s="220"/>
      <c r="E18" s="220" t="s">
        <v>475</v>
      </c>
      <c r="F18" s="218"/>
      <c r="G18" s="218" t="s">
        <v>345</v>
      </c>
    </row>
    <row r="19" ht="20.25" customHeight="1">
      <c r="A19" s="217" t="s">
        <v>311</v>
      </c>
      <c r="B19" s="218"/>
      <c r="C19" s="220"/>
      <c r="D19" s="220"/>
      <c r="E19" s="220" t="s">
        <v>34</v>
      </c>
      <c r="F19" s="218"/>
      <c r="G19" s="218" t="s">
        <v>318</v>
      </c>
    </row>
    <row r="20" ht="20.25" customHeight="1">
      <c r="A20" s="217" t="s">
        <v>307</v>
      </c>
      <c r="B20" s="218"/>
      <c r="C20" s="220"/>
      <c r="D20" s="220"/>
      <c r="E20" s="220" t="s">
        <v>516</v>
      </c>
      <c r="F20" s="218"/>
      <c r="G20" s="218" t="s">
        <v>228</v>
      </c>
    </row>
    <row r="21" ht="20.25" customHeight="1">
      <c r="A21" s="217" t="s">
        <v>345</v>
      </c>
      <c r="B21" s="218"/>
      <c r="C21" s="220"/>
      <c r="D21" s="220"/>
      <c r="E21" s="220" t="s">
        <v>530</v>
      </c>
      <c r="F21" s="218"/>
      <c r="G21" s="218" t="s">
        <v>115</v>
      </c>
    </row>
    <row r="22" ht="20.25" customHeight="1">
      <c r="A22" s="221" t="s">
        <v>525</v>
      </c>
      <c r="B22" s="220"/>
      <c r="C22" s="220"/>
      <c r="D22" s="220"/>
      <c r="E22" s="220" t="s">
        <v>438</v>
      </c>
      <c r="F22" s="218"/>
      <c r="G22" s="218" t="s">
        <v>180</v>
      </c>
    </row>
    <row r="23" ht="20.25" customHeight="1">
      <c r="A23" s="217" t="s">
        <v>318</v>
      </c>
      <c r="B23" s="218"/>
      <c r="C23" s="220"/>
      <c r="D23" s="220"/>
      <c r="E23" s="220" t="s">
        <v>498</v>
      </c>
      <c r="F23" s="218"/>
      <c r="G23" s="218" t="s">
        <v>111</v>
      </c>
    </row>
    <row r="24" ht="20.25" customHeight="1">
      <c r="A24" s="217" t="s">
        <v>228</v>
      </c>
      <c r="B24" s="218"/>
      <c r="C24" s="220"/>
      <c r="D24" s="220"/>
      <c r="E24" s="220" t="s">
        <v>421</v>
      </c>
      <c r="F24" s="218"/>
      <c r="G24" s="218" t="s">
        <v>93</v>
      </c>
    </row>
    <row r="25" ht="20.25" customHeight="1">
      <c r="A25" s="217" t="s">
        <v>115</v>
      </c>
      <c r="B25" s="218"/>
      <c r="C25" s="220"/>
      <c r="D25" s="220"/>
      <c r="E25" s="220" t="s">
        <v>429</v>
      </c>
      <c r="F25" s="218"/>
      <c r="G25" s="218" t="s">
        <v>99</v>
      </c>
    </row>
    <row r="26" ht="20.25" customHeight="1">
      <c r="A26" s="217" t="s">
        <v>180</v>
      </c>
      <c r="B26" s="218"/>
      <c r="C26" s="220"/>
      <c r="D26" s="220"/>
      <c r="E26" s="220" t="s">
        <v>485</v>
      </c>
      <c r="F26" s="218"/>
      <c r="G26" s="218" t="s">
        <v>159</v>
      </c>
    </row>
    <row r="27" ht="20.25" customHeight="1">
      <c r="A27" s="217" t="s">
        <v>111</v>
      </c>
      <c r="B27" s="218"/>
      <c r="C27" s="220"/>
      <c r="D27" s="220"/>
      <c r="E27" s="220" t="s">
        <v>524</v>
      </c>
      <c r="F27" s="218"/>
      <c r="G27" s="218" t="s">
        <v>153</v>
      </c>
    </row>
    <row r="28" ht="20.25" customHeight="1">
      <c r="A28" s="217" t="s">
        <v>93</v>
      </c>
      <c r="B28" s="218"/>
      <c r="C28" s="220"/>
      <c r="D28" s="220"/>
      <c r="E28" s="220" t="s">
        <v>465</v>
      </c>
      <c r="F28" s="218"/>
      <c r="G28" s="218" t="s">
        <v>317</v>
      </c>
    </row>
    <row r="29" ht="20.25" customHeight="1">
      <c r="A29" s="217" t="s">
        <v>99</v>
      </c>
      <c r="B29" s="218"/>
      <c r="C29" s="220"/>
      <c r="D29" s="220"/>
      <c r="E29" s="220" t="s">
        <v>523</v>
      </c>
      <c r="F29" s="218"/>
      <c r="G29" s="218" t="s">
        <v>321</v>
      </c>
    </row>
    <row r="30" ht="20.25" customHeight="1">
      <c r="A30" s="217" t="s">
        <v>159</v>
      </c>
      <c r="B30" s="218"/>
      <c r="C30" s="220"/>
      <c r="D30" s="220"/>
      <c r="E30" s="220" t="s">
        <v>36</v>
      </c>
      <c r="F30" s="218"/>
      <c r="G30" s="218" t="s">
        <v>209</v>
      </c>
    </row>
    <row r="31" ht="20.25" customHeight="1">
      <c r="A31" s="217" t="s">
        <v>153</v>
      </c>
      <c r="B31" s="218"/>
      <c r="C31" s="220"/>
      <c r="D31" s="220"/>
      <c r="E31" s="220" t="s">
        <v>452</v>
      </c>
      <c r="F31" s="218"/>
      <c r="G31" s="218" t="s">
        <v>366</v>
      </c>
    </row>
    <row r="32" ht="20.25" customHeight="1">
      <c r="A32" s="217" t="s">
        <v>317</v>
      </c>
      <c r="B32" s="218"/>
      <c r="C32" s="220"/>
      <c r="D32" s="220"/>
      <c r="E32" s="220" t="s">
        <v>484</v>
      </c>
      <c r="F32" s="218"/>
      <c r="G32" s="218" t="s">
        <v>85</v>
      </c>
    </row>
    <row r="33" ht="20.25" customHeight="1">
      <c r="A33" s="222" t="s">
        <v>321</v>
      </c>
      <c r="B33" s="220"/>
      <c r="C33" s="220"/>
      <c r="D33" s="220"/>
      <c r="E33" s="220" t="s">
        <v>457</v>
      </c>
      <c r="F33" s="218"/>
      <c r="G33" s="218" t="s">
        <v>313</v>
      </c>
    </row>
    <row r="34" ht="20.25" customHeight="1">
      <c r="A34" s="221" t="s">
        <v>527</v>
      </c>
      <c r="B34" s="218"/>
      <c r="C34" s="220"/>
      <c r="D34" s="220"/>
      <c r="E34" s="220" t="s">
        <v>372</v>
      </c>
      <c r="F34" s="218"/>
      <c r="G34" s="218" t="s">
        <v>214</v>
      </c>
    </row>
    <row r="35" ht="20.25" customHeight="1">
      <c r="A35" s="217" t="s">
        <v>209</v>
      </c>
      <c r="B35" s="220"/>
      <c r="C35" s="220"/>
      <c r="D35" s="220"/>
      <c r="E35" s="220" t="s">
        <v>521</v>
      </c>
      <c r="F35" s="218"/>
      <c r="G35" s="218" t="s">
        <v>348</v>
      </c>
    </row>
    <row r="36" ht="20.25" customHeight="1">
      <c r="A36" s="221" t="s">
        <v>512</v>
      </c>
      <c r="B36" s="218"/>
      <c r="F36" s="218"/>
      <c r="G36" s="218" t="s">
        <v>70</v>
      </c>
    </row>
    <row r="37" ht="20.25" customHeight="1">
      <c r="A37" s="217" t="s">
        <v>366</v>
      </c>
      <c r="B37" s="220"/>
      <c r="F37" s="218"/>
      <c r="G37" s="218" t="s">
        <v>168</v>
      </c>
    </row>
    <row r="38" ht="20.25" customHeight="1">
      <c r="A38" s="217" t="s">
        <v>85</v>
      </c>
      <c r="B38" s="218"/>
      <c r="F38" s="218"/>
      <c r="G38" s="218" t="s">
        <v>182</v>
      </c>
    </row>
    <row r="39" ht="20.25" customHeight="1">
      <c r="A39" s="217" t="s">
        <v>313</v>
      </c>
      <c r="B39" s="218"/>
      <c r="F39" s="218"/>
      <c r="G39" s="218" t="s">
        <v>233</v>
      </c>
    </row>
    <row r="40" ht="20.25" customHeight="1">
      <c r="A40" s="217" t="s">
        <v>214</v>
      </c>
      <c r="B40" s="218"/>
      <c r="F40" s="218"/>
      <c r="G40" s="218" t="s">
        <v>138</v>
      </c>
    </row>
    <row r="41" ht="20.25" customHeight="1">
      <c r="A41" s="221" t="s">
        <v>459</v>
      </c>
      <c r="B41" s="218"/>
      <c r="F41" s="218"/>
      <c r="G41" s="218" t="s">
        <v>339</v>
      </c>
    </row>
    <row r="42" ht="20.25" customHeight="1">
      <c r="A42" s="221" t="s">
        <v>468</v>
      </c>
      <c r="B42" s="220"/>
      <c r="F42" s="218"/>
      <c r="G42" s="218" t="s">
        <v>332</v>
      </c>
    </row>
    <row r="43" ht="20.25" customHeight="1">
      <c r="A43" s="221" t="s">
        <v>532</v>
      </c>
      <c r="B43" s="220"/>
      <c r="F43" s="218"/>
      <c r="G43" s="218" t="s">
        <v>320</v>
      </c>
    </row>
    <row r="44" ht="20.25" customHeight="1">
      <c r="A44" s="222" t="s">
        <v>348</v>
      </c>
      <c r="B44" s="220"/>
      <c r="F44" s="218"/>
      <c r="G44" s="218" t="s">
        <v>363</v>
      </c>
    </row>
    <row r="45" ht="20.25" customHeight="1">
      <c r="A45" s="217" t="s">
        <v>70</v>
      </c>
      <c r="B45" s="220"/>
      <c r="F45" s="218"/>
      <c r="G45" s="218" t="s">
        <v>309</v>
      </c>
    </row>
    <row r="46" ht="20.25" customHeight="1">
      <c r="A46" s="217" t="s">
        <v>168</v>
      </c>
      <c r="B46" s="218"/>
      <c r="F46" s="218"/>
      <c r="G46" s="218" t="s">
        <v>257</v>
      </c>
    </row>
    <row r="47" ht="20.25" customHeight="1">
      <c r="A47" s="217" t="s">
        <v>182</v>
      </c>
      <c r="B47" s="218"/>
      <c r="F47" s="218"/>
      <c r="G47" s="218" t="s">
        <v>397</v>
      </c>
    </row>
    <row r="48" ht="20.25" customHeight="1">
      <c r="A48" s="221" t="s">
        <v>481</v>
      </c>
      <c r="B48" s="218"/>
      <c r="F48" s="218"/>
      <c r="G48" s="218" t="s">
        <v>34</v>
      </c>
    </row>
    <row r="49" ht="20.25" customHeight="1">
      <c r="A49" s="217" t="s">
        <v>233</v>
      </c>
      <c r="B49" s="218"/>
      <c r="F49" s="218"/>
      <c r="G49" s="218" t="s">
        <v>400</v>
      </c>
    </row>
    <row r="50" ht="20.25" customHeight="1">
      <c r="A50" s="217" t="s">
        <v>138</v>
      </c>
      <c r="B50" s="220"/>
      <c r="F50" s="218"/>
      <c r="G50" s="218" t="s">
        <v>394</v>
      </c>
    </row>
    <row r="51" ht="20.25" customHeight="1">
      <c r="A51" s="217" t="s">
        <v>339</v>
      </c>
      <c r="B51" s="218"/>
      <c r="F51" s="218"/>
      <c r="G51" s="218" t="s">
        <v>398</v>
      </c>
    </row>
    <row r="52" ht="20.25" customHeight="1">
      <c r="A52" s="221" t="s">
        <v>472</v>
      </c>
      <c r="B52" s="218"/>
      <c r="F52" s="218"/>
      <c r="G52" s="218" t="s">
        <v>387</v>
      </c>
    </row>
    <row r="53" ht="20.25" customHeight="1">
      <c r="A53" s="217" t="s">
        <v>332</v>
      </c>
      <c r="B53" s="218"/>
      <c r="F53" s="218"/>
      <c r="G53" s="218" t="s">
        <v>382</v>
      </c>
    </row>
    <row r="54" ht="20.25" customHeight="1">
      <c r="A54" s="217" t="s">
        <v>320</v>
      </c>
      <c r="B54" s="220"/>
      <c r="F54" s="218"/>
      <c r="G54" s="218" t="s">
        <v>404</v>
      </c>
    </row>
    <row r="55" ht="20.25" customHeight="1">
      <c r="A55" s="217" t="s">
        <v>363</v>
      </c>
      <c r="B55" s="218"/>
      <c r="F55" s="218"/>
      <c r="G55" s="218" t="s">
        <v>156</v>
      </c>
    </row>
    <row r="56" ht="20.25" customHeight="1">
      <c r="A56" s="217" t="s">
        <v>309</v>
      </c>
      <c r="B56" s="218"/>
      <c r="F56" s="218"/>
      <c r="G56" s="218" t="s">
        <v>370</v>
      </c>
    </row>
    <row r="57" ht="20.25" customHeight="1">
      <c r="A57" s="217" t="s">
        <v>257</v>
      </c>
      <c r="B57" s="218"/>
      <c r="F57" s="218"/>
      <c r="G57" s="218" t="s">
        <v>120</v>
      </c>
    </row>
    <row r="58" ht="20.25" customHeight="1">
      <c r="A58" s="221" t="s">
        <v>534</v>
      </c>
      <c r="B58" s="218"/>
      <c r="F58" s="218"/>
      <c r="G58" s="218" t="s">
        <v>300</v>
      </c>
    </row>
    <row r="59" ht="20.25" customHeight="1">
      <c r="A59" s="221" t="s">
        <v>475</v>
      </c>
      <c r="B59" s="218"/>
      <c r="F59" s="218"/>
      <c r="G59" s="218" t="s">
        <v>352</v>
      </c>
    </row>
    <row r="60" ht="20.25" customHeight="1">
      <c r="A60" s="217" t="s">
        <v>397</v>
      </c>
      <c r="B60" s="220"/>
      <c r="F60" s="218"/>
      <c r="G60" s="218" t="s">
        <v>380</v>
      </c>
    </row>
    <row r="61" ht="20.25" customHeight="1">
      <c r="A61" s="221" t="s">
        <v>516</v>
      </c>
      <c r="B61" s="220"/>
      <c r="F61" s="218"/>
      <c r="G61" s="218" t="s">
        <v>295</v>
      </c>
    </row>
    <row r="62" ht="20.25" customHeight="1">
      <c r="A62" s="217" t="s">
        <v>400</v>
      </c>
      <c r="B62" s="218"/>
      <c r="F62" s="218"/>
      <c r="G62" s="218" t="s">
        <v>292</v>
      </c>
    </row>
    <row r="63" ht="20.25" customHeight="1">
      <c r="A63" s="217" t="s">
        <v>394</v>
      </c>
      <c r="B63" s="220"/>
      <c r="F63" s="218"/>
      <c r="G63" s="218" t="s">
        <v>96</v>
      </c>
    </row>
    <row r="64" ht="20.25" customHeight="1">
      <c r="A64" s="217" t="s">
        <v>398</v>
      </c>
      <c r="B64" s="218"/>
      <c r="F64" s="218"/>
      <c r="G64" s="218" t="s">
        <v>248</v>
      </c>
    </row>
    <row r="65" ht="20.25" customHeight="1">
      <c r="A65" s="217" t="s">
        <v>387</v>
      </c>
      <c r="B65" s="220"/>
      <c r="F65" s="218"/>
      <c r="G65" s="218" t="s">
        <v>36</v>
      </c>
    </row>
    <row r="66" ht="20.25" customHeight="1">
      <c r="A66" s="217" t="s">
        <v>382</v>
      </c>
      <c r="B66" s="218"/>
      <c r="F66" s="218"/>
      <c r="G66" s="218" t="s">
        <v>30</v>
      </c>
    </row>
    <row r="67" ht="20.25" customHeight="1">
      <c r="A67" s="217" t="s">
        <v>404</v>
      </c>
      <c r="B67" s="218"/>
      <c r="F67" s="218"/>
      <c r="G67" s="218" t="s">
        <v>131</v>
      </c>
    </row>
    <row r="68" ht="20.25" customHeight="1">
      <c r="A68" s="217" t="s">
        <v>156</v>
      </c>
      <c r="B68" s="218"/>
      <c r="F68" s="218"/>
      <c r="G68" s="218" t="s">
        <v>45</v>
      </c>
    </row>
    <row r="69" ht="20.25" customHeight="1">
      <c r="A69" s="217" t="s">
        <v>370</v>
      </c>
      <c r="B69" s="218"/>
      <c r="F69" s="218"/>
      <c r="G69" s="218" t="s">
        <v>147</v>
      </c>
    </row>
    <row r="70" ht="20.25" customHeight="1">
      <c r="A70" s="221" t="s">
        <v>530</v>
      </c>
      <c r="B70" s="218"/>
      <c r="F70" s="218"/>
      <c r="G70" s="218" t="s">
        <v>224</v>
      </c>
    </row>
    <row r="71" ht="20.25" customHeight="1">
      <c r="A71" s="221" t="s">
        <v>438</v>
      </c>
      <c r="B71" s="218"/>
      <c r="F71" s="218"/>
      <c r="G71" s="218" t="s">
        <v>218</v>
      </c>
    </row>
    <row r="72" ht="20.25" customHeight="1">
      <c r="A72" s="221" t="s">
        <v>498</v>
      </c>
      <c r="B72" s="218"/>
      <c r="F72" s="218"/>
      <c r="G72" s="218" t="s">
        <v>253</v>
      </c>
    </row>
    <row r="73" ht="20.25" customHeight="1">
      <c r="A73" s="221" t="s">
        <v>421</v>
      </c>
      <c r="B73" s="218"/>
      <c r="F73" s="218"/>
      <c r="G73" s="218" t="s">
        <v>172</v>
      </c>
    </row>
    <row r="74" ht="20.25" customHeight="1">
      <c r="A74" s="221" t="s">
        <v>429</v>
      </c>
      <c r="B74" s="220"/>
      <c r="F74" s="218"/>
      <c r="G74" s="218" t="s">
        <v>108</v>
      </c>
    </row>
    <row r="75" ht="20.25" customHeight="1">
      <c r="A75" s="217" t="s">
        <v>120</v>
      </c>
      <c r="B75" s="220"/>
      <c r="F75" s="218"/>
      <c r="G75" s="218" t="s">
        <v>144</v>
      </c>
    </row>
    <row r="76" ht="20.25" customHeight="1">
      <c r="A76" s="221" t="s">
        <v>485</v>
      </c>
      <c r="B76" s="220"/>
    </row>
    <row r="77" ht="20.25" customHeight="1">
      <c r="A77" s="217" t="s">
        <v>300</v>
      </c>
      <c r="B77" s="220"/>
    </row>
    <row r="78" ht="20.25" customHeight="1">
      <c r="A78" s="217" t="s">
        <v>352</v>
      </c>
      <c r="B78" s="220"/>
    </row>
    <row r="79" ht="20.25" customHeight="1">
      <c r="A79" s="221" t="s">
        <v>524</v>
      </c>
      <c r="B79" s="218"/>
    </row>
    <row r="80" ht="20.25" customHeight="1">
      <c r="A80" s="221" t="s">
        <v>465</v>
      </c>
      <c r="B80" s="220"/>
    </row>
    <row r="81" ht="20.25" customHeight="1">
      <c r="A81" s="217" t="s">
        <v>380</v>
      </c>
      <c r="B81" s="218"/>
    </row>
    <row r="82" ht="20.25" customHeight="1">
      <c r="A82" s="221" t="s">
        <v>523</v>
      </c>
      <c r="B82" s="218"/>
    </row>
    <row r="83" ht="20.25" customHeight="1">
      <c r="A83" s="217" t="s">
        <v>295</v>
      </c>
      <c r="B83" s="220"/>
    </row>
    <row r="84" ht="20.25" customHeight="1">
      <c r="A84" s="217" t="s">
        <v>292</v>
      </c>
      <c r="B84" s="220"/>
    </row>
    <row r="85" ht="20.25" customHeight="1">
      <c r="A85" s="217" t="s">
        <v>96</v>
      </c>
      <c r="B85" s="218"/>
    </row>
    <row r="86" ht="20.25" customHeight="1">
      <c r="A86" s="217" t="s">
        <v>248</v>
      </c>
      <c r="B86" s="220"/>
    </row>
    <row r="87" ht="20.25" customHeight="1">
      <c r="A87" s="222" t="s">
        <v>36</v>
      </c>
      <c r="B87" s="218"/>
    </row>
    <row r="88" ht="20.25" customHeight="1">
      <c r="A88" s="217" t="s">
        <v>30</v>
      </c>
      <c r="B88" s="218"/>
    </row>
    <row r="89" ht="20.25" customHeight="1">
      <c r="A89" s="217" t="s">
        <v>131</v>
      </c>
      <c r="B89" s="218"/>
    </row>
    <row r="90" ht="20.25" customHeight="1">
      <c r="A90" s="217" t="s">
        <v>45</v>
      </c>
      <c r="B90" s="218"/>
    </row>
    <row r="91" ht="20.25" customHeight="1">
      <c r="A91" s="221" t="s">
        <v>452</v>
      </c>
      <c r="B91" s="220"/>
    </row>
    <row r="92" ht="20.25" customHeight="1">
      <c r="A92" s="221" t="s">
        <v>484</v>
      </c>
      <c r="B92" s="218"/>
    </row>
    <row r="93" ht="20.25" customHeight="1">
      <c r="A93" s="217" t="s">
        <v>147</v>
      </c>
      <c r="B93" s="218"/>
    </row>
    <row r="94" ht="20.25" customHeight="1">
      <c r="A94" s="221" t="s">
        <v>457</v>
      </c>
      <c r="B94" s="218"/>
    </row>
    <row r="95" ht="20.25" customHeight="1">
      <c r="A95" s="217" t="s">
        <v>224</v>
      </c>
      <c r="B95" s="220"/>
    </row>
    <row r="96" ht="20.25" customHeight="1">
      <c r="A96" s="217" t="s">
        <v>218</v>
      </c>
      <c r="B96" s="220"/>
    </row>
    <row r="97" ht="20.25" customHeight="1">
      <c r="A97" s="217" t="s">
        <v>253</v>
      </c>
      <c r="B97" s="218"/>
    </row>
    <row r="98" ht="20.25" customHeight="1">
      <c r="A98" s="217" t="s">
        <v>172</v>
      </c>
      <c r="B98" s="220"/>
    </row>
    <row r="99" ht="20.25" customHeight="1">
      <c r="A99" s="221" t="s">
        <v>372</v>
      </c>
      <c r="B99" s="218"/>
    </row>
    <row r="100" ht="20.25" customHeight="1">
      <c r="A100" s="221" t="s">
        <v>521</v>
      </c>
      <c r="B100" s="218"/>
    </row>
    <row r="101" ht="20.25" customHeight="1">
      <c r="A101" s="217" t="s">
        <v>108</v>
      </c>
      <c r="B101" s="218"/>
    </row>
    <row r="102" ht="20.25" customHeight="1">
      <c r="A102" s="217" t="s">
        <v>144</v>
      </c>
      <c r="B102" s="218"/>
    </row>
    <row r="103" ht="20.25" customHeight="1">
      <c r="A103" s="222" t="s">
        <v>34</v>
      </c>
      <c r="B103" s="220"/>
    </row>
  </sheetData>
  <mergeCells count="1">
    <mergeCell ref="A2: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1.63"/>
    <col customWidth="1" min="2" max="2" width="8.13"/>
    <col customWidth="1" min="3" max="3" width="17.75"/>
    <col customWidth="1" min="4" max="4" width="3.0"/>
    <col customWidth="1" min="5" max="5" width="17.75"/>
    <col customWidth="1" min="6" max="6" width="6.88"/>
    <col customWidth="1" min="7" max="7" width="22.5"/>
    <col customWidth="1" min="8" max="8" width="18.25"/>
  </cols>
  <sheetData>
    <row r="1">
      <c r="A1" s="208" t="s">
        <v>739</v>
      </c>
      <c r="H1" s="93"/>
    </row>
    <row r="2" ht="116.25" customHeight="1">
      <c r="A2" s="5" t="s">
        <v>740</v>
      </c>
      <c r="G2" s="5"/>
      <c r="H2" s="5"/>
    </row>
    <row r="3">
      <c r="A3" s="97" t="s">
        <v>741</v>
      </c>
      <c r="B3" s="216"/>
      <c r="C3" s="223" t="s">
        <v>742</v>
      </c>
      <c r="D3" s="223"/>
      <c r="E3" s="224" t="s">
        <v>743</v>
      </c>
      <c r="F3" s="223"/>
      <c r="G3" s="223" t="s">
        <v>744</v>
      </c>
      <c r="H3" s="223" t="s">
        <v>745</v>
      </c>
    </row>
    <row r="4">
      <c r="A4" s="225" t="s">
        <v>104</v>
      </c>
      <c r="B4" s="226"/>
      <c r="C4" s="227" t="s">
        <v>461</v>
      </c>
      <c r="D4" s="228" t="s">
        <v>733</v>
      </c>
      <c r="E4" s="229" t="str">
        <f>'analysis-rv-services'!A24</f>
        <v>Waste disposal</v>
      </c>
      <c r="F4" s="226"/>
      <c r="G4" s="226" t="s">
        <v>461</v>
      </c>
      <c r="H4" s="212" t="s">
        <v>104</v>
      </c>
    </row>
    <row r="5">
      <c r="A5" s="225" t="s">
        <v>289</v>
      </c>
      <c r="B5" s="226"/>
      <c r="C5" s="230" t="s">
        <v>185</v>
      </c>
      <c r="D5" s="231" t="s">
        <v>733</v>
      </c>
      <c r="E5" s="232" t="str">
        <f>'analysis-rv-services'!A8</f>
        <v>Feedstock</v>
      </c>
      <c r="F5" s="226"/>
      <c r="G5" s="226" t="s">
        <v>185</v>
      </c>
      <c r="H5" s="212" t="s">
        <v>289</v>
      </c>
    </row>
    <row r="6">
      <c r="A6" s="225" t="s">
        <v>72</v>
      </c>
      <c r="B6" s="226"/>
      <c r="C6" s="230" t="s">
        <v>235</v>
      </c>
      <c r="D6" s="231" t="s">
        <v>733</v>
      </c>
      <c r="E6" s="232" t="str">
        <f>vlookup(G6,H:H,1,FALSE)</f>
        <v>Gas</v>
      </c>
      <c r="F6" s="226"/>
      <c r="G6" s="226" t="s">
        <v>235</v>
      </c>
      <c r="H6" s="212" t="s">
        <v>72</v>
      </c>
    </row>
    <row r="7">
      <c r="A7" s="225" t="s">
        <v>154</v>
      </c>
      <c r="B7" s="226"/>
      <c r="C7" s="230" t="s">
        <v>483</v>
      </c>
      <c r="D7" s="231" t="s">
        <v>733</v>
      </c>
      <c r="E7" s="233" t="str">
        <f>'analysis-rv-services'!A10</f>
        <v>Gas</v>
      </c>
      <c r="F7" s="226"/>
      <c r="G7" s="226" t="s">
        <v>483</v>
      </c>
      <c r="H7" s="212" t="s">
        <v>154</v>
      </c>
    </row>
    <row r="8">
      <c r="A8" s="225" t="s">
        <v>87</v>
      </c>
      <c r="B8" s="226"/>
      <c r="C8" s="230" t="s">
        <v>34</v>
      </c>
      <c r="D8" s="231" t="s">
        <v>733</v>
      </c>
      <c r="E8" s="232" t="str">
        <f t="shared" ref="E8:E10" si="1">G8</f>
        <v>Not provided</v>
      </c>
      <c r="F8" s="226"/>
      <c r="G8" s="226" t="s">
        <v>34</v>
      </c>
      <c r="H8" s="212" t="s">
        <v>87</v>
      </c>
    </row>
    <row r="9">
      <c r="A9" s="225" t="s">
        <v>214</v>
      </c>
      <c r="B9" s="226"/>
      <c r="C9" s="230" t="s">
        <v>476</v>
      </c>
      <c r="D9" s="231" t="s">
        <v>733</v>
      </c>
      <c r="E9" s="232" t="str">
        <f t="shared" si="1"/>
        <v>Partners</v>
      </c>
      <c r="F9" s="226"/>
      <c r="G9" s="226" t="s">
        <v>476</v>
      </c>
      <c r="H9" s="212" t="s">
        <v>185</v>
      </c>
    </row>
    <row r="10">
      <c r="A10" s="225" t="s">
        <v>235</v>
      </c>
      <c r="B10" s="226"/>
      <c r="C10" s="230" t="s">
        <v>112</v>
      </c>
      <c r="D10" s="231" t="s">
        <v>733</v>
      </c>
      <c r="E10" s="232" t="str">
        <f t="shared" si="1"/>
        <v>Power</v>
      </c>
      <c r="F10" s="226"/>
      <c r="G10" s="226" t="s">
        <v>112</v>
      </c>
      <c r="H10" s="212" t="s">
        <v>214</v>
      </c>
    </row>
    <row r="11">
      <c r="A11" s="225" t="s">
        <v>265</v>
      </c>
      <c r="B11" s="226"/>
      <c r="C11" s="230" t="s">
        <v>502</v>
      </c>
      <c r="D11" s="231" t="s">
        <v>733</v>
      </c>
      <c r="E11" s="234" t="str">
        <f>'analysis-rv-services'!A26</f>
        <v>Waste processing</v>
      </c>
      <c r="F11" s="226"/>
      <c r="G11" s="226" t="s">
        <v>502</v>
      </c>
      <c r="H11" s="212" t="s">
        <v>235</v>
      </c>
    </row>
    <row r="12">
      <c r="A12" s="225" t="s">
        <v>340</v>
      </c>
      <c r="B12" s="226"/>
      <c r="C12" s="230" t="s">
        <v>425</v>
      </c>
      <c r="D12" s="231" t="s">
        <v>733</v>
      </c>
      <c r="E12" s="232" t="str">
        <f t="shared" ref="E12:E15" si="2">G12</f>
        <v>Recycled material</v>
      </c>
      <c r="F12" s="226"/>
      <c r="G12" s="226" t="s">
        <v>425</v>
      </c>
      <c r="H12" s="212" t="s">
        <v>265</v>
      </c>
    </row>
    <row r="13">
      <c r="A13" s="225" t="s">
        <v>476</v>
      </c>
      <c r="B13" s="226"/>
      <c r="C13" s="230" t="s">
        <v>170</v>
      </c>
      <c r="D13" s="231" t="s">
        <v>733</v>
      </c>
      <c r="E13" s="232" t="str">
        <f t="shared" si="2"/>
        <v>Techonology</v>
      </c>
      <c r="F13" s="226"/>
      <c r="G13" s="226" t="s">
        <v>170</v>
      </c>
      <c r="H13" s="212" t="s">
        <v>340</v>
      </c>
    </row>
    <row r="14">
      <c r="A14" s="225" t="s">
        <v>178</v>
      </c>
      <c r="B14" s="226"/>
      <c r="C14" s="230" t="s">
        <v>36</v>
      </c>
      <c r="D14" s="231" t="s">
        <v>733</v>
      </c>
      <c r="E14" s="232" t="str">
        <f t="shared" si="2"/>
        <v>Transport</v>
      </c>
      <c r="F14" s="226"/>
      <c r="G14" s="226" t="s">
        <v>36</v>
      </c>
      <c r="H14" s="212" t="s">
        <v>287</v>
      </c>
    </row>
    <row r="15">
      <c r="A15" s="225" t="s">
        <v>112</v>
      </c>
      <c r="B15" s="226"/>
      <c r="C15" s="235" t="s">
        <v>188</v>
      </c>
      <c r="D15" s="236" t="s">
        <v>733</v>
      </c>
      <c r="E15" s="237" t="str">
        <f t="shared" si="2"/>
        <v>Waste collection</v>
      </c>
      <c r="F15" s="226"/>
      <c r="G15" s="226" t="s">
        <v>188</v>
      </c>
      <c r="H15" s="212" t="s">
        <v>94</v>
      </c>
    </row>
    <row r="16">
      <c r="A16" s="225" t="s">
        <v>502</v>
      </c>
      <c r="B16" s="1"/>
      <c r="C16" s="238" t="s">
        <v>104</v>
      </c>
      <c r="D16" s="228" t="s">
        <v>733</v>
      </c>
      <c r="E16" s="239" t="str">
        <f t="shared" ref="E16:E20" si="3">H4</f>
        <v>Asbestos</v>
      </c>
      <c r="F16" s="1"/>
      <c r="G16" s="1"/>
      <c r="H16" s="212" t="s">
        <v>112</v>
      </c>
    </row>
    <row r="17">
      <c r="A17" s="225" t="s">
        <v>425</v>
      </c>
      <c r="B17" s="1"/>
      <c r="C17" s="240" t="s">
        <v>289</v>
      </c>
      <c r="D17" s="231" t="s">
        <v>733</v>
      </c>
      <c r="E17" s="241" t="str">
        <f t="shared" si="3"/>
        <v>Cleaning</v>
      </c>
      <c r="F17" s="1"/>
      <c r="G17" s="1"/>
      <c r="H17" s="212" t="s">
        <v>149</v>
      </c>
    </row>
    <row r="18">
      <c r="A18" s="225" t="s">
        <v>149</v>
      </c>
      <c r="B18" s="1"/>
      <c r="C18" s="240" t="s">
        <v>72</v>
      </c>
      <c r="D18" s="231" t="s">
        <v>733</v>
      </c>
      <c r="E18" s="241" t="str">
        <f t="shared" si="3"/>
        <v>Components</v>
      </c>
      <c r="F18" s="1"/>
      <c r="G18" s="1"/>
      <c r="H18" s="212" t="s">
        <v>100</v>
      </c>
    </row>
    <row r="19">
      <c r="A19" s="225" t="s">
        <v>100</v>
      </c>
      <c r="B19" s="1"/>
      <c r="C19" s="240" t="s">
        <v>154</v>
      </c>
      <c r="D19" s="231" t="s">
        <v>733</v>
      </c>
      <c r="E19" s="241" t="str">
        <f t="shared" si="3"/>
        <v>Consultant services</v>
      </c>
      <c r="F19" s="1"/>
      <c r="G19" s="1"/>
      <c r="H19" s="212" t="s">
        <v>170</v>
      </c>
    </row>
    <row r="20">
      <c r="A20" s="225" t="s">
        <v>170</v>
      </c>
      <c r="B20" s="1"/>
      <c r="C20" s="240" t="s">
        <v>87</v>
      </c>
      <c r="D20" s="231" t="s">
        <v>733</v>
      </c>
      <c r="E20" s="241" t="str">
        <f t="shared" si="3"/>
        <v>Feedstock</v>
      </c>
      <c r="F20" s="1"/>
      <c r="G20" s="1"/>
      <c r="H20" s="212" t="s">
        <v>327</v>
      </c>
    </row>
    <row r="21">
      <c r="A21" s="225" t="s">
        <v>327</v>
      </c>
      <c r="B21" s="1"/>
      <c r="C21" s="240" t="s">
        <v>185</v>
      </c>
      <c r="D21" s="231" t="s">
        <v>733</v>
      </c>
      <c r="E21" s="234" t="str">
        <f>E20</f>
        <v>Feedstock</v>
      </c>
      <c r="F21" s="1"/>
      <c r="G21" s="1"/>
      <c r="H21" s="212" t="s">
        <v>36</v>
      </c>
    </row>
    <row r="22">
      <c r="A22" s="225" t="s">
        <v>36</v>
      </c>
      <c r="B22" s="1"/>
      <c r="C22" s="240" t="s">
        <v>214</v>
      </c>
      <c r="D22" s="231" t="s">
        <v>733</v>
      </c>
      <c r="E22" s="241" t="str">
        <f t="shared" ref="E22:E25" si="4">H10</f>
        <v>Fuel</v>
      </c>
      <c r="F22" s="1"/>
      <c r="G22" s="1"/>
      <c r="H22" s="212" t="s">
        <v>188</v>
      </c>
    </row>
    <row r="23">
      <c r="A23" s="225" t="s">
        <v>188</v>
      </c>
      <c r="B23" s="1"/>
      <c r="C23" s="240" t="s">
        <v>235</v>
      </c>
      <c r="D23" s="231" t="s">
        <v>733</v>
      </c>
      <c r="E23" s="241" t="str">
        <f t="shared" si="4"/>
        <v>Gas</v>
      </c>
      <c r="F23" s="1"/>
      <c r="G23" s="1"/>
      <c r="H23" s="212" t="s">
        <v>251</v>
      </c>
    </row>
    <row r="24">
      <c r="A24" s="225" t="s">
        <v>692</v>
      </c>
      <c r="B24" s="1"/>
      <c r="C24" s="240" t="s">
        <v>265</v>
      </c>
      <c r="D24" s="231" t="s">
        <v>733</v>
      </c>
      <c r="E24" s="241" t="str">
        <f t="shared" si="4"/>
        <v>HSE</v>
      </c>
      <c r="F24" s="1"/>
      <c r="G24" s="1"/>
      <c r="H24" s="212" t="s">
        <v>141</v>
      </c>
    </row>
    <row r="25">
      <c r="A25" s="225" t="s">
        <v>253</v>
      </c>
      <c r="B25" s="1"/>
      <c r="C25" s="240" t="s">
        <v>340</v>
      </c>
      <c r="D25" s="231" t="s">
        <v>733</v>
      </c>
      <c r="E25" s="241" t="str">
        <f t="shared" si="4"/>
        <v>Local government</v>
      </c>
      <c r="F25" s="1"/>
      <c r="G25" s="1"/>
      <c r="H25" s="212" t="s">
        <v>254</v>
      </c>
    </row>
    <row r="26">
      <c r="A26" s="225" t="s">
        <v>693</v>
      </c>
      <c r="B26" s="1"/>
      <c r="C26" s="240" t="s">
        <v>287</v>
      </c>
      <c r="D26" s="231" t="s">
        <v>733</v>
      </c>
      <c r="E26" s="242" t="s">
        <v>34</v>
      </c>
      <c r="F26" s="1"/>
      <c r="G26" s="1"/>
      <c r="H26" s="212" t="s">
        <v>372</v>
      </c>
    </row>
    <row r="27">
      <c r="A27" s="225" t="s">
        <v>109</v>
      </c>
      <c r="B27" s="1"/>
      <c r="C27" s="240" t="s">
        <v>94</v>
      </c>
      <c r="D27" s="231" t="s">
        <v>733</v>
      </c>
      <c r="E27" s="242" t="s">
        <v>178</v>
      </c>
      <c r="F27" s="1"/>
      <c r="G27" s="1"/>
      <c r="H27" s="212" t="s">
        <v>109</v>
      </c>
    </row>
    <row r="28">
      <c r="A28" s="225" t="s">
        <v>34</v>
      </c>
      <c r="B28" s="1"/>
      <c r="C28" s="240" t="s">
        <v>112</v>
      </c>
      <c r="D28" s="231" t="s">
        <v>733</v>
      </c>
      <c r="E28" s="241" t="str">
        <f t="shared" ref="E28:E34" si="5">H16</f>
        <v>Power</v>
      </c>
      <c r="F28" s="1"/>
      <c r="G28" s="1"/>
      <c r="H28" s="212"/>
    </row>
    <row r="29">
      <c r="A29" s="243"/>
      <c r="B29" s="1"/>
      <c r="C29" s="240" t="s">
        <v>149</v>
      </c>
      <c r="D29" s="231" t="s">
        <v>733</v>
      </c>
      <c r="E29" s="241" t="str">
        <f t="shared" si="5"/>
        <v>Regulator</v>
      </c>
      <c r="F29" s="1"/>
      <c r="G29" s="1"/>
      <c r="H29" s="212"/>
    </row>
    <row r="30">
      <c r="A30" s="243"/>
      <c r="B30" s="1"/>
      <c r="C30" s="240" t="s">
        <v>100</v>
      </c>
      <c r="D30" s="231" t="s">
        <v>733</v>
      </c>
      <c r="E30" s="241" t="str">
        <f t="shared" si="5"/>
        <v>Repairs and maintenance</v>
      </c>
      <c r="F30" s="1"/>
      <c r="G30" s="1"/>
      <c r="H30" s="212"/>
    </row>
    <row r="31">
      <c r="A31" s="243"/>
      <c r="B31" s="1"/>
      <c r="C31" s="240" t="s">
        <v>170</v>
      </c>
      <c r="D31" s="231" t="s">
        <v>733</v>
      </c>
      <c r="E31" s="241" t="str">
        <f t="shared" si="5"/>
        <v>Techonology</v>
      </c>
      <c r="F31" s="1"/>
      <c r="G31" s="1"/>
      <c r="H31" s="212"/>
    </row>
    <row r="32">
      <c r="A32" s="243"/>
      <c r="B32" s="1"/>
      <c r="C32" s="240" t="s">
        <v>327</v>
      </c>
      <c r="D32" s="231" t="s">
        <v>733</v>
      </c>
      <c r="E32" s="241" t="str">
        <f t="shared" si="5"/>
        <v>Telecommunications</v>
      </c>
      <c r="F32" s="1"/>
      <c r="G32" s="1"/>
      <c r="H32" s="212"/>
    </row>
    <row r="33">
      <c r="A33" s="243"/>
      <c r="B33" s="1"/>
      <c r="C33" s="240" t="s">
        <v>36</v>
      </c>
      <c r="D33" s="231" t="s">
        <v>733</v>
      </c>
      <c r="E33" s="241" t="str">
        <f t="shared" si="5"/>
        <v>Transport</v>
      </c>
      <c r="F33" s="1"/>
      <c r="G33" s="1"/>
      <c r="H33" s="212"/>
    </row>
    <row r="34">
      <c r="A34" s="243"/>
      <c r="B34" s="1"/>
      <c r="C34" s="240" t="s">
        <v>188</v>
      </c>
      <c r="D34" s="231" t="s">
        <v>733</v>
      </c>
      <c r="E34" s="241" t="str">
        <f t="shared" si="5"/>
        <v>Waste collection</v>
      </c>
      <c r="F34" s="1"/>
      <c r="G34" s="1"/>
      <c r="H34" s="212"/>
    </row>
    <row r="35">
      <c r="A35" s="243"/>
      <c r="B35" s="1"/>
      <c r="C35" s="240" t="s">
        <v>251</v>
      </c>
      <c r="D35" s="231" t="s">
        <v>733</v>
      </c>
      <c r="E35" s="242" t="str">
        <f>'analysis-rv-services'!A23</f>
        <v>Waste collection</v>
      </c>
      <c r="F35" s="1"/>
      <c r="G35" s="1"/>
      <c r="H35" s="212"/>
    </row>
    <row r="36">
      <c r="A36" s="243"/>
      <c r="B36" s="1"/>
      <c r="C36" s="240" t="s">
        <v>141</v>
      </c>
      <c r="D36" s="231" t="s">
        <v>733</v>
      </c>
      <c r="E36" s="242" t="str">
        <f>'analysis-rv-services'!A24</f>
        <v>Waste disposal</v>
      </c>
      <c r="F36" s="1"/>
      <c r="G36" s="1"/>
      <c r="H36" s="212"/>
    </row>
    <row r="37">
      <c r="A37" s="243"/>
      <c r="B37" s="1"/>
      <c r="C37" s="240" t="s">
        <v>254</v>
      </c>
      <c r="D37" s="231" t="s">
        <v>733</v>
      </c>
      <c r="E37" s="242" t="str">
        <f>'analysis-rv-services'!A25</f>
        <v>Waste generation</v>
      </c>
      <c r="F37" s="1"/>
      <c r="G37" s="1"/>
      <c r="H37" s="212"/>
    </row>
    <row r="38">
      <c r="A38" s="243"/>
      <c r="B38" s="1"/>
      <c r="C38" s="240" t="s">
        <v>372</v>
      </c>
      <c r="D38" s="231" t="s">
        <v>733</v>
      </c>
      <c r="E38" s="242" t="str">
        <f>'analysis-rv-services'!A26</f>
        <v>Waste processing</v>
      </c>
      <c r="F38" s="1"/>
      <c r="G38" s="1"/>
      <c r="H38" s="212"/>
    </row>
    <row r="39">
      <c r="A39" s="243"/>
      <c r="B39" s="1"/>
      <c r="C39" s="244" t="s">
        <v>109</v>
      </c>
      <c r="D39" s="236" t="s">
        <v>733</v>
      </c>
      <c r="E39" s="245" t="str">
        <f>H27</f>
        <v>Water</v>
      </c>
      <c r="F39" s="1"/>
      <c r="G39" s="1"/>
      <c r="H39" s="212"/>
    </row>
  </sheetData>
  <mergeCells count="1">
    <mergeCell ref="A2:F2"/>
  </mergeCells>
  <drawing r:id="rId1"/>
</worksheet>
</file>